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anc\projeto\esdc\alimentos\"/>
    </mc:Choice>
  </mc:AlternateContent>
  <xr:revisionPtr revIDLastSave="0" documentId="13_ncr:1_{C35A5AAB-D5CC-42AC-878B-8C1244E82805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Início" sheetId="1" r:id="rId1"/>
    <sheet name="Alimentos" sheetId="3" r:id="rId2"/>
    <sheet name="Exigências" sheetId="2" r:id="rId3"/>
    <sheet name="ExigenciaLeitura" sheetId="8" r:id="rId4"/>
    <sheet name="Predição ED" sheetId="4" r:id="rId5"/>
    <sheet name="Check de dieta" sheetId="5" r:id="rId6"/>
    <sheet name="Relatório 1" sheetId="6" state="hidden" r:id="rId7"/>
    <sheet name="Relatório" sheetId="7" r:id="rId8"/>
  </sheets>
  <definedNames>
    <definedName name="_xlnm._FilterDatabase" localSheetId="2" hidden="1">Exigências!$B$1:$AH$137</definedName>
    <definedName name="_xleta.AN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qiW9CoafOXDjciH0X3+eAmrov8nyP9XsDP2tHXLIqFw="/>
    </ext>
  </extLst>
</workbook>
</file>

<file path=xl/calcChain.xml><?xml version="1.0" encoding="utf-8"?>
<calcChain xmlns="http://schemas.openxmlformats.org/spreadsheetml/2006/main">
  <c r="L4" i="8" l="1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3" i="8"/>
  <c r="O10" i="8"/>
  <c r="O9" i="8"/>
  <c r="K9" i="8"/>
  <c r="J9" i="8"/>
  <c r="I9" i="8"/>
  <c r="O8" i="8"/>
  <c r="K8" i="8"/>
  <c r="J8" i="8"/>
  <c r="I8" i="8"/>
  <c r="O7" i="8"/>
  <c r="K7" i="8"/>
  <c r="J7" i="8"/>
  <c r="I7" i="8"/>
  <c r="I15" i="8"/>
  <c r="J15" i="8"/>
  <c r="K15" i="8"/>
  <c r="O15" i="8"/>
  <c r="I16" i="8"/>
  <c r="J16" i="8"/>
  <c r="K16" i="8"/>
  <c r="O16" i="8"/>
  <c r="I17" i="8"/>
  <c r="J17" i="8"/>
  <c r="K17" i="8"/>
  <c r="O17" i="8"/>
  <c r="O18" i="8"/>
  <c r="O4" i="8"/>
  <c r="O5" i="8"/>
  <c r="O6" i="8"/>
  <c r="O11" i="8"/>
  <c r="O12" i="8"/>
  <c r="O13" i="8"/>
  <c r="O14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3" i="8"/>
  <c r="K21" i="8"/>
  <c r="J21" i="8"/>
  <c r="I21" i="8"/>
  <c r="K20" i="8"/>
  <c r="J20" i="8"/>
  <c r="I20" i="8"/>
  <c r="K19" i="8"/>
  <c r="J19" i="8"/>
  <c r="I19" i="8"/>
  <c r="K137" i="8"/>
  <c r="J137" i="8"/>
  <c r="I137" i="8"/>
  <c r="K136" i="8"/>
  <c r="J136" i="8"/>
  <c r="I136" i="8"/>
  <c r="K135" i="8"/>
  <c r="J135" i="8"/>
  <c r="I135" i="8"/>
  <c r="K133" i="8"/>
  <c r="J133" i="8"/>
  <c r="I133" i="8"/>
  <c r="K132" i="8"/>
  <c r="J132" i="8"/>
  <c r="I132" i="8"/>
  <c r="K131" i="8"/>
  <c r="J131" i="8"/>
  <c r="I131" i="8"/>
  <c r="K129" i="8"/>
  <c r="J129" i="8"/>
  <c r="I129" i="8"/>
  <c r="K128" i="8"/>
  <c r="J128" i="8"/>
  <c r="I128" i="8"/>
  <c r="K127" i="8"/>
  <c r="J127" i="8"/>
  <c r="I127" i="8"/>
  <c r="K125" i="8"/>
  <c r="J125" i="8"/>
  <c r="I125" i="8"/>
  <c r="K124" i="8"/>
  <c r="J124" i="8"/>
  <c r="I124" i="8"/>
  <c r="K123" i="8"/>
  <c r="J123" i="8"/>
  <c r="I123" i="8"/>
  <c r="K121" i="8"/>
  <c r="J121" i="8"/>
  <c r="I121" i="8"/>
  <c r="K120" i="8"/>
  <c r="J120" i="8"/>
  <c r="I120" i="8"/>
  <c r="K119" i="8"/>
  <c r="J119" i="8"/>
  <c r="I119" i="8"/>
  <c r="K117" i="8"/>
  <c r="J117" i="8"/>
  <c r="I117" i="8"/>
  <c r="K116" i="8"/>
  <c r="J116" i="8"/>
  <c r="I116" i="8"/>
  <c r="K115" i="8"/>
  <c r="J115" i="8"/>
  <c r="I115" i="8"/>
  <c r="K113" i="8"/>
  <c r="J113" i="8"/>
  <c r="I113" i="8"/>
  <c r="K112" i="8"/>
  <c r="J112" i="8"/>
  <c r="I112" i="8"/>
  <c r="K111" i="8"/>
  <c r="J111" i="8"/>
  <c r="I111" i="8"/>
  <c r="K109" i="8"/>
  <c r="J109" i="8"/>
  <c r="I109" i="8"/>
  <c r="K108" i="8"/>
  <c r="J108" i="8"/>
  <c r="I108" i="8"/>
  <c r="K107" i="8"/>
  <c r="J107" i="8"/>
  <c r="I107" i="8"/>
  <c r="K105" i="8"/>
  <c r="J105" i="8"/>
  <c r="I105" i="8"/>
  <c r="K104" i="8"/>
  <c r="J104" i="8"/>
  <c r="I104" i="8"/>
  <c r="K103" i="8"/>
  <c r="J103" i="8"/>
  <c r="I103" i="8"/>
  <c r="K101" i="8"/>
  <c r="J101" i="8"/>
  <c r="I101" i="8"/>
  <c r="K100" i="8"/>
  <c r="J100" i="8"/>
  <c r="I100" i="8"/>
  <c r="K99" i="8"/>
  <c r="J99" i="8"/>
  <c r="I99" i="8"/>
  <c r="K97" i="8"/>
  <c r="J97" i="8"/>
  <c r="I97" i="8"/>
  <c r="K96" i="8"/>
  <c r="J96" i="8"/>
  <c r="I96" i="8"/>
  <c r="K95" i="8"/>
  <c r="J95" i="8"/>
  <c r="I95" i="8"/>
  <c r="K93" i="8"/>
  <c r="J93" i="8"/>
  <c r="I93" i="8"/>
  <c r="K92" i="8"/>
  <c r="J92" i="8"/>
  <c r="I92" i="8"/>
  <c r="K91" i="8"/>
  <c r="J91" i="8"/>
  <c r="I91" i="8"/>
  <c r="K89" i="8"/>
  <c r="J89" i="8"/>
  <c r="I89" i="8"/>
  <c r="K88" i="8"/>
  <c r="J88" i="8"/>
  <c r="I88" i="8"/>
  <c r="K87" i="8"/>
  <c r="J87" i="8"/>
  <c r="I87" i="8"/>
  <c r="K85" i="8"/>
  <c r="J85" i="8"/>
  <c r="I85" i="8"/>
  <c r="K84" i="8"/>
  <c r="J84" i="8"/>
  <c r="I84" i="8"/>
  <c r="K83" i="8"/>
  <c r="J83" i="8"/>
  <c r="I83" i="8"/>
  <c r="K81" i="8"/>
  <c r="J81" i="8"/>
  <c r="I81" i="8"/>
  <c r="K80" i="8"/>
  <c r="J80" i="8"/>
  <c r="I80" i="8"/>
  <c r="K79" i="8"/>
  <c r="J79" i="8"/>
  <c r="I79" i="8"/>
  <c r="K77" i="8"/>
  <c r="J77" i="8"/>
  <c r="I77" i="8"/>
  <c r="K76" i="8"/>
  <c r="J76" i="8"/>
  <c r="I76" i="8"/>
  <c r="K75" i="8"/>
  <c r="J75" i="8"/>
  <c r="I75" i="8"/>
  <c r="K73" i="8"/>
  <c r="J73" i="8"/>
  <c r="I73" i="8"/>
  <c r="K72" i="8"/>
  <c r="J72" i="8"/>
  <c r="I72" i="8"/>
  <c r="K71" i="8"/>
  <c r="J71" i="8"/>
  <c r="I71" i="8"/>
  <c r="K69" i="8"/>
  <c r="J69" i="8"/>
  <c r="I69" i="8"/>
  <c r="K68" i="8"/>
  <c r="J68" i="8"/>
  <c r="I68" i="8"/>
  <c r="K67" i="8"/>
  <c r="J67" i="8"/>
  <c r="I67" i="8"/>
  <c r="K65" i="8"/>
  <c r="J65" i="8"/>
  <c r="I65" i="8"/>
  <c r="K64" i="8"/>
  <c r="J64" i="8"/>
  <c r="I64" i="8"/>
  <c r="K63" i="8"/>
  <c r="J63" i="8"/>
  <c r="I63" i="8"/>
  <c r="K61" i="8"/>
  <c r="J61" i="8"/>
  <c r="I61" i="8"/>
  <c r="K60" i="8"/>
  <c r="J60" i="8"/>
  <c r="I60" i="8"/>
  <c r="K59" i="8"/>
  <c r="J59" i="8"/>
  <c r="I59" i="8"/>
  <c r="K57" i="8"/>
  <c r="J57" i="8"/>
  <c r="I57" i="8"/>
  <c r="K56" i="8"/>
  <c r="J56" i="8"/>
  <c r="I56" i="8"/>
  <c r="K55" i="8"/>
  <c r="J55" i="8"/>
  <c r="I55" i="8"/>
  <c r="K53" i="8"/>
  <c r="J53" i="8"/>
  <c r="I53" i="8"/>
  <c r="K52" i="8"/>
  <c r="J52" i="8"/>
  <c r="I52" i="8"/>
  <c r="K51" i="8"/>
  <c r="J51" i="8"/>
  <c r="I51" i="8"/>
  <c r="K49" i="8"/>
  <c r="J49" i="8"/>
  <c r="I49" i="8"/>
  <c r="K48" i="8"/>
  <c r="J48" i="8"/>
  <c r="I48" i="8"/>
  <c r="K47" i="8"/>
  <c r="J47" i="8"/>
  <c r="I47" i="8"/>
  <c r="K45" i="8"/>
  <c r="J45" i="8"/>
  <c r="I45" i="8"/>
  <c r="K44" i="8"/>
  <c r="J44" i="8"/>
  <c r="I44" i="8"/>
  <c r="K43" i="8"/>
  <c r="J43" i="8"/>
  <c r="I43" i="8"/>
  <c r="K41" i="8"/>
  <c r="J41" i="8"/>
  <c r="I41" i="8"/>
  <c r="K40" i="8"/>
  <c r="J40" i="8"/>
  <c r="I40" i="8"/>
  <c r="K39" i="8"/>
  <c r="J39" i="8"/>
  <c r="I39" i="8"/>
  <c r="K37" i="8"/>
  <c r="J37" i="8"/>
  <c r="I37" i="8"/>
  <c r="K36" i="8"/>
  <c r="J36" i="8"/>
  <c r="I36" i="8"/>
  <c r="K35" i="8"/>
  <c r="J35" i="8"/>
  <c r="I35" i="8"/>
  <c r="K33" i="8"/>
  <c r="J33" i="8"/>
  <c r="I33" i="8"/>
  <c r="K32" i="8"/>
  <c r="J32" i="8"/>
  <c r="I32" i="8"/>
  <c r="K31" i="8"/>
  <c r="J31" i="8"/>
  <c r="I31" i="8"/>
  <c r="K29" i="8"/>
  <c r="J29" i="8"/>
  <c r="I29" i="8"/>
  <c r="K28" i="8"/>
  <c r="J28" i="8"/>
  <c r="I28" i="8"/>
  <c r="K27" i="8"/>
  <c r="J27" i="8"/>
  <c r="I27" i="8"/>
  <c r="K25" i="8"/>
  <c r="J25" i="8"/>
  <c r="I25" i="8"/>
  <c r="K24" i="8"/>
  <c r="J24" i="8"/>
  <c r="I24" i="8"/>
  <c r="K23" i="8"/>
  <c r="J23" i="8"/>
  <c r="I23" i="8"/>
  <c r="K13" i="8"/>
  <c r="J13" i="8"/>
  <c r="I13" i="8"/>
  <c r="K12" i="8"/>
  <c r="J12" i="8"/>
  <c r="I12" i="8"/>
  <c r="K11" i="8"/>
  <c r="J11" i="8"/>
  <c r="I11" i="8"/>
  <c r="K5" i="8"/>
  <c r="J5" i="8"/>
  <c r="I5" i="8"/>
  <c r="K4" i="8"/>
  <c r="J4" i="8"/>
  <c r="I4" i="8"/>
  <c r="K3" i="8"/>
  <c r="J3" i="8"/>
  <c r="I3" i="8"/>
  <c r="H43" i="5"/>
  <c r="D30" i="5"/>
  <c r="Q28" i="7"/>
  <c r="M28" i="7"/>
  <c r="Q27" i="7"/>
  <c r="M27" i="7"/>
  <c r="Q26" i="7"/>
  <c r="M26" i="7"/>
  <c r="Q25" i="7"/>
  <c r="M25" i="7"/>
  <c r="Q24" i="7"/>
  <c r="M24" i="7"/>
  <c r="Q23" i="7"/>
  <c r="M23" i="7"/>
  <c r="Q22" i="7"/>
  <c r="M22" i="7"/>
  <c r="M21" i="7"/>
  <c r="G21" i="7"/>
  <c r="Q20" i="7"/>
  <c r="M20" i="7"/>
  <c r="G20" i="7"/>
  <c r="M19" i="7"/>
  <c r="G19" i="7"/>
  <c r="Q18" i="7"/>
  <c r="M18" i="7"/>
  <c r="G18" i="7"/>
  <c r="Q17" i="7"/>
  <c r="M17" i="7"/>
  <c r="G17" i="7"/>
  <c r="Q16" i="7"/>
  <c r="M16" i="7"/>
  <c r="G16" i="7"/>
  <c r="Q15" i="7"/>
  <c r="M15" i="7"/>
  <c r="G15" i="7"/>
  <c r="Q14" i="7"/>
  <c r="M14" i="7"/>
  <c r="G14" i="7"/>
  <c r="Q13" i="7"/>
  <c r="M13" i="7"/>
  <c r="G13" i="7"/>
  <c r="G12" i="7"/>
  <c r="G11" i="7"/>
  <c r="F6" i="7"/>
  <c r="B30" i="6"/>
  <c r="B29" i="6"/>
  <c r="B28" i="6"/>
  <c r="B27" i="6"/>
  <c r="B26" i="6"/>
  <c r="B25" i="6"/>
  <c r="B24" i="6"/>
  <c r="B23" i="6"/>
  <c r="B22" i="6"/>
  <c r="B21" i="6"/>
  <c r="B20" i="6"/>
  <c r="B19" i="6"/>
  <c r="D12" i="6"/>
  <c r="D11" i="6"/>
  <c r="D10" i="6"/>
  <c r="D9" i="6"/>
  <c r="D8" i="6"/>
  <c r="D41" i="5"/>
  <c r="A30" i="6" s="1"/>
  <c r="D40" i="5"/>
  <c r="E21" i="7" s="1"/>
  <c r="D39" i="5"/>
  <c r="E20" i="7" s="1"/>
  <c r="D38" i="5"/>
  <c r="D37" i="5"/>
  <c r="D36" i="5"/>
  <c r="F35" i="5"/>
  <c r="D35" i="5"/>
  <c r="D34" i="5"/>
  <c r="D33" i="5"/>
  <c r="D32" i="5"/>
  <c r="A21" i="6" s="1"/>
  <c r="D31" i="5"/>
  <c r="F30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G41" i="5" s="1"/>
  <c r="F26" i="5"/>
  <c r="F41" i="5" s="1"/>
  <c r="E26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G40" i="5" s="1"/>
  <c r="F25" i="5"/>
  <c r="F40" i="5" s="1"/>
  <c r="E25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G39" i="5" s="1"/>
  <c r="F24" i="5"/>
  <c r="F39" i="5" s="1"/>
  <c r="E24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G38" i="5" s="1"/>
  <c r="F23" i="5"/>
  <c r="F38" i="5" s="1"/>
  <c r="E23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G37" i="5" s="1"/>
  <c r="F22" i="5"/>
  <c r="F37" i="5" s="1"/>
  <c r="E22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G36" i="5" s="1"/>
  <c r="F21" i="5"/>
  <c r="F36" i="5" s="1"/>
  <c r="E21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G35" i="5" s="1"/>
  <c r="E20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G34" i="5" s="1"/>
  <c r="F19" i="5"/>
  <c r="F34" i="5" s="1"/>
  <c r="E19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G33" i="5" s="1"/>
  <c r="F18" i="5"/>
  <c r="F33" i="5" s="1"/>
  <c r="E18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G32" i="5" s="1"/>
  <c r="F17" i="5"/>
  <c r="F32" i="5" s="1"/>
  <c r="E17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G31" i="5" s="1"/>
  <c r="F16" i="5"/>
  <c r="F31" i="5" s="1"/>
  <c r="E16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G30" i="5" s="1"/>
  <c r="E15" i="5"/>
  <c r="G11" i="5"/>
  <c r="G43" i="5" s="1"/>
  <c r="D11" i="5"/>
  <c r="AG11" i="5" s="1"/>
  <c r="AG43" i="5" s="1"/>
  <c r="C70" i="6" s="1"/>
  <c r="G24" i="4"/>
  <c r="G18" i="4"/>
  <c r="G11" i="4"/>
  <c r="N49" i="2"/>
  <c r="K49" i="2"/>
  <c r="N41" i="2"/>
  <c r="K41" i="2"/>
  <c r="N45" i="2"/>
  <c r="K45" i="2"/>
  <c r="N53" i="2"/>
  <c r="K53" i="2"/>
  <c r="N37" i="2"/>
  <c r="K37" i="2"/>
  <c r="N33" i="2"/>
  <c r="K33" i="2"/>
  <c r="N29" i="2"/>
  <c r="K29" i="2"/>
  <c r="N25" i="2"/>
  <c r="K25" i="2"/>
  <c r="N133" i="2"/>
  <c r="K133" i="2"/>
  <c r="N57" i="2"/>
  <c r="K57" i="2"/>
  <c r="N17" i="2"/>
  <c r="K17" i="2"/>
  <c r="N81" i="2"/>
  <c r="K81" i="2"/>
  <c r="N77" i="2"/>
  <c r="K77" i="2"/>
  <c r="N73" i="2"/>
  <c r="K73" i="2"/>
  <c r="N69" i="2"/>
  <c r="K69" i="2"/>
  <c r="N65" i="2"/>
  <c r="K65" i="2"/>
  <c r="N61" i="2"/>
  <c r="K61" i="2"/>
  <c r="N93" i="2"/>
  <c r="K93" i="2"/>
  <c r="N89" i="2"/>
  <c r="K89" i="2"/>
  <c r="N113" i="2"/>
  <c r="K113" i="2"/>
  <c r="N109" i="2"/>
  <c r="K109" i="2"/>
  <c r="N105" i="2"/>
  <c r="K105" i="2"/>
  <c r="N101" i="2"/>
  <c r="K101" i="2"/>
  <c r="N97" i="2"/>
  <c r="K97" i="2"/>
  <c r="N85" i="2"/>
  <c r="K85" i="2"/>
  <c r="N117" i="2"/>
  <c r="K117" i="2"/>
  <c r="N121" i="2"/>
  <c r="K121" i="2"/>
  <c r="N137" i="2"/>
  <c r="K137" i="2"/>
  <c r="N131" i="2"/>
  <c r="K131" i="2"/>
  <c r="J131" i="2"/>
  <c r="I131" i="2"/>
  <c r="H131" i="2"/>
  <c r="N129" i="2"/>
  <c r="K129" i="2"/>
  <c r="N125" i="2"/>
  <c r="K125" i="2"/>
  <c r="N5" i="2"/>
  <c r="K5" i="2"/>
  <c r="N9" i="2"/>
  <c r="K9" i="2"/>
  <c r="N13" i="2"/>
  <c r="K13" i="2"/>
  <c r="N47" i="2"/>
  <c r="K47" i="2"/>
  <c r="J47" i="2"/>
  <c r="I47" i="2"/>
  <c r="H47" i="2"/>
  <c r="N39" i="2"/>
  <c r="K39" i="2"/>
  <c r="J39" i="2"/>
  <c r="I39" i="2"/>
  <c r="H39" i="2"/>
  <c r="N43" i="2"/>
  <c r="K43" i="2"/>
  <c r="J43" i="2"/>
  <c r="I43" i="2"/>
  <c r="H43" i="2"/>
  <c r="N51" i="2"/>
  <c r="K51" i="2"/>
  <c r="J51" i="2"/>
  <c r="I51" i="2"/>
  <c r="H51" i="2"/>
  <c r="N35" i="2"/>
  <c r="K35" i="2"/>
  <c r="J35" i="2"/>
  <c r="I35" i="2"/>
  <c r="H35" i="2"/>
  <c r="N31" i="2"/>
  <c r="K31" i="2"/>
  <c r="J31" i="2"/>
  <c r="I31" i="2"/>
  <c r="H31" i="2"/>
  <c r="N27" i="2"/>
  <c r="K27" i="2"/>
  <c r="J27" i="2"/>
  <c r="I27" i="2"/>
  <c r="H27" i="2"/>
  <c r="N23" i="2"/>
  <c r="K23" i="2"/>
  <c r="J23" i="2"/>
  <c r="I23" i="2"/>
  <c r="H23" i="2"/>
  <c r="N130" i="2"/>
  <c r="K130" i="2"/>
  <c r="J130" i="2"/>
  <c r="I130" i="2"/>
  <c r="H130" i="2"/>
  <c r="N55" i="2"/>
  <c r="K55" i="2"/>
  <c r="J55" i="2"/>
  <c r="I55" i="2"/>
  <c r="H55" i="2"/>
  <c r="N15" i="2"/>
  <c r="K15" i="2"/>
  <c r="J15" i="2"/>
  <c r="I15" i="2"/>
  <c r="H15" i="2"/>
  <c r="N79" i="2"/>
  <c r="K79" i="2"/>
  <c r="J79" i="2"/>
  <c r="I79" i="2"/>
  <c r="H79" i="2"/>
  <c r="N75" i="2"/>
  <c r="K75" i="2"/>
  <c r="J75" i="2"/>
  <c r="I75" i="2"/>
  <c r="H75" i="2"/>
  <c r="N71" i="2"/>
  <c r="K71" i="2"/>
  <c r="J71" i="2"/>
  <c r="I71" i="2"/>
  <c r="H71" i="2"/>
  <c r="N67" i="2"/>
  <c r="K67" i="2"/>
  <c r="J67" i="2"/>
  <c r="I67" i="2"/>
  <c r="H67" i="2"/>
  <c r="N63" i="2"/>
  <c r="K63" i="2"/>
  <c r="J63" i="2"/>
  <c r="I63" i="2"/>
  <c r="H63" i="2"/>
  <c r="N59" i="2"/>
  <c r="K59" i="2"/>
  <c r="J59" i="2"/>
  <c r="I59" i="2"/>
  <c r="H59" i="2"/>
  <c r="N91" i="2"/>
  <c r="K91" i="2"/>
  <c r="J91" i="2"/>
  <c r="I91" i="2"/>
  <c r="H91" i="2"/>
  <c r="N87" i="2"/>
  <c r="K87" i="2"/>
  <c r="J87" i="2"/>
  <c r="I87" i="2"/>
  <c r="H87" i="2"/>
  <c r="N111" i="2"/>
  <c r="K111" i="2"/>
  <c r="J111" i="2"/>
  <c r="I111" i="2"/>
  <c r="H111" i="2"/>
  <c r="N107" i="2"/>
  <c r="K107" i="2"/>
  <c r="J107" i="2"/>
  <c r="I107" i="2"/>
  <c r="H107" i="2"/>
  <c r="N103" i="2"/>
  <c r="K103" i="2"/>
  <c r="J103" i="2"/>
  <c r="I103" i="2"/>
  <c r="H103" i="2"/>
  <c r="N99" i="2"/>
  <c r="K99" i="2"/>
  <c r="J99" i="2"/>
  <c r="I99" i="2"/>
  <c r="H99" i="2"/>
  <c r="N95" i="2"/>
  <c r="K95" i="2"/>
  <c r="J95" i="2"/>
  <c r="I95" i="2"/>
  <c r="H95" i="2"/>
  <c r="N83" i="2"/>
  <c r="K83" i="2"/>
  <c r="J83" i="2"/>
  <c r="I83" i="2"/>
  <c r="H83" i="2"/>
  <c r="N115" i="2"/>
  <c r="K115" i="2"/>
  <c r="J115" i="2"/>
  <c r="I115" i="2"/>
  <c r="H115" i="2"/>
  <c r="N119" i="2"/>
  <c r="K119" i="2"/>
  <c r="J119" i="2"/>
  <c r="I119" i="2"/>
  <c r="H119" i="2"/>
  <c r="N135" i="2"/>
  <c r="K135" i="2"/>
  <c r="J135" i="2"/>
  <c r="I135" i="2"/>
  <c r="H135" i="2"/>
  <c r="N132" i="2"/>
  <c r="K132" i="2"/>
  <c r="J132" i="2"/>
  <c r="I132" i="2"/>
  <c r="H132" i="2"/>
  <c r="N127" i="2"/>
  <c r="K127" i="2"/>
  <c r="J127" i="2"/>
  <c r="I127" i="2"/>
  <c r="H127" i="2"/>
  <c r="N123" i="2"/>
  <c r="K123" i="2"/>
  <c r="J123" i="2"/>
  <c r="I123" i="2"/>
  <c r="H123" i="2"/>
  <c r="N3" i="2"/>
  <c r="K3" i="2"/>
  <c r="J3" i="2"/>
  <c r="I3" i="2"/>
  <c r="H3" i="2"/>
  <c r="N7" i="2"/>
  <c r="K7" i="2"/>
  <c r="J7" i="2"/>
  <c r="I7" i="2"/>
  <c r="H7" i="2"/>
  <c r="N11" i="2"/>
  <c r="K11" i="2"/>
  <c r="J11" i="2"/>
  <c r="I11" i="2"/>
  <c r="H11" i="2"/>
  <c r="N46" i="2"/>
  <c r="K46" i="2"/>
  <c r="J46" i="2"/>
  <c r="I46" i="2"/>
  <c r="H46" i="2"/>
  <c r="N38" i="2"/>
  <c r="K38" i="2"/>
  <c r="J38" i="2"/>
  <c r="I38" i="2"/>
  <c r="H38" i="2"/>
  <c r="N42" i="2"/>
  <c r="K42" i="2"/>
  <c r="J42" i="2"/>
  <c r="I42" i="2"/>
  <c r="H42" i="2"/>
  <c r="N50" i="2"/>
  <c r="K50" i="2"/>
  <c r="J50" i="2"/>
  <c r="I50" i="2"/>
  <c r="H50" i="2"/>
  <c r="N34" i="2"/>
  <c r="K34" i="2"/>
  <c r="J34" i="2"/>
  <c r="I34" i="2"/>
  <c r="H34" i="2"/>
  <c r="N30" i="2"/>
  <c r="K30" i="2"/>
  <c r="J30" i="2"/>
  <c r="I30" i="2"/>
  <c r="H30" i="2"/>
  <c r="N26" i="2"/>
  <c r="K26" i="2"/>
  <c r="J26" i="2"/>
  <c r="I26" i="2"/>
  <c r="H26" i="2"/>
  <c r="N22" i="2"/>
  <c r="K22" i="2"/>
  <c r="J22" i="2"/>
  <c r="I22" i="2"/>
  <c r="H22" i="2"/>
  <c r="N21" i="2"/>
  <c r="K21" i="2"/>
  <c r="N54" i="2"/>
  <c r="K54" i="2"/>
  <c r="J54" i="2"/>
  <c r="I54" i="2"/>
  <c r="H54" i="2"/>
  <c r="N14" i="2"/>
  <c r="K14" i="2"/>
  <c r="J14" i="2"/>
  <c r="I14" i="2"/>
  <c r="H14" i="2"/>
  <c r="N78" i="2"/>
  <c r="K78" i="2"/>
  <c r="J78" i="2"/>
  <c r="I78" i="2"/>
  <c r="H78" i="2"/>
  <c r="N74" i="2"/>
  <c r="K74" i="2"/>
  <c r="J74" i="2"/>
  <c r="I74" i="2"/>
  <c r="H74" i="2"/>
  <c r="N70" i="2"/>
  <c r="K70" i="2"/>
  <c r="J70" i="2"/>
  <c r="I70" i="2"/>
  <c r="H70" i="2"/>
  <c r="N66" i="2"/>
  <c r="K66" i="2"/>
  <c r="J66" i="2"/>
  <c r="I66" i="2"/>
  <c r="H66" i="2"/>
  <c r="N62" i="2"/>
  <c r="K62" i="2"/>
  <c r="J62" i="2"/>
  <c r="I62" i="2"/>
  <c r="H62" i="2"/>
  <c r="N58" i="2"/>
  <c r="K58" i="2"/>
  <c r="J58" i="2"/>
  <c r="I58" i="2"/>
  <c r="H58" i="2"/>
  <c r="N90" i="2"/>
  <c r="K90" i="2"/>
  <c r="J90" i="2"/>
  <c r="I90" i="2"/>
  <c r="H90" i="2"/>
  <c r="N86" i="2"/>
  <c r="K86" i="2"/>
  <c r="J86" i="2"/>
  <c r="I86" i="2"/>
  <c r="H86" i="2"/>
  <c r="N110" i="2"/>
  <c r="K110" i="2"/>
  <c r="J110" i="2"/>
  <c r="I110" i="2"/>
  <c r="H110" i="2"/>
  <c r="N106" i="2"/>
  <c r="K106" i="2"/>
  <c r="J106" i="2"/>
  <c r="I106" i="2"/>
  <c r="H106" i="2"/>
  <c r="N102" i="2"/>
  <c r="K102" i="2"/>
  <c r="J102" i="2"/>
  <c r="I102" i="2"/>
  <c r="H102" i="2"/>
  <c r="N98" i="2"/>
  <c r="K98" i="2"/>
  <c r="J98" i="2"/>
  <c r="I98" i="2"/>
  <c r="H98" i="2"/>
  <c r="N94" i="2"/>
  <c r="K94" i="2"/>
  <c r="J94" i="2"/>
  <c r="I94" i="2"/>
  <c r="H94" i="2"/>
  <c r="N82" i="2"/>
  <c r="K82" i="2"/>
  <c r="J82" i="2"/>
  <c r="I82" i="2"/>
  <c r="H82" i="2"/>
  <c r="N114" i="2"/>
  <c r="K114" i="2"/>
  <c r="J114" i="2"/>
  <c r="I114" i="2"/>
  <c r="H114" i="2"/>
  <c r="N118" i="2"/>
  <c r="K118" i="2"/>
  <c r="J118" i="2"/>
  <c r="I118" i="2"/>
  <c r="H118" i="2"/>
  <c r="N134" i="2"/>
  <c r="K134" i="2"/>
  <c r="J134" i="2"/>
  <c r="I134" i="2"/>
  <c r="H134" i="2"/>
  <c r="N19" i="2"/>
  <c r="K19" i="2"/>
  <c r="J19" i="2"/>
  <c r="I19" i="2"/>
  <c r="H19" i="2"/>
  <c r="N126" i="2"/>
  <c r="K126" i="2"/>
  <c r="J126" i="2"/>
  <c r="I126" i="2"/>
  <c r="H126" i="2"/>
  <c r="N122" i="2"/>
  <c r="K122" i="2"/>
  <c r="J122" i="2"/>
  <c r="I122" i="2"/>
  <c r="H122" i="2"/>
  <c r="N2" i="2"/>
  <c r="K2" i="2"/>
  <c r="J2" i="2"/>
  <c r="I2" i="2"/>
  <c r="H2" i="2"/>
  <c r="N6" i="2"/>
  <c r="K6" i="2"/>
  <c r="J6" i="2"/>
  <c r="I6" i="2"/>
  <c r="H6" i="2"/>
  <c r="N10" i="2"/>
  <c r="K10" i="2"/>
  <c r="J10" i="2"/>
  <c r="I10" i="2"/>
  <c r="H10" i="2"/>
  <c r="N48" i="2"/>
  <c r="K48" i="2"/>
  <c r="J48" i="2"/>
  <c r="I48" i="2"/>
  <c r="H48" i="2"/>
  <c r="N40" i="2"/>
  <c r="K40" i="2"/>
  <c r="J40" i="2"/>
  <c r="I40" i="2"/>
  <c r="H40" i="2"/>
  <c r="N44" i="2"/>
  <c r="K44" i="2"/>
  <c r="J44" i="2"/>
  <c r="I44" i="2"/>
  <c r="H44" i="2"/>
  <c r="N52" i="2"/>
  <c r="K52" i="2"/>
  <c r="J52" i="2"/>
  <c r="I52" i="2"/>
  <c r="H52" i="2"/>
  <c r="N36" i="2"/>
  <c r="K36" i="2"/>
  <c r="J36" i="2"/>
  <c r="I36" i="2"/>
  <c r="H36" i="2"/>
  <c r="N32" i="2"/>
  <c r="K32" i="2"/>
  <c r="J32" i="2"/>
  <c r="I32" i="2"/>
  <c r="H32" i="2"/>
  <c r="N28" i="2"/>
  <c r="K28" i="2"/>
  <c r="J28" i="2"/>
  <c r="I28" i="2"/>
  <c r="H28" i="2"/>
  <c r="N24" i="2"/>
  <c r="K24" i="2"/>
  <c r="J24" i="2"/>
  <c r="I24" i="2"/>
  <c r="H24" i="2"/>
  <c r="N18" i="2"/>
  <c r="K18" i="2"/>
  <c r="J18" i="2"/>
  <c r="I18" i="2"/>
  <c r="H18" i="2"/>
  <c r="N56" i="2"/>
  <c r="K56" i="2"/>
  <c r="J56" i="2"/>
  <c r="I56" i="2"/>
  <c r="H56" i="2"/>
  <c r="N16" i="2"/>
  <c r="K16" i="2"/>
  <c r="J16" i="2"/>
  <c r="I16" i="2"/>
  <c r="H16" i="2"/>
  <c r="N80" i="2"/>
  <c r="K80" i="2"/>
  <c r="J80" i="2"/>
  <c r="I80" i="2"/>
  <c r="H80" i="2"/>
  <c r="N76" i="2"/>
  <c r="K76" i="2"/>
  <c r="J76" i="2"/>
  <c r="I76" i="2"/>
  <c r="H76" i="2"/>
  <c r="N72" i="2"/>
  <c r="K72" i="2"/>
  <c r="J72" i="2"/>
  <c r="I72" i="2"/>
  <c r="H72" i="2"/>
  <c r="N68" i="2"/>
  <c r="K68" i="2"/>
  <c r="J68" i="2"/>
  <c r="I68" i="2"/>
  <c r="H68" i="2"/>
  <c r="N64" i="2"/>
  <c r="K64" i="2"/>
  <c r="J64" i="2"/>
  <c r="I64" i="2"/>
  <c r="H64" i="2"/>
  <c r="N60" i="2"/>
  <c r="K60" i="2"/>
  <c r="J60" i="2"/>
  <c r="I60" i="2"/>
  <c r="H60" i="2"/>
  <c r="N92" i="2"/>
  <c r="K92" i="2"/>
  <c r="J92" i="2"/>
  <c r="I92" i="2"/>
  <c r="H92" i="2"/>
  <c r="N88" i="2"/>
  <c r="K88" i="2"/>
  <c r="J88" i="2"/>
  <c r="I88" i="2"/>
  <c r="H88" i="2"/>
  <c r="N112" i="2"/>
  <c r="K112" i="2"/>
  <c r="J112" i="2"/>
  <c r="I112" i="2"/>
  <c r="H112" i="2"/>
  <c r="N108" i="2"/>
  <c r="K108" i="2"/>
  <c r="J108" i="2"/>
  <c r="I108" i="2"/>
  <c r="H108" i="2"/>
  <c r="N104" i="2"/>
  <c r="K104" i="2"/>
  <c r="J104" i="2"/>
  <c r="I104" i="2"/>
  <c r="H104" i="2"/>
  <c r="N100" i="2"/>
  <c r="K100" i="2"/>
  <c r="J100" i="2"/>
  <c r="I100" i="2"/>
  <c r="H100" i="2"/>
  <c r="N96" i="2"/>
  <c r="K96" i="2"/>
  <c r="J96" i="2"/>
  <c r="I96" i="2"/>
  <c r="H96" i="2"/>
  <c r="N84" i="2"/>
  <c r="K84" i="2"/>
  <c r="J84" i="2"/>
  <c r="I84" i="2"/>
  <c r="H84" i="2"/>
  <c r="N116" i="2"/>
  <c r="K116" i="2"/>
  <c r="J116" i="2"/>
  <c r="I116" i="2"/>
  <c r="H116" i="2"/>
  <c r="N120" i="2"/>
  <c r="K120" i="2"/>
  <c r="J120" i="2"/>
  <c r="I120" i="2"/>
  <c r="H120" i="2"/>
  <c r="N136" i="2"/>
  <c r="K136" i="2"/>
  <c r="J136" i="2"/>
  <c r="I136" i="2"/>
  <c r="H136" i="2"/>
  <c r="N20" i="2"/>
  <c r="K20" i="2"/>
  <c r="J20" i="2"/>
  <c r="I20" i="2"/>
  <c r="H20" i="2"/>
  <c r="N128" i="2"/>
  <c r="K128" i="2"/>
  <c r="J128" i="2"/>
  <c r="I128" i="2"/>
  <c r="H128" i="2"/>
  <c r="N124" i="2"/>
  <c r="K124" i="2"/>
  <c r="J124" i="2"/>
  <c r="I124" i="2"/>
  <c r="H124" i="2"/>
  <c r="N4" i="2"/>
  <c r="K4" i="2"/>
  <c r="J4" i="2"/>
  <c r="I4" i="2"/>
  <c r="H4" i="2"/>
  <c r="N8" i="2"/>
  <c r="K8" i="2"/>
  <c r="J8" i="2"/>
  <c r="I8" i="2"/>
  <c r="H8" i="2"/>
  <c r="N12" i="2"/>
  <c r="K12" i="2"/>
  <c r="J12" i="2"/>
  <c r="I12" i="2"/>
  <c r="H12" i="2"/>
  <c r="AD37" i="5" l="1"/>
  <c r="K35" i="5"/>
  <c r="AJ11" i="5"/>
  <c r="AJ43" i="5" s="1"/>
  <c r="C73" i="6" s="1"/>
  <c r="Z11" i="5"/>
  <c r="Z43" i="5" s="1"/>
  <c r="C55" i="6" s="1"/>
  <c r="AF11" i="5"/>
  <c r="AF43" i="5" s="1"/>
  <c r="C61" i="6" s="1"/>
  <c r="M11" i="5"/>
  <c r="M43" i="5" s="1"/>
  <c r="C67" i="6" s="1"/>
  <c r="AH11" i="5"/>
  <c r="AH43" i="5" s="1"/>
  <c r="C71" i="6" s="1"/>
  <c r="J11" i="5"/>
  <c r="J43" i="5" s="1"/>
  <c r="C64" i="6" s="1"/>
  <c r="AI11" i="5"/>
  <c r="AI43" i="5" s="1"/>
  <c r="C72" i="6" s="1"/>
  <c r="K11" i="5"/>
  <c r="K43" i="5" s="1"/>
  <c r="C65" i="6" s="1"/>
  <c r="L11" i="5"/>
  <c r="L43" i="5" s="1"/>
  <c r="C66" i="6" s="1"/>
  <c r="O11" i="5"/>
  <c r="O43" i="5" s="1"/>
  <c r="C37" i="6" s="1"/>
  <c r="U11" i="5"/>
  <c r="U43" i="5" s="1"/>
  <c r="C42" i="6" s="1"/>
  <c r="W11" i="5"/>
  <c r="W43" i="5" s="1"/>
  <c r="C44" i="6" s="1"/>
  <c r="X11" i="5"/>
  <c r="X43" i="5" s="1"/>
  <c r="C45" i="6" s="1"/>
  <c r="P11" i="5"/>
  <c r="P43" i="5" s="1"/>
  <c r="AA11" i="5"/>
  <c r="AA43" i="5" s="1"/>
  <c r="C56" i="6" s="1"/>
  <c r="AK11" i="5"/>
  <c r="AK43" i="5" s="1"/>
  <c r="C74" i="6" s="1"/>
  <c r="R11" i="5"/>
  <c r="R43" i="5" s="1"/>
  <c r="AB11" i="5"/>
  <c r="AB43" i="5" s="1"/>
  <c r="C57" i="6" s="1"/>
  <c r="S11" i="5"/>
  <c r="S43" i="5" s="1"/>
  <c r="C40" i="6" s="1"/>
  <c r="AC11" i="5"/>
  <c r="AC43" i="5" s="1"/>
  <c r="C58" i="6" s="1"/>
  <c r="H11" i="5"/>
  <c r="C51" i="6" s="1"/>
  <c r="T11" i="5"/>
  <c r="T43" i="5" s="1"/>
  <c r="C41" i="6" s="1"/>
  <c r="AE11" i="5"/>
  <c r="AE43" i="5" s="1"/>
  <c r="C60" i="6" s="1"/>
  <c r="F17" i="7"/>
  <c r="AG36" i="5"/>
  <c r="Y36" i="5"/>
  <c r="Q36" i="5"/>
  <c r="I36" i="5"/>
  <c r="AF36" i="5"/>
  <c r="X36" i="5"/>
  <c r="P36" i="5"/>
  <c r="H36" i="5"/>
  <c r="AH36" i="5"/>
  <c r="V36" i="5"/>
  <c r="L36" i="5"/>
  <c r="AE36" i="5"/>
  <c r="U36" i="5"/>
  <c r="K36" i="5"/>
  <c r="AD36" i="5"/>
  <c r="T36" i="5"/>
  <c r="J36" i="5"/>
  <c r="AC36" i="5"/>
  <c r="S36" i="5"/>
  <c r="AB36" i="5"/>
  <c r="R36" i="5"/>
  <c r="AK36" i="5"/>
  <c r="AA36" i="5"/>
  <c r="O36" i="5"/>
  <c r="AJ36" i="5"/>
  <c r="Z36" i="5"/>
  <c r="N36" i="5"/>
  <c r="AI36" i="5"/>
  <c r="W36" i="5"/>
  <c r="M36" i="5"/>
  <c r="F13" i="7"/>
  <c r="AK32" i="5"/>
  <c r="AC32" i="5"/>
  <c r="U32" i="5"/>
  <c r="M32" i="5"/>
  <c r="AJ32" i="5"/>
  <c r="AB32" i="5"/>
  <c r="Z32" i="5"/>
  <c r="Q32" i="5"/>
  <c r="H32" i="5"/>
  <c r="AI32" i="5"/>
  <c r="Y32" i="5"/>
  <c r="P32" i="5"/>
  <c r="AH32" i="5"/>
  <c r="X32" i="5"/>
  <c r="O32" i="5"/>
  <c r="AG32" i="5"/>
  <c r="W32" i="5"/>
  <c r="N32" i="5"/>
  <c r="AF32" i="5"/>
  <c r="V32" i="5"/>
  <c r="L32" i="5"/>
  <c r="AE32" i="5"/>
  <c r="T32" i="5"/>
  <c r="K32" i="5"/>
  <c r="AD32" i="5"/>
  <c r="S32" i="5"/>
  <c r="J32" i="5"/>
  <c r="AA32" i="5"/>
  <c r="R32" i="5"/>
  <c r="I32" i="5"/>
  <c r="AJ41" i="5"/>
  <c r="AB41" i="5"/>
  <c r="T41" i="5"/>
  <c r="L41" i="5"/>
  <c r="AI41" i="5"/>
  <c r="AA41" i="5"/>
  <c r="S41" i="5"/>
  <c r="K41" i="5"/>
  <c r="AK41" i="5"/>
  <c r="Y41" i="5"/>
  <c r="O41" i="5"/>
  <c r="AH41" i="5"/>
  <c r="X41" i="5"/>
  <c r="N41" i="5"/>
  <c r="AG41" i="5"/>
  <c r="W41" i="5"/>
  <c r="M41" i="5"/>
  <c r="AF41" i="5"/>
  <c r="V41" i="5"/>
  <c r="J41" i="5"/>
  <c r="AE41" i="5"/>
  <c r="U41" i="5"/>
  <c r="I41" i="5"/>
  <c r="AD41" i="5"/>
  <c r="R41" i="5"/>
  <c r="H41" i="5"/>
  <c r="AC41" i="5"/>
  <c r="Q41" i="5"/>
  <c r="Z41" i="5"/>
  <c r="P41" i="5"/>
  <c r="F14" i="7"/>
  <c r="AJ33" i="5"/>
  <c r="AB33" i="5"/>
  <c r="T33" i="5"/>
  <c r="L33" i="5"/>
  <c r="AI33" i="5"/>
  <c r="AA33" i="5"/>
  <c r="S33" i="5"/>
  <c r="K33" i="5"/>
  <c r="AK33" i="5"/>
  <c r="Y33" i="5"/>
  <c r="O33" i="5"/>
  <c r="AH33" i="5"/>
  <c r="X33" i="5"/>
  <c r="N33" i="5"/>
  <c r="AG33" i="5"/>
  <c r="W33" i="5"/>
  <c r="M33" i="5"/>
  <c r="AF33" i="5"/>
  <c r="V33" i="5"/>
  <c r="J33" i="5"/>
  <c r="AE33" i="5"/>
  <c r="U33" i="5"/>
  <c r="I33" i="5"/>
  <c r="AD33" i="5"/>
  <c r="R33" i="5"/>
  <c r="H33" i="5"/>
  <c r="AC33" i="5"/>
  <c r="Q33" i="5"/>
  <c r="Z33" i="5"/>
  <c r="P33" i="5"/>
  <c r="F15" i="7"/>
  <c r="AI34" i="5"/>
  <c r="AA34" i="5"/>
  <c r="S34" i="5"/>
  <c r="K34" i="5"/>
  <c r="AH34" i="5"/>
  <c r="Z34" i="5"/>
  <c r="R34" i="5"/>
  <c r="J34" i="5"/>
  <c r="AJ34" i="5"/>
  <c r="X34" i="5"/>
  <c r="N34" i="5"/>
  <c r="AG34" i="5"/>
  <c r="W34" i="5"/>
  <c r="M34" i="5"/>
  <c r="AF34" i="5"/>
  <c r="V34" i="5"/>
  <c r="L34" i="5"/>
  <c r="AE34" i="5"/>
  <c r="U34" i="5"/>
  <c r="I34" i="5"/>
  <c r="AD34" i="5"/>
  <c r="T34" i="5"/>
  <c r="H34" i="5"/>
  <c r="AC34" i="5"/>
  <c r="Q34" i="5"/>
  <c r="AB34" i="5"/>
  <c r="P34" i="5"/>
  <c r="AK34" i="5"/>
  <c r="Y34" i="5"/>
  <c r="O34" i="5"/>
  <c r="F42" i="5"/>
  <c r="AD39" i="5"/>
  <c r="V39" i="5"/>
  <c r="N39" i="5"/>
  <c r="F20" i="7"/>
  <c r="AK39" i="5"/>
  <c r="AC39" i="5"/>
  <c r="U39" i="5"/>
  <c r="M39" i="5"/>
  <c r="AB39" i="5"/>
  <c r="R39" i="5"/>
  <c r="H39" i="5"/>
  <c r="AA39" i="5"/>
  <c r="Q39" i="5"/>
  <c r="AJ39" i="5"/>
  <c r="Z39" i="5"/>
  <c r="P39" i="5"/>
  <c r="AI39" i="5"/>
  <c r="Y39" i="5"/>
  <c r="O39" i="5"/>
  <c r="AH39" i="5"/>
  <c r="X39" i="5"/>
  <c r="L39" i="5"/>
  <c r="AG39" i="5"/>
  <c r="W39" i="5"/>
  <c r="K39" i="5"/>
  <c r="AF39" i="5"/>
  <c r="T39" i="5"/>
  <c r="J39" i="5"/>
  <c r="AE39" i="5"/>
  <c r="S39" i="5"/>
  <c r="I39" i="5"/>
  <c r="F16" i="7"/>
  <c r="AH35" i="5"/>
  <c r="Z35" i="5"/>
  <c r="R35" i="5"/>
  <c r="J35" i="5"/>
  <c r="AG35" i="5"/>
  <c r="Y35" i="5"/>
  <c r="Q35" i="5"/>
  <c r="I35" i="5"/>
  <c r="AI35" i="5"/>
  <c r="W35" i="5"/>
  <c r="M35" i="5"/>
  <c r="AF35" i="5"/>
  <c r="V35" i="5"/>
  <c r="L35" i="5"/>
  <c r="AE35" i="5"/>
  <c r="U35" i="5"/>
  <c r="AD35" i="5"/>
  <c r="T35" i="5"/>
  <c r="H35" i="5"/>
  <c r="AC35" i="5"/>
  <c r="S35" i="5"/>
  <c r="AB35" i="5"/>
  <c r="P35" i="5"/>
  <c r="AK35" i="5"/>
  <c r="AA35" i="5"/>
  <c r="O35" i="5"/>
  <c r="AJ35" i="5"/>
  <c r="X35" i="5"/>
  <c r="N35" i="5"/>
  <c r="F11" i="7"/>
  <c r="AH30" i="5"/>
  <c r="Z30" i="5"/>
  <c r="R30" i="5"/>
  <c r="J30" i="5"/>
  <c r="AG30" i="5"/>
  <c r="Y30" i="5"/>
  <c r="Q30" i="5"/>
  <c r="I30" i="5"/>
  <c r="AF30" i="5"/>
  <c r="X30" i="5"/>
  <c r="P30" i="5"/>
  <c r="H30" i="5"/>
  <c r="AE30" i="5"/>
  <c r="W30" i="5"/>
  <c r="O30" i="5"/>
  <c r="AD30" i="5"/>
  <c r="V30" i="5"/>
  <c r="N30" i="5"/>
  <c r="AK30" i="5"/>
  <c r="AC30" i="5"/>
  <c r="U30" i="5"/>
  <c r="M30" i="5"/>
  <c r="G42" i="5"/>
  <c r="AJ30" i="5"/>
  <c r="AB30" i="5"/>
  <c r="T30" i="5"/>
  <c r="L30" i="5"/>
  <c r="AI30" i="5"/>
  <c r="AA30" i="5"/>
  <c r="S30" i="5"/>
  <c r="K30" i="5"/>
  <c r="F12" i="7"/>
  <c r="AG31" i="5"/>
  <c r="Y31" i="5"/>
  <c r="Q31" i="5"/>
  <c r="I31" i="5"/>
  <c r="AF31" i="5"/>
  <c r="X31" i="5"/>
  <c r="P31" i="5"/>
  <c r="H31" i="5"/>
  <c r="AE31" i="5"/>
  <c r="W31" i="5"/>
  <c r="O31" i="5"/>
  <c r="AD31" i="5"/>
  <c r="V31" i="5"/>
  <c r="N31" i="5"/>
  <c r="AK31" i="5"/>
  <c r="AC31" i="5"/>
  <c r="U31" i="5"/>
  <c r="M31" i="5"/>
  <c r="AJ31" i="5"/>
  <c r="AB31" i="5"/>
  <c r="T31" i="5"/>
  <c r="L31" i="5"/>
  <c r="AI31" i="5"/>
  <c r="AA31" i="5"/>
  <c r="S31" i="5"/>
  <c r="K31" i="5"/>
  <c r="AH31" i="5"/>
  <c r="Z31" i="5"/>
  <c r="R31" i="5"/>
  <c r="J31" i="5"/>
  <c r="AK40" i="5"/>
  <c r="AC40" i="5"/>
  <c r="U40" i="5"/>
  <c r="M40" i="5"/>
  <c r="F21" i="7"/>
  <c r="AJ40" i="5"/>
  <c r="AB40" i="5"/>
  <c r="T40" i="5"/>
  <c r="L40" i="5"/>
  <c r="Z40" i="5"/>
  <c r="P40" i="5"/>
  <c r="AI40" i="5"/>
  <c r="Y40" i="5"/>
  <c r="O40" i="5"/>
  <c r="AH40" i="5"/>
  <c r="X40" i="5"/>
  <c r="N40" i="5"/>
  <c r="AG40" i="5"/>
  <c r="W40" i="5"/>
  <c r="K40" i="5"/>
  <c r="AF40" i="5"/>
  <c r="V40" i="5"/>
  <c r="J40" i="5"/>
  <c r="AE40" i="5"/>
  <c r="S40" i="5"/>
  <c r="I40" i="5"/>
  <c r="AD40" i="5"/>
  <c r="R40" i="5"/>
  <c r="H40" i="5"/>
  <c r="AA40" i="5"/>
  <c r="Q40" i="5"/>
  <c r="N11" i="5"/>
  <c r="V11" i="5"/>
  <c r="V43" i="5" s="1"/>
  <c r="C43" i="6" s="1"/>
  <c r="AD11" i="5"/>
  <c r="AD43" i="5" s="1"/>
  <c r="C59" i="6" s="1"/>
  <c r="M55" i="5"/>
  <c r="R18" i="7" s="1"/>
  <c r="F19" i="7"/>
  <c r="AE38" i="5"/>
  <c r="W38" i="5"/>
  <c r="O38" i="5"/>
  <c r="AD38" i="5"/>
  <c r="V38" i="5"/>
  <c r="N38" i="5"/>
  <c r="E15" i="7"/>
  <c r="A23" i="6"/>
  <c r="L37" i="5"/>
  <c r="V37" i="5"/>
  <c r="AH37" i="5"/>
  <c r="K38" i="5"/>
  <c r="U38" i="5"/>
  <c r="AG38" i="5"/>
  <c r="A24" i="6"/>
  <c r="E16" i="7"/>
  <c r="M37" i="5"/>
  <c r="Y37" i="5"/>
  <c r="AI37" i="5"/>
  <c r="L38" i="5"/>
  <c r="X38" i="5"/>
  <c r="AH38" i="5"/>
  <c r="E11" i="7"/>
  <c r="A19" i="6"/>
  <c r="A25" i="6"/>
  <c r="E17" i="7"/>
  <c r="N37" i="5"/>
  <c r="Z37" i="5"/>
  <c r="AJ37" i="5"/>
  <c r="M38" i="5"/>
  <c r="Y38" i="5"/>
  <c r="AI38" i="5"/>
  <c r="D36" i="6"/>
  <c r="C36" i="6"/>
  <c r="I11" i="5"/>
  <c r="I43" i="5" s="1"/>
  <c r="C63" i="6" s="1"/>
  <c r="Q11" i="5"/>
  <c r="Q43" i="5" s="1"/>
  <c r="C53" i="6" s="1"/>
  <c r="Y11" i="5"/>
  <c r="Y43" i="5" s="1"/>
  <c r="C46" i="6" s="1"/>
  <c r="A20" i="6"/>
  <c r="E12" i="7"/>
  <c r="A26" i="6"/>
  <c r="E18" i="7"/>
  <c r="Q37" i="5"/>
  <c r="AA37" i="5"/>
  <c r="AK37" i="5"/>
  <c r="P38" i="5"/>
  <c r="Z38" i="5"/>
  <c r="AJ38" i="5"/>
  <c r="R37" i="5"/>
  <c r="AB37" i="5"/>
  <c r="E19" i="7"/>
  <c r="A27" i="6"/>
  <c r="Q38" i="5"/>
  <c r="AA38" i="5"/>
  <c r="AK38" i="5"/>
  <c r="I37" i="5"/>
  <c r="S37" i="5"/>
  <c r="AC37" i="5"/>
  <c r="H38" i="5"/>
  <c r="R38" i="5"/>
  <c r="AB38" i="5"/>
  <c r="J37" i="5"/>
  <c r="T37" i="5"/>
  <c r="I38" i="5"/>
  <c r="S38" i="5"/>
  <c r="AC38" i="5"/>
  <c r="F18" i="7"/>
  <c r="AF37" i="5"/>
  <c r="X37" i="5"/>
  <c r="P37" i="5"/>
  <c r="H37" i="5"/>
  <c r="AE37" i="5"/>
  <c r="W37" i="5"/>
  <c r="O37" i="5"/>
  <c r="A22" i="6"/>
  <c r="E14" i="7"/>
  <c r="K37" i="5"/>
  <c r="U37" i="5"/>
  <c r="AG37" i="5"/>
  <c r="J38" i="5"/>
  <c r="T38" i="5"/>
  <c r="AF38" i="5"/>
  <c r="A28" i="6"/>
  <c r="A29" i="6"/>
  <c r="M42" i="5" l="1"/>
  <c r="B67" i="6" s="1"/>
  <c r="W42" i="5"/>
  <c r="B44" i="6" s="1"/>
  <c r="Y42" i="5"/>
  <c r="B46" i="6" s="1"/>
  <c r="U42" i="5"/>
  <c r="U44" i="5" s="1"/>
  <c r="E68" i="5" s="1"/>
  <c r="D38" i="6"/>
  <c r="C38" i="6"/>
  <c r="S42" i="5"/>
  <c r="AA42" i="5"/>
  <c r="AG42" i="5"/>
  <c r="AC42" i="5"/>
  <c r="R42" i="5"/>
  <c r="R44" i="5" s="1"/>
  <c r="T42" i="5"/>
  <c r="N42" i="5"/>
  <c r="X42" i="5"/>
  <c r="Z42" i="5"/>
  <c r="AB42" i="5"/>
  <c r="V42" i="5"/>
  <c r="AF42" i="5"/>
  <c r="AH42" i="5"/>
  <c r="L58" i="5"/>
  <c r="Q21" i="7" s="1"/>
  <c r="N43" i="5"/>
  <c r="AE42" i="5"/>
  <c r="AI42" i="5"/>
  <c r="J42" i="5"/>
  <c r="AK42" i="5"/>
  <c r="AJ42" i="5"/>
  <c r="AD42" i="5"/>
  <c r="I42" i="5"/>
  <c r="H42" i="5"/>
  <c r="L42" i="5"/>
  <c r="P42" i="5"/>
  <c r="P44" i="5" s="1"/>
  <c r="E51" i="5" s="1"/>
  <c r="K42" i="5"/>
  <c r="G44" i="5"/>
  <c r="E49" i="5" s="1"/>
  <c r="F49" i="5" s="1"/>
  <c r="M57" i="5"/>
  <c r="R20" i="7" s="1"/>
  <c r="B36" i="6"/>
  <c r="O42" i="5"/>
  <c r="Q42" i="5"/>
  <c r="M65" i="5" l="1"/>
  <c r="R28" i="7" s="1"/>
  <c r="M44" i="5"/>
  <c r="E63" i="5" s="1"/>
  <c r="J20" i="7" s="1"/>
  <c r="M59" i="5"/>
  <c r="R22" i="7" s="1"/>
  <c r="W44" i="5"/>
  <c r="E70" i="5" s="1"/>
  <c r="J27" i="7" s="1"/>
  <c r="M60" i="5"/>
  <c r="R23" i="7" s="1"/>
  <c r="Y44" i="5"/>
  <c r="E72" i="5" s="1"/>
  <c r="F72" i="5" s="1"/>
  <c r="K29" i="7" s="1"/>
  <c r="B42" i="6"/>
  <c r="M64" i="5"/>
  <c r="R27" i="7" s="1"/>
  <c r="M63" i="5"/>
  <c r="R26" i="7" s="1"/>
  <c r="S44" i="5"/>
  <c r="E66" i="5" s="1"/>
  <c r="J23" i="7" s="1"/>
  <c r="B40" i="6"/>
  <c r="M51" i="5"/>
  <c r="R14" i="7" s="1"/>
  <c r="B45" i="6"/>
  <c r="X44" i="5"/>
  <c r="E71" i="5" s="1"/>
  <c r="K6" i="7"/>
  <c r="J6" i="7"/>
  <c r="B64" i="6"/>
  <c r="J44" i="5"/>
  <c r="E60" i="5" s="1"/>
  <c r="B58" i="6"/>
  <c r="AC44" i="5"/>
  <c r="E78" i="5" s="1"/>
  <c r="M52" i="5"/>
  <c r="R15" i="7" s="1"/>
  <c r="B65" i="6"/>
  <c r="K44" i="5"/>
  <c r="E61" i="5" s="1"/>
  <c r="B72" i="6"/>
  <c r="AI44" i="5"/>
  <c r="E86" i="5" s="1"/>
  <c r="B70" i="6"/>
  <c r="AG44" i="5"/>
  <c r="E84" i="5" s="1"/>
  <c r="B38" i="6"/>
  <c r="J8" i="7"/>
  <c r="B57" i="6"/>
  <c r="AB44" i="5"/>
  <c r="E77" i="5" s="1"/>
  <c r="M61" i="5"/>
  <c r="R24" i="7" s="1"/>
  <c r="AF44" i="5"/>
  <c r="E81" i="5" s="1"/>
  <c r="B61" i="6"/>
  <c r="M62" i="5"/>
  <c r="R25" i="7" s="1"/>
  <c r="V44" i="5"/>
  <c r="E69" i="5" s="1"/>
  <c r="B43" i="6"/>
  <c r="B56" i="6"/>
  <c r="AA44" i="5"/>
  <c r="E76" i="5" s="1"/>
  <c r="B66" i="6"/>
  <c r="M53" i="5"/>
  <c r="R16" i="7" s="1"/>
  <c r="L44" i="5"/>
  <c r="E62" i="5" s="1"/>
  <c r="B55" i="6"/>
  <c r="Z44" i="5"/>
  <c r="E75" i="5" s="1"/>
  <c r="Q44" i="5"/>
  <c r="E56" i="5" s="1"/>
  <c r="J13" i="7" s="1"/>
  <c r="B53" i="6"/>
  <c r="M50" i="5"/>
  <c r="R13" i="7" s="1"/>
  <c r="I44" i="5"/>
  <c r="E59" i="5" s="1"/>
  <c r="B63" i="6"/>
  <c r="B37" i="6"/>
  <c r="O44" i="5"/>
  <c r="E50" i="5" s="1"/>
  <c r="J7" i="7" s="1"/>
  <c r="B59" i="6"/>
  <c r="AD44" i="5"/>
  <c r="E79" i="5" s="1"/>
  <c r="M58" i="5"/>
  <c r="R21" i="7" s="1"/>
  <c r="B52" i="6"/>
  <c r="N44" i="5"/>
  <c r="E55" i="5" s="1"/>
  <c r="B73" i="6"/>
  <c r="AJ44" i="5"/>
  <c r="E87" i="5" s="1"/>
  <c r="B41" i="6"/>
  <c r="T44" i="5"/>
  <c r="E67" i="5" s="1"/>
  <c r="M54" i="5"/>
  <c r="R17" i="7" s="1"/>
  <c r="AE44" i="5"/>
  <c r="E80" i="5" s="1"/>
  <c r="B60" i="6"/>
  <c r="H44" i="5"/>
  <c r="E54" i="5" s="1"/>
  <c r="F54" i="5" s="1"/>
  <c r="B51" i="6"/>
  <c r="J25" i="7"/>
  <c r="F68" i="5"/>
  <c r="K25" i="7" s="1"/>
  <c r="D37" i="6"/>
  <c r="C52" i="6"/>
  <c r="B74" i="6"/>
  <c r="AK44" i="5"/>
  <c r="E88" i="5" s="1"/>
  <c r="AH44" i="5"/>
  <c r="E85" i="5" s="1"/>
  <c r="B71" i="6"/>
  <c r="F63" i="5" l="1"/>
  <c r="K20" i="7" s="1"/>
  <c r="J29" i="7"/>
  <c r="F70" i="5"/>
  <c r="K27" i="7" s="1"/>
  <c r="F66" i="5"/>
  <c r="K23" i="7" s="1"/>
  <c r="F55" i="5"/>
  <c r="K12" i="7" s="1"/>
  <c r="J12" i="7"/>
  <c r="F62" i="5"/>
  <c r="K19" i="7" s="1"/>
  <c r="J19" i="7"/>
  <c r="F86" i="5"/>
  <c r="K43" i="7" s="1"/>
  <c r="J43" i="7"/>
  <c r="J45" i="7"/>
  <c r="F88" i="5"/>
  <c r="K45" i="7" s="1"/>
  <c r="J34" i="7"/>
  <c r="F77" i="5"/>
  <c r="K34" i="7" s="1"/>
  <c r="F76" i="5"/>
  <c r="K33" i="7" s="1"/>
  <c r="J33" i="7"/>
  <c r="J17" i="7"/>
  <c r="F60" i="5"/>
  <c r="K17" i="7" s="1"/>
  <c r="J11" i="7"/>
  <c r="K11" i="7"/>
  <c r="J38" i="7"/>
  <c r="F81" i="5"/>
  <c r="K38" i="7" s="1"/>
  <c r="F85" i="5"/>
  <c r="K42" i="7" s="1"/>
  <c r="J42" i="7"/>
  <c r="F80" i="5"/>
  <c r="K37" i="7" s="1"/>
  <c r="J37" i="7"/>
  <c r="F59" i="5"/>
  <c r="K16" i="7" s="1"/>
  <c r="J16" i="7"/>
  <c r="J18" i="7"/>
  <c r="F61" i="5"/>
  <c r="K18" i="7" s="1"/>
  <c r="J24" i="7"/>
  <c r="F67" i="5"/>
  <c r="K24" i="7" s="1"/>
  <c r="L56" i="5"/>
  <c r="Q19" i="7" s="1"/>
  <c r="J35" i="7"/>
  <c r="F78" i="5"/>
  <c r="K35" i="7" s="1"/>
  <c r="J28" i="7"/>
  <c r="F71" i="5"/>
  <c r="K28" i="7" s="1"/>
  <c r="F79" i="5"/>
  <c r="K36" i="7" s="1"/>
  <c r="J36" i="7"/>
  <c r="J44" i="7"/>
  <c r="F87" i="5"/>
  <c r="K44" i="7" s="1"/>
  <c r="F75" i="5"/>
  <c r="K32" i="7" s="1"/>
  <c r="J32" i="7"/>
  <c r="J26" i="7"/>
  <c r="F69" i="5"/>
  <c r="K26" i="7" s="1"/>
  <c r="J41" i="7"/>
  <c r="F84" i="5"/>
  <c r="K41" i="7" s="1"/>
</calcChain>
</file>

<file path=xl/sharedStrings.xml><?xml version="1.0" encoding="utf-8"?>
<sst xmlns="http://schemas.openxmlformats.org/spreadsheetml/2006/main" count="1356" uniqueCount="441">
  <si>
    <t>Painel de controle</t>
  </si>
  <si>
    <t>Categoria</t>
  </si>
  <si>
    <t>GMD/ Leite</t>
  </si>
  <si>
    <t>ED (Mcal)</t>
  </si>
  <si>
    <t>PB (g)</t>
  </si>
  <si>
    <t>Lis (g)</t>
  </si>
  <si>
    <t>Treo (g)</t>
  </si>
  <si>
    <t>Met (g)</t>
  </si>
  <si>
    <t>Trip (g)</t>
  </si>
  <si>
    <t>EE (g)(Máx)</t>
  </si>
  <si>
    <t>FDN (g)</t>
  </si>
  <si>
    <t>FDA (g)</t>
  </si>
  <si>
    <t>Amido (g) (limite máx/refeição)</t>
  </si>
  <si>
    <t>Cinzas (g)</t>
  </si>
  <si>
    <t>Ca (g)</t>
  </si>
  <si>
    <t>P (g)</t>
  </si>
  <si>
    <t>Mg (g)</t>
  </si>
  <si>
    <t>K (g)</t>
  </si>
  <si>
    <t>Na (g)</t>
  </si>
  <si>
    <t>Cl (g)</t>
  </si>
  <si>
    <t>S (g)</t>
  </si>
  <si>
    <t>Co m(g)</t>
  </si>
  <si>
    <t>Cu (mg)</t>
  </si>
  <si>
    <t>I (mg)</t>
  </si>
  <si>
    <t>Fe (mg)</t>
  </si>
  <si>
    <t>Mn (mg)</t>
  </si>
  <si>
    <t>Se (mg)</t>
  </si>
  <si>
    <t>Zn (mg)</t>
  </si>
  <si>
    <t>A (kUI)</t>
  </si>
  <si>
    <t>D (UI)</t>
  </si>
  <si>
    <t>E (UI)</t>
  </si>
  <si>
    <t>B1 (mg)</t>
  </si>
  <si>
    <t>B2 (mg)</t>
  </si>
  <si>
    <t>Adulto Mantença Mínimo Esforço</t>
  </si>
  <si>
    <t>Adulto Mantença Médio Esforço</t>
  </si>
  <si>
    <t>Trabalho Exercício Intenso</t>
  </si>
  <si>
    <t>Trabalho Exercício Leve</t>
  </si>
  <si>
    <t>Crescimento 12 Meses</t>
  </si>
  <si>
    <t>Trabalho Exercício Muito Intenso</t>
  </si>
  <si>
    <t>Garanhão Fora da Estação Monta</t>
  </si>
  <si>
    <t>Garanhão Estação Monta</t>
  </si>
  <si>
    <t>Égua Prenhe &lt; 5 meses</t>
  </si>
  <si>
    <t>Égua Prenhe 5 Meses</t>
  </si>
  <si>
    <t>Égua Prenhe 6 Meses</t>
  </si>
  <si>
    <t>Égua Prenhe 7 Meses</t>
  </si>
  <si>
    <t>Égua Prenhe 8 Meses</t>
  </si>
  <si>
    <t>Égua Prenhe 9 Meses</t>
  </si>
  <si>
    <t>Égua Prenhe 10 Meses</t>
  </si>
  <si>
    <t>Égua Prenhe 11 Meses</t>
  </si>
  <si>
    <t>Égua Lactação  1 Meses</t>
  </si>
  <si>
    <t>Égua Lactação 2 Meses</t>
  </si>
  <si>
    <t>Égua Lactação 3 Meses</t>
  </si>
  <si>
    <t>Égua Lactação 4 Meses</t>
  </si>
  <si>
    <t>Égua Lactação 5 Meses</t>
  </si>
  <si>
    <t>Égua Lactação 6 Meses</t>
  </si>
  <si>
    <t>Crescimento  4 Meses</t>
  </si>
  <si>
    <t>Crescimento 6 Meses</t>
  </si>
  <si>
    <t>Crescimento 18 Meses</t>
  </si>
  <si>
    <t>Crescimento 18 Meses exercício leve</t>
  </si>
  <si>
    <t>Crescimento 18 Meses exercício moderado</t>
  </si>
  <si>
    <t>Crescimento 24 meses</t>
  </si>
  <si>
    <t>Crescimento 24 Meses exercíco leve</t>
  </si>
  <si>
    <t>Crescimento 24 Meses exercício moderado</t>
  </si>
  <si>
    <t>Crescimento 24 Meses exercício intenso</t>
  </si>
  <si>
    <t>Crescimento 24 Meses exercício muito intenso</t>
  </si>
  <si>
    <t>Trabalho Exercício Moderado</t>
  </si>
  <si>
    <t>10.7</t>
  </si>
  <si>
    <t>Nome do Alimento</t>
  </si>
  <si>
    <t xml:space="preserve">Classificação </t>
  </si>
  <si>
    <t>R$</t>
  </si>
  <si>
    <t>MS (%)</t>
  </si>
  <si>
    <t>PB (% M.S)</t>
  </si>
  <si>
    <t>Lis (%M.S)</t>
  </si>
  <si>
    <t>Treo (%M.S)</t>
  </si>
  <si>
    <t>Met (%M.S)</t>
  </si>
  <si>
    <t>Trip (%M.S)</t>
  </si>
  <si>
    <t>EE (% M.S)</t>
  </si>
  <si>
    <t>FDN (% M.S)</t>
  </si>
  <si>
    <t>FDA (% M.S)</t>
  </si>
  <si>
    <t>Amido (% M.S)</t>
  </si>
  <si>
    <t>Cinzas (% M.S)</t>
  </si>
  <si>
    <t>Ca (% M.S)</t>
  </si>
  <si>
    <t>P (% M.S)</t>
  </si>
  <si>
    <t>Mg (% M.S)</t>
  </si>
  <si>
    <t>K (% M.S)</t>
  </si>
  <si>
    <t>Na (% M.S)</t>
  </si>
  <si>
    <t>Cl (% M.S)</t>
  </si>
  <si>
    <t>S (% M.S)</t>
  </si>
  <si>
    <t>Co (mg)</t>
  </si>
  <si>
    <t>Lac. Acid. (mg)</t>
  </si>
  <si>
    <t>Bac. Sub. (mg)</t>
  </si>
  <si>
    <t>Vit B5 (mg)</t>
  </si>
  <si>
    <t>Vit B3 (mg)</t>
  </si>
  <si>
    <t>Condroitina (mg)</t>
  </si>
  <si>
    <t>VAZIO6</t>
  </si>
  <si>
    <t>VAZIO7</t>
  </si>
  <si>
    <t>VAZIO8</t>
  </si>
  <si>
    <t>VAZIO9</t>
  </si>
  <si>
    <t>VAZIO10</t>
  </si>
  <si>
    <t>VAZIO11</t>
  </si>
  <si>
    <t>VAZIO12</t>
  </si>
  <si>
    <t>VAZIO13</t>
  </si>
  <si>
    <t>VAZIO14</t>
  </si>
  <si>
    <t>VAZIO15</t>
  </si>
  <si>
    <t>Aveia, feno</t>
  </si>
  <si>
    <t>Forragem</t>
  </si>
  <si>
    <t>Aveia, grãos</t>
  </si>
  <si>
    <t>Concentrado</t>
  </si>
  <si>
    <t>Aveia, grãos inteiros</t>
  </si>
  <si>
    <t>Aveia, Silagem</t>
  </si>
  <si>
    <t>Bacillus Subtillis</t>
  </si>
  <si>
    <t>Aditivo</t>
  </si>
  <si>
    <t>Bacilus Subtilis</t>
  </si>
  <si>
    <t>Brotos de malte de cevada</t>
  </si>
  <si>
    <t>Calcario calcítico</t>
  </si>
  <si>
    <t>Núcleo</t>
  </si>
  <si>
    <t>Capol Lac Nucleo</t>
  </si>
  <si>
    <t>Cascas de amêndoa</t>
  </si>
  <si>
    <t>Centeio, Anual, Silagem</t>
  </si>
  <si>
    <t>Connect Pro Evolution</t>
  </si>
  <si>
    <t>Suplemento</t>
  </si>
  <si>
    <t>Cromo Quelato</t>
  </si>
  <si>
    <t>Micromineral</t>
  </si>
  <si>
    <t>Enxofre</t>
  </si>
  <si>
    <t>Macromineral</t>
  </si>
  <si>
    <t>Farelo de arroz</t>
  </si>
  <si>
    <t>Farelo de trigo</t>
  </si>
  <si>
    <t>Farinha de alfafa, 17% PB</t>
  </si>
  <si>
    <t>Farinha de algodão, solvente</t>
  </si>
  <si>
    <t>Farinha de amendoim, solvente</t>
  </si>
  <si>
    <t>Farinha de Canola, extrator</t>
  </si>
  <si>
    <t>Farinha de Girassol, solvente</t>
  </si>
  <si>
    <t>Farinha de linhaça, solvente</t>
  </si>
  <si>
    <t>Farinha de peixe, anchova</t>
  </si>
  <si>
    <t>Farinha de peixe, menhaden</t>
  </si>
  <si>
    <t>Farinha de Samower, solvente</t>
  </si>
  <si>
    <t>Farinha de Trigo Forragens</t>
  </si>
  <si>
    <t>Feno Alfafa</t>
  </si>
  <si>
    <t>Feno de grama bermuda</t>
  </si>
  <si>
    <t>Feno de grama bermuda, Tifton-85</t>
  </si>
  <si>
    <t>Feno de grama, estação fria, imaturo</t>
  </si>
  <si>
    <t>Feno de leguminosas</t>
  </si>
  <si>
    <t>Feno de trigo</t>
  </si>
  <si>
    <t>Feno forrageiro de leguminosas, imaturo</t>
  </si>
  <si>
    <t>Feno forrageiro de leguminosas, maduro</t>
  </si>
  <si>
    <t>Feno tifiton A</t>
  </si>
  <si>
    <t>Fosfato bicalcico 18,5%</t>
  </si>
  <si>
    <t>Grama Feno, estação fria</t>
  </si>
  <si>
    <t>Grama Feno, estação fria, madura</t>
  </si>
  <si>
    <t>Grão de cevada</t>
  </si>
  <si>
    <t>Grão de trigo</t>
  </si>
  <si>
    <t>Grãos de cerveja, secos (DDG)</t>
  </si>
  <si>
    <t>Grãos de cerveja, úmido (WDG)</t>
  </si>
  <si>
    <t>Guabi - Equitage Supreme</t>
  </si>
  <si>
    <t>Guabi Beet</t>
  </si>
  <si>
    <t>Guabi Care</t>
  </si>
  <si>
    <t>Guabi Fribra</t>
  </si>
  <si>
    <t>Guabi Proequi 15 Melaçada</t>
  </si>
  <si>
    <t>Guabi Proequi Original</t>
  </si>
  <si>
    <t>Hidrol. Ácidos graxos de sebo</t>
  </si>
  <si>
    <t>Gordura</t>
  </si>
  <si>
    <t>Horse 12 Mix</t>
  </si>
  <si>
    <t>Iodato de Calcio</t>
  </si>
  <si>
    <t>Lactobacilus acidophilus</t>
  </si>
  <si>
    <t>Lisina</t>
  </si>
  <si>
    <t>Aminoácido</t>
  </si>
  <si>
    <t>Lithothamnium</t>
  </si>
  <si>
    <t>Melaço, açúcar de beterraba</t>
  </si>
  <si>
    <t>Melaço, cana-de-açúcar</t>
  </si>
  <si>
    <t>Metionina</t>
  </si>
  <si>
    <t>Microvit B3 (Niacina)</t>
  </si>
  <si>
    <t>Vitamina</t>
  </si>
  <si>
    <t>Microvit B5 (Pantotenato de Calcio)</t>
  </si>
  <si>
    <t>Milho Destilado Seco Grão</t>
  </si>
  <si>
    <t>Milho Farinha de Glúten, seca</t>
  </si>
  <si>
    <t>Milho Glúten Feed, seco</t>
  </si>
  <si>
    <t>Milho Grão, em flocos a vapor</t>
  </si>
  <si>
    <t>Milho Grão, moído, seco</t>
  </si>
  <si>
    <t>Milho Grão, rachado, seco</t>
  </si>
  <si>
    <t>Milho Grão+-espiga</t>
  </si>
  <si>
    <t>Milho Silagem, imaturo</t>
  </si>
  <si>
    <t>Milho Silagem, maduro</t>
  </si>
  <si>
    <t>Milho Silagem, normal</t>
  </si>
  <si>
    <t>Milho, amarelo, espigas</t>
  </si>
  <si>
    <t>Milho, canjica</t>
  </si>
  <si>
    <t>Mistura Grama + Feno de Legumes, immat.</t>
  </si>
  <si>
    <t>Mistura Grama + Legumes Feno, maduro</t>
  </si>
  <si>
    <t>Mistura grama + perna. Hay, no meio do tapete.</t>
  </si>
  <si>
    <t>Mistura grama + perna. Sil., imaturo</t>
  </si>
  <si>
    <t>Mistura grama + perna. Sil., maduro</t>
  </si>
  <si>
    <t>Mistura grama + perna. Sil., meio do tapete.</t>
  </si>
  <si>
    <t>Mombaça Estrutura boa - Planta jovem</t>
  </si>
  <si>
    <t>Óleo vegetal</t>
  </si>
  <si>
    <t>Organnact - Muscle Horse Turbo</t>
  </si>
  <si>
    <t>Oxido de Magnésio</t>
  </si>
  <si>
    <t>Oxido de Zinco</t>
  </si>
  <si>
    <t>Pão, desperdício</t>
  </si>
  <si>
    <t>Pasto de grama, estação fria, vegetais.</t>
  </si>
  <si>
    <t>Pasto forrageiro de leguminosas, veg.</t>
  </si>
  <si>
    <t>Polpa Citrus</t>
  </si>
  <si>
    <t>1 1</t>
  </si>
  <si>
    <t>Polpa De Açúcar De Beterraba. melaço (3%)</t>
  </si>
  <si>
    <t>Polpa De Açúcar De Beterraba. sem melaço</t>
  </si>
  <si>
    <t>Pré-secado Tífton 60%</t>
  </si>
  <si>
    <t>Principalmente feno de grama, maduro</t>
  </si>
  <si>
    <t>Principalmente feno de leguminosas</t>
  </si>
  <si>
    <t>Principalmente feno de leguminosas, imaturo</t>
  </si>
  <si>
    <t>Principalmente feno de leguminosas, maduro</t>
  </si>
  <si>
    <t>Principalmente Grass Hay</t>
  </si>
  <si>
    <t>Principalmente Grass Hay, imaturo</t>
  </si>
  <si>
    <t>Principalmente Silagem de Grama</t>
  </si>
  <si>
    <t>Principalmente Silagem de Grama, immat.</t>
  </si>
  <si>
    <t>Principalmente Silagem de Grama, madura</t>
  </si>
  <si>
    <t>Principalmente Silagem de Legumes</t>
  </si>
  <si>
    <t>Principalmente Silagem de Legumes, imatura</t>
  </si>
  <si>
    <t>Principalmente Silagem de Legumes, madura</t>
  </si>
  <si>
    <t>Ração Haras Nova Linhagem</t>
  </si>
  <si>
    <t>Refeição de Subproduto de Batata</t>
  </si>
  <si>
    <t>Sal branco</t>
  </si>
  <si>
    <t>Sebo</t>
  </si>
  <si>
    <t>Sebo Hidrogenado Parcial</t>
  </si>
  <si>
    <t>Selenito de Sodio</t>
  </si>
  <si>
    <t>Semente de algodão inteira com fiapos</t>
  </si>
  <si>
    <t>Semente de algodão, casca</t>
  </si>
  <si>
    <t>Silagem de capim, estação fria</t>
  </si>
  <si>
    <t>Silagem de capim, estação fria, imatura</t>
  </si>
  <si>
    <t>Silagem de capim, estação fria, madura</t>
  </si>
  <si>
    <t>Silagem de Cevada</t>
  </si>
  <si>
    <t>Silagem de forragem de leguminosas</t>
  </si>
  <si>
    <t>Silagem de leguminosas forrageiras, immat.</t>
  </si>
  <si>
    <t>0*65</t>
  </si>
  <si>
    <t>Silagem de leguminosas forrageiras, maduras</t>
  </si>
  <si>
    <t>Silagem de trigo, cabeça precoce</t>
  </si>
  <si>
    <t>Silagem de Triticale</t>
  </si>
  <si>
    <t>Soja tostada</t>
  </si>
  <si>
    <t>Soja, casca</t>
  </si>
  <si>
    <t>Soja, Farelo 44% PB</t>
  </si>
  <si>
    <t>Soja, Farelo 46% PB</t>
  </si>
  <si>
    <t>Soja, Farelo 48% PB</t>
  </si>
  <si>
    <t>Soja, farinha, expelidos</t>
  </si>
  <si>
    <t>Soja, sementes, inteiras</t>
  </si>
  <si>
    <t>Soja, Silagem</t>
  </si>
  <si>
    <t>Sorgo, grão, em flocos a vapor</t>
  </si>
  <si>
    <t>Sorgo, grão, laminado a seco</t>
  </si>
  <si>
    <t>Oă46</t>
  </si>
  <si>
    <t>Sorgo, Tipo Grão, Silagem</t>
  </si>
  <si>
    <t>Sorgo, Tipo Sudão, Feno</t>
  </si>
  <si>
    <t>Sorgo, Tipo Sudão, Silagem</t>
  </si>
  <si>
    <t>Subproduto de cereais</t>
  </si>
  <si>
    <t>Sulfato de Cobalto</t>
  </si>
  <si>
    <t>Sulfato de Cobre</t>
  </si>
  <si>
    <t>Sulfato de Condroitina</t>
  </si>
  <si>
    <t>Sulfato de Manganes</t>
  </si>
  <si>
    <t>Sulfato Ferroso</t>
  </si>
  <si>
    <t>Tortuga Kromium</t>
  </si>
  <si>
    <t>Treonina</t>
  </si>
  <si>
    <t>Triptofano</t>
  </si>
  <si>
    <t>Vetnil - Aminomix</t>
  </si>
  <si>
    <t>Vetnil - Aminomix JCR</t>
  </si>
  <si>
    <t>Vetnil - Glicopan</t>
  </si>
  <si>
    <t>Vetnil - Hemolitan</t>
  </si>
  <si>
    <t>Feno verde - tifton 85</t>
  </si>
  <si>
    <t>1. Estimativa de Energia Digestível (Mcal/Kg)</t>
  </si>
  <si>
    <t>Equação NRC 2007, Pag 304. Pagan (1998)</t>
  </si>
  <si>
    <t>PB (%.MS)</t>
  </si>
  <si>
    <t>FDA (%.MS)</t>
  </si>
  <si>
    <t>FDN (%.MS)</t>
  </si>
  <si>
    <t>EE (%.MS)</t>
  </si>
  <si>
    <t>CNF (%.MS)</t>
  </si>
  <si>
    <t>MM (%.MS)</t>
  </si>
  <si>
    <t>Energia Digestível Mcal/kg</t>
  </si>
  <si>
    <t>2. Estimativa de Energia Digestível (Mcal/Kg) - Volumosos secos e úmidos</t>
  </si>
  <si>
    <t>Equação NRC 1989. Fonnesbeck (1981)</t>
  </si>
  <si>
    <t>3. Estimativa de Energia Digestível (Mcal/Kg) - Volumosos secos e úmidos</t>
  </si>
  <si>
    <t>DESCRIÇÃO DO ANIMAL OU GRUPO DE ANIMAIS</t>
  </si>
  <si>
    <t>Nome Animal</t>
  </si>
  <si>
    <t>Messi do Yuri</t>
  </si>
  <si>
    <t>Idade (Meses)</t>
  </si>
  <si>
    <t>Raça</t>
  </si>
  <si>
    <t>MM</t>
  </si>
  <si>
    <t>Peso Corporal (kg)</t>
  </si>
  <si>
    <t xml:space="preserve">1. EXIGÊNCIAS </t>
  </si>
  <si>
    <t>ANIMAL</t>
  </si>
  <si>
    <t xml:space="preserve">CMS </t>
  </si>
  <si>
    <t>Amido (g/kgPC/Refeição)</t>
  </si>
  <si>
    <t>2. ESCOLHA DOS ALIMENTOS</t>
  </si>
  <si>
    <t>Nome Alimento</t>
  </si>
  <si>
    <t>Lis (% M.S)</t>
  </si>
  <si>
    <t>Treo (% M.S)</t>
  </si>
  <si>
    <t>Met (% M.S)</t>
  </si>
  <si>
    <t>Trip (% M.S)</t>
  </si>
  <si>
    <t>3. BALANCEAMENTO DA DIETA</t>
  </si>
  <si>
    <t>Qtide MN</t>
  </si>
  <si>
    <t>MS (kg)</t>
  </si>
  <si>
    <t>EE (g)</t>
  </si>
  <si>
    <t>Amido (g)</t>
  </si>
  <si>
    <t>TOTAL FORNECIDO DIETA</t>
  </si>
  <si>
    <t>EXIGÊNCIA  ANIMAL</t>
  </si>
  <si>
    <t xml:space="preserve">BALANCEAMENTO </t>
  </si>
  <si>
    <t>Amido (g/kgPC)</t>
  </si>
  <si>
    <t xml:space="preserve">4. RESULTADO </t>
  </si>
  <si>
    <t>FIBRA</t>
  </si>
  <si>
    <t>UNID.</t>
  </si>
  <si>
    <t>%</t>
  </si>
  <si>
    <t>5. RELAÇÕES</t>
  </si>
  <si>
    <t>PROPORÇÕES ENTRE NUTRIENTES</t>
  </si>
  <si>
    <t>Ideal</t>
  </si>
  <si>
    <t>Praticado</t>
  </si>
  <si>
    <t>Proteina Bruta : Energia Digestível</t>
  </si>
  <si>
    <t>&gt; 38</t>
  </si>
  <si>
    <t>Cálcio : Fósforo</t>
  </si>
  <si>
    <t>Treonina:Lisina</t>
  </si>
  <si>
    <t>ENERGIA</t>
  </si>
  <si>
    <t>Metionina:Lisina</t>
  </si>
  <si>
    <t>ED (Mcal/kg)</t>
  </si>
  <si>
    <t>Triptofano:Lisina</t>
  </si>
  <si>
    <t>Volumoso (%PC)</t>
  </si>
  <si>
    <t>&gt; 1%</t>
  </si>
  <si>
    <t>Número Min. de Refeição/dia</t>
  </si>
  <si>
    <t>Arredonda para cima</t>
  </si>
  <si>
    <t>Número Mínimo Refeição (Concentrado)</t>
  </si>
  <si>
    <t>CMS (%PC)</t>
  </si>
  <si>
    <t>&gt; 2</t>
  </si>
  <si>
    <t>PROTEINA &amp; AA</t>
  </si>
  <si>
    <t>EE (g)(Máx x Fornecido dieta)</t>
  </si>
  <si>
    <t>Ca/P</t>
  </si>
  <si>
    <t>1,2 a 3,5</t>
  </si>
  <si>
    <t>Ca/Mg</t>
  </si>
  <si>
    <t>1,5 a 6,0</t>
  </si>
  <si>
    <t>Zn/Cu</t>
  </si>
  <si>
    <t>&lt;3 jovens</t>
  </si>
  <si>
    <t>&lt;6 adultos</t>
  </si>
  <si>
    <t>Mn/Zn</t>
  </si>
  <si>
    <t>1 a 2</t>
  </si>
  <si>
    <t>Mn/Cu</t>
  </si>
  <si>
    <t>2,25 a 5</t>
  </si>
  <si>
    <t>MACROMINERAIS</t>
  </si>
  <si>
    <t>K/Na</t>
  </si>
  <si>
    <t>MICROMINERAIS</t>
  </si>
  <si>
    <t>VITAMINAS</t>
  </si>
  <si>
    <t>EQUESTRE</t>
  </si>
  <si>
    <t>Nutrição Animal</t>
  </si>
  <si>
    <t xml:space="preserve"> DADOS DO ANIMAL</t>
  </si>
  <si>
    <t>1. FICHA DE ALIMENTAÇÃO</t>
  </si>
  <si>
    <t>2. BALANÇO DE NUTRIENTES</t>
  </si>
  <si>
    <t>EXIG.</t>
  </si>
  <si>
    <t>Máx.</t>
  </si>
  <si>
    <t>Min.</t>
  </si>
  <si>
    <t>Amido (g/kgPV)</t>
  </si>
  <si>
    <t>3. RECOMENDAÇÕES</t>
  </si>
  <si>
    <t>DENER CORRÊA</t>
  </si>
  <si>
    <t>Zootecnista CRMV 2014/Z</t>
  </si>
  <si>
    <t>(37) 98844 3434 - equestrenutri@gmail.com</t>
  </si>
  <si>
    <t>Haras:</t>
  </si>
  <si>
    <t xml:space="preserve">2. RESULTADO </t>
  </si>
  <si>
    <t>Cliente:</t>
  </si>
  <si>
    <t>Jorge</t>
  </si>
  <si>
    <t>Data relatório:</t>
  </si>
  <si>
    <t>CMS (%)</t>
  </si>
  <si>
    <t>Técnico Responsável:</t>
  </si>
  <si>
    <t>ESDC</t>
  </si>
  <si>
    <t>1. DIETA</t>
  </si>
  <si>
    <t>ALIMENTO</t>
  </si>
  <si>
    <t>MS</t>
  </si>
  <si>
    <t>MN</t>
  </si>
  <si>
    <t>3. RELAÇÕES IMPORTANTES</t>
  </si>
  <si>
    <t>Suplemento Connect Horse</t>
  </si>
  <si>
    <t>Recomedações:</t>
  </si>
  <si>
    <t>Observações:</t>
  </si>
  <si>
    <t>PV(PESO VIVO?)</t>
  </si>
  <si>
    <t>Consumo de matéria
seca diária(Kg)</t>
  </si>
  <si>
    <t xml:space="preserve">Descrição </t>
  </si>
  <si>
    <t>Nutrientes</t>
  </si>
  <si>
    <t xml:space="preserve">Lis </t>
  </si>
  <si>
    <t>Unidade</t>
  </si>
  <si>
    <t>mg</t>
  </si>
  <si>
    <t>Treo</t>
  </si>
  <si>
    <t>Met</t>
  </si>
  <si>
    <t>Trip</t>
  </si>
  <si>
    <t>EE</t>
  </si>
  <si>
    <t>FDN</t>
  </si>
  <si>
    <t>FDA</t>
  </si>
  <si>
    <t>Amido</t>
  </si>
  <si>
    <t>Cinzas</t>
  </si>
  <si>
    <t>Ca</t>
  </si>
  <si>
    <t>P</t>
  </si>
  <si>
    <t>Mg</t>
  </si>
  <si>
    <t>K</t>
  </si>
  <si>
    <t>Na</t>
  </si>
  <si>
    <t>Cl</t>
  </si>
  <si>
    <t>S</t>
  </si>
  <si>
    <t>Co</t>
  </si>
  <si>
    <t>A</t>
  </si>
  <si>
    <t>D</t>
  </si>
  <si>
    <t>E</t>
  </si>
  <si>
    <t>B1</t>
  </si>
  <si>
    <t>B2</t>
  </si>
  <si>
    <t>Lac. Acid.</t>
  </si>
  <si>
    <t>Bac. Sub.</t>
  </si>
  <si>
    <t>Vit B5</t>
  </si>
  <si>
    <t>Vit B3</t>
  </si>
  <si>
    <t>Condroitina</t>
  </si>
  <si>
    <t>Cu</t>
  </si>
  <si>
    <t>I</t>
  </si>
  <si>
    <t>Fe</t>
  </si>
  <si>
    <t>Mn</t>
  </si>
  <si>
    <t>Se</t>
  </si>
  <si>
    <t>Zn</t>
  </si>
  <si>
    <t>kui</t>
  </si>
  <si>
    <t>ui</t>
  </si>
  <si>
    <t>%m.s</t>
  </si>
  <si>
    <t>Adulto Mantença Elevado Esforço</t>
  </si>
  <si>
    <t xml:space="preserve">Adulto Mantença </t>
  </si>
  <si>
    <t>Adulto Mantença</t>
  </si>
  <si>
    <t>Esforço</t>
  </si>
  <si>
    <t xml:space="preserve">Médio </t>
  </si>
  <si>
    <t>Mínimo</t>
  </si>
  <si>
    <t>Elevado</t>
  </si>
  <si>
    <t>Crescimento</t>
  </si>
  <si>
    <t>Leve</t>
  </si>
  <si>
    <t>Moderado</t>
  </si>
  <si>
    <t>Intenso</t>
  </si>
  <si>
    <t>Crescimento/Exercício</t>
  </si>
  <si>
    <t>Muito Intenso</t>
  </si>
  <si>
    <t xml:space="preserve">Égua Lactação </t>
  </si>
  <si>
    <t>Égua Prenhe</t>
  </si>
  <si>
    <t>Fase Meses</t>
  </si>
  <si>
    <t>Peso Vivo</t>
  </si>
  <si>
    <t>Trabalho/Exercício</t>
  </si>
  <si>
    <t>Categoria Animal</t>
  </si>
  <si>
    <t>Nome</t>
  </si>
  <si>
    <t>Composição Exigencia</t>
  </si>
  <si>
    <t>Nutriente</t>
  </si>
  <si>
    <t>Lis</t>
  </si>
  <si>
    <t>UI</t>
  </si>
  <si>
    <t>kUI</t>
  </si>
  <si>
    <t>g</t>
  </si>
  <si>
    <t>Composição Exigencia Check Dieta</t>
  </si>
  <si>
    <t>Composição Alimento Check Dieta</t>
  </si>
  <si>
    <t>Exigência</t>
  </si>
  <si>
    <t>Ganho Médio Diário(Leite)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</si>
</sst>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"/>
    <numFmt numFmtId="165" formatCode="0.000"/>
    <numFmt numFmtId="166" formatCode="_-&quot;R$&quot;\ * #,##0.00_-;\-&quot;R$&quot;\ * #,##0.00_-;_-&quot;R$&quot;\ * &quot;-&quot;??_-;_-@"/>
  </numFmts>
  <fonts count="4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1F3864"/>
      <name val="Calibri"/>
    </font>
    <font>
      <b/>
      <sz val="22"/>
      <color rgb="FF1F3864"/>
      <name val="Lustria"/>
    </font>
    <font>
      <b/>
      <sz val="48"/>
      <color rgb="FF1F3864"/>
      <name val="Lustria"/>
    </font>
    <font>
      <b/>
      <sz val="72"/>
      <color rgb="FF1F3864"/>
      <name val="Lustria"/>
    </font>
    <font>
      <sz val="24"/>
      <color rgb="FF1F3864"/>
      <name val="Calibri"/>
    </font>
    <font>
      <sz val="11"/>
      <name val="Calibri"/>
    </font>
    <font>
      <sz val="20"/>
      <color rgb="FF1F3864"/>
      <name val="Calibri"/>
    </font>
    <font>
      <sz val="11"/>
      <color theme="1"/>
      <name val="Calibri"/>
    </font>
    <font>
      <sz val="10"/>
      <color theme="1"/>
      <name val="Calibri"/>
    </font>
    <font>
      <sz val="10"/>
      <color theme="0"/>
      <name val="Calibri"/>
    </font>
    <font>
      <b/>
      <sz val="14"/>
      <color rgb="FF1F3864"/>
      <name val="Calibri"/>
    </font>
    <font>
      <b/>
      <sz val="11"/>
      <color rgb="FF385623"/>
      <name val="Calibri"/>
    </font>
    <font>
      <b/>
      <sz val="9"/>
      <color theme="1"/>
      <name val="Calibri"/>
    </font>
    <font>
      <sz val="9"/>
      <color theme="1"/>
      <name val="Calibri"/>
    </font>
    <font>
      <b/>
      <sz val="9"/>
      <color theme="0"/>
      <name val="Calibri"/>
    </font>
    <font>
      <b/>
      <sz val="14"/>
      <color theme="0"/>
      <name val="Calibri"/>
    </font>
    <font>
      <b/>
      <sz val="20"/>
      <color theme="1"/>
      <name val="Calibri"/>
    </font>
    <font>
      <sz val="9"/>
      <color rgb="FFFFFFFF"/>
      <name val="Calibri"/>
    </font>
    <font>
      <sz val="9"/>
      <color theme="0"/>
      <name val="Calibri"/>
    </font>
    <font>
      <b/>
      <sz val="11"/>
      <color theme="1"/>
      <name val="Calibri"/>
    </font>
    <font>
      <b/>
      <sz val="10"/>
      <color theme="0"/>
      <name val="Calibri"/>
    </font>
    <font>
      <sz val="8"/>
      <color theme="1"/>
      <name val="Calibri"/>
    </font>
    <font>
      <sz val="8"/>
      <color theme="0"/>
      <name val="Calibri"/>
    </font>
    <font>
      <b/>
      <sz val="8"/>
      <color theme="1"/>
      <name val="Calibri"/>
    </font>
    <font>
      <b/>
      <sz val="10"/>
      <color theme="1"/>
      <name val="Calibri"/>
    </font>
    <font>
      <b/>
      <sz val="11"/>
      <color theme="0"/>
      <name val="Calibri"/>
    </font>
    <font>
      <sz val="11"/>
      <color theme="0"/>
      <name val="Calibri"/>
    </font>
    <font>
      <b/>
      <sz val="22"/>
      <color theme="1"/>
      <name val="Lustria"/>
    </font>
    <font>
      <sz val="10"/>
      <color rgb="FFE2EFD9"/>
      <name val="Calibri"/>
    </font>
    <font>
      <sz val="10"/>
      <color theme="1"/>
      <name val="Calibri"/>
      <family val="2"/>
    </font>
    <font>
      <sz val="10"/>
      <color theme="0"/>
      <name val="Calibri"/>
      <family val="2"/>
    </font>
    <font>
      <sz val="11"/>
      <color theme="3"/>
      <name val="Calibri"/>
      <family val="2"/>
    </font>
    <font>
      <b/>
      <sz val="9"/>
      <color theme="1"/>
      <name val="Calibri"/>
      <family val="2"/>
    </font>
    <font>
      <u/>
      <sz val="11"/>
      <color theme="1"/>
      <name val="Calibri"/>
      <family val="2"/>
      <scheme val="minor"/>
    </font>
    <font>
      <u val="singleAccounting"/>
      <sz val="10"/>
      <color theme="1"/>
      <name val="Calibri"/>
      <family val="2"/>
    </font>
    <font>
      <sz val="10"/>
      <name val="Calibri"/>
      <family val="2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385623"/>
        <bgColor rgb="FF385623"/>
      </patternFill>
    </fill>
    <fill>
      <patternFill patternType="solid">
        <fgColor rgb="FFBDD6EE"/>
        <bgColor rgb="FFBDD6EE"/>
      </patternFill>
    </fill>
    <fill>
      <patternFill patternType="solid">
        <fgColor rgb="FFE2EFD9"/>
        <bgColor rgb="FFE2EFD9"/>
      </patternFill>
    </fill>
    <fill>
      <patternFill patternType="solid">
        <fgColor rgb="FF8EAADB"/>
        <bgColor rgb="FF8EAADB"/>
      </patternFill>
    </fill>
    <fill>
      <patternFill patternType="solid">
        <fgColor rgb="FFC5E0B3"/>
        <bgColor rgb="FFC5E0B3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rgb="FF385623"/>
      </patternFill>
    </fill>
    <fill>
      <patternFill patternType="solid">
        <fgColor theme="0"/>
        <bgColor rgb="FF385623"/>
      </patternFill>
    </fill>
    <fill>
      <patternFill patternType="solid">
        <fgColor theme="0"/>
        <bgColor indexed="64"/>
      </patternFill>
    </fill>
  </fills>
  <borders count="12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/>
      <top style="dotted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/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/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uble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08">
    <xf numFmtId="0" fontId="0" fillId="0" borderId="0" xfId="0"/>
    <xf numFmtId="0" fontId="4" fillId="2" borderId="1" xfId="0" applyFont="1" applyFill="1" applyBorder="1"/>
    <xf numFmtId="0" fontId="5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10" fillId="2" borderId="8" xfId="0" applyFont="1" applyFill="1" applyBorder="1" applyAlignment="1">
      <alignment horizontal="left" vertical="center"/>
    </xf>
    <xf numFmtId="0" fontId="4" fillId="2" borderId="9" xfId="0" applyFont="1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4" fillId="2" borderId="12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4" fillId="2" borderId="15" xfId="0" applyFont="1" applyFill="1" applyBorder="1"/>
    <xf numFmtId="0" fontId="11" fillId="0" borderId="0" xfId="0" applyFont="1"/>
    <xf numFmtId="0" fontId="12" fillId="0" borderId="0" xfId="0" applyFont="1" applyAlignment="1">
      <alignment horizontal="center"/>
    </xf>
    <xf numFmtId="2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 vertical="center"/>
    </xf>
    <xf numFmtId="0" fontId="12" fillId="0" borderId="0" xfId="0" applyFont="1"/>
    <xf numFmtId="0" fontId="14" fillId="2" borderId="16" xfId="0" applyFont="1" applyFill="1" applyBorder="1" applyAlignment="1">
      <alignment horizontal="center" vertical="center"/>
    </xf>
    <xf numFmtId="0" fontId="12" fillId="0" borderId="17" xfId="0" applyFont="1" applyBorder="1"/>
    <xf numFmtId="0" fontId="11" fillId="0" borderId="17" xfId="0" applyFont="1" applyBorder="1"/>
    <xf numFmtId="0" fontId="11" fillId="0" borderId="18" xfId="0" applyFont="1" applyBorder="1"/>
    <xf numFmtId="0" fontId="13" fillId="3" borderId="1" xfId="0" applyFont="1" applyFill="1" applyBorder="1" applyAlignment="1">
      <alignment horizontal="center" vertical="center"/>
    </xf>
    <xf numFmtId="0" fontId="13" fillId="3" borderId="19" xfId="0" applyFont="1" applyFill="1" applyBorder="1" applyAlignment="1">
      <alignment horizontal="center" vertical="center"/>
    </xf>
    <xf numFmtId="164" fontId="12" fillId="0" borderId="23" xfId="0" applyNumberFormat="1" applyFont="1" applyBorder="1" applyAlignment="1">
      <alignment horizontal="center"/>
    </xf>
    <xf numFmtId="164" fontId="12" fillId="0" borderId="25" xfId="0" applyNumberFormat="1" applyFont="1" applyBorder="1" applyAlignment="1">
      <alignment horizontal="center"/>
    </xf>
    <xf numFmtId="164" fontId="12" fillId="0" borderId="26" xfId="0" applyNumberFormat="1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5" fillId="2" borderId="30" xfId="0" applyFont="1" applyFill="1" applyBorder="1"/>
    <xf numFmtId="0" fontId="11" fillId="2" borderId="30" xfId="0" applyFont="1" applyFill="1" applyBorder="1"/>
    <xf numFmtId="0" fontId="16" fillId="2" borderId="31" xfId="0" applyFont="1" applyFill="1" applyBorder="1" applyAlignment="1">
      <alignment horizontal="left"/>
    </xf>
    <xf numFmtId="0" fontId="16" fillId="2" borderId="31" xfId="0" applyFont="1" applyFill="1" applyBorder="1" applyAlignment="1">
      <alignment horizontal="center"/>
    </xf>
    <xf numFmtId="0" fontId="17" fillId="2" borderId="32" xfId="0" applyFont="1" applyFill="1" applyBorder="1" applyAlignment="1">
      <alignment horizontal="left"/>
    </xf>
    <xf numFmtId="0" fontId="17" fillId="2" borderId="33" xfId="0" applyFont="1" applyFill="1" applyBorder="1" applyAlignment="1">
      <alignment horizontal="left"/>
    </xf>
    <xf numFmtId="2" fontId="17" fillId="2" borderId="34" xfId="0" applyNumberFormat="1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2" borderId="35" xfId="0" applyFont="1" applyFill="1" applyBorder="1" applyAlignment="1">
      <alignment horizontal="left"/>
    </xf>
    <xf numFmtId="0" fontId="17" fillId="2" borderId="36" xfId="0" applyFont="1" applyFill="1" applyBorder="1" applyAlignment="1">
      <alignment horizontal="left"/>
    </xf>
    <xf numFmtId="2" fontId="17" fillId="2" borderId="37" xfId="0" applyNumberFormat="1" applyFont="1" applyFill="1" applyBorder="1" applyAlignment="1">
      <alignment horizontal="center"/>
    </xf>
    <xf numFmtId="0" fontId="17" fillId="2" borderId="38" xfId="0" applyFont="1" applyFill="1" applyBorder="1" applyAlignment="1">
      <alignment horizontal="left"/>
    </xf>
    <xf numFmtId="0" fontId="17" fillId="2" borderId="39" xfId="0" applyFont="1" applyFill="1" applyBorder="1" applyAlignment="1">
      <alignment horizontal="left"/>
    </xf>
    <xf numFmtId="0" fontId="17" fillId="0" borderId="0" xfId="0" applyFont="1" applyAlignment="1">
      <alignment horizontal="left"/>
    </xf>
    <xf numFmtId="0" fontId="17" fillId="2" borderId="40" xfId="0" applyFont="1" applyFill="1" applyBorder="1" applyAlignment="1">
      <alignment horizontal="left"/>
    </xf>
    <xf numFmtId="0" fontId="17" fillId="2" borderId="41" xfId="0" applyFont="1" applyFill="1" applyBorder="1" applyAlignment="1">
      <alignment horizontal="left"/>
    </xf>
    <xf numFmtId="2" fontId="17" fillId="2" borderId="42" xfId="0" applyNumberFormat="1" applyFont="1" applyFill="1" applyBorder="1" applyAlignment="1">
      <alignment horizontal="center"/>
    </xf>
    <xf numFmtId="0" fontId="18" fillId="3" borderId="30" xfId="0" applyFont="1" applyFill="1" applyBorder="1" applyAlignment="1">
      <alignment horizontal="left" vertical="center"/>
    </xf>
    <xf numFmtId="0" fontId="18" fillId="3" borderId="30" xfId="0" applyFont="1" applyFill="1" applyBorder="1" applyAlignment="1">
      <alignment horizontal="center" vertical="center"/>
    </xf>
    <xf numFmtId="2" fontId="19" fillId="3" borderId="30" xfId="0" applyNumberFormat="1" applyFont="1" applyFill="1" applyBorder="1" applyAlignment="1">
      <alignment horizontal="center"/>
    </xf>
    <xf numFmtId="164" fontId="12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165" fontId="11" fillId="0" borderId="0" xfId="0" applyNumberFormat="1" applyFont="1" applyAlignment="1">
      <alignment horizontal="center"/>
    </xf>
    <xf numFmtId="0" fontId="15" fillId="2" borderId="30" xfId="0" applyFont="1" applyFill="1" applyBorder="1" applyAlignment="1">
      <alignment horizontal="left"/>
    </xf>
    <xf numFmtId="0" fontId="16" fillId="2" borderId="14" xfId="0" applyFont="1" applyFill="1" applyBorder="1" applyAlignment="1">
      <alignment horizontal="left"/>
    </xf>
    <xf numFmtId="0" fontId="16" fillId="2" borderId="14" xfId="0" applyFont="1" applyFill="1" applyBorder="1" applyAlignment="1">
      <alignment horizontal="center"/>
    </xf>
    <xf numFmtId="0" fontId="16" fillId="2" borderId="43" xfId="0" applyFont="1" applyFill="1" applyBorder="1" applyAlignment="1">
      <alignment horizontal="left"/>
    </xf>
    <xf numFmtId="0" fontId="16" fillId="2" borderId="44" xfId="0" applyFont="1" applyFill="1" applyBorder="1" applyAlignment="1">
      <alignment horizontal="left"/>
    </xf>
    <xf numFmtId="2" fontId="17" fillId="2" borderId="45" xfId="0" applyNumberFormat="1" applyFont="1" applyFill="1" applyBorder="1" applyAlignment="1">
      <alignment horizontal="center"/>
    </xf>
    <xf numFmtId="0" fontId="17" fillId="2" borderId="46" xfId="0" applyFont="1" applyFill="1" applyBorder="1" applyAlignment="1">
      <alignment horizontal="left"/>
    </xf>
    <xf numFmtId="0" fontId="16" fillId="2" borderId="40" xfId="0" applyFont="1" applyFill="1" applyBorder="1" applyAlignment="1">
      <alignment horizontal="left"/>
    </xf>
    <xf numFmtId="0" fontId="16" fillId="2" borderId="41" xfId="0" applyFont="1" applyFill="1" applyBorder="1" applyAlignment="1">
      <alignment horizontal="left"/>
    </xf>
    <xf numFmtId="0" fontId="18" fillId="3" borderId="31" xfId="0" applyFont="1" applyFill="1" applyBorder="1" applyAlignment="1">
      <alignment horizontal="left" vertical="center"/>
    </xf>
    <xf numFmtId="0" fontId="18" fillId="3" borderId="31" xfId="0" applyFont="1" applyFill="1" applyBorder="1" applyAlignment="1">
      <alignment horizontal="center" vertical="center"/>
    </xf>
    <xf numFmtId="0" fontId="18" fillId="3" borderId="47" xfId="0" applyFont="1" applyFill="1" applyBorder="1" applyAlignment="1">
      <alignment horizontal="center" vertical="center"/>
    </xf>
    <xf numFmtId="2" fontId="19" fillId="3" borderId="48" xfId="0" applyNumberFormat="1" applyFont="1" applyFill="1" applyBorder="1" applyAlignment="1">
      <alignment horizontal="center"/>
    </xf>
    <xf numFmtId="0" fontId="11" fillId="2" borderId="1" xfId="0" applyFont="1" applyFill="1" applyBorder="1" applyAlignment="1">
      <alignment horizontal="left"/>
    </xf>
    <xf numFmtId="0" fontId="11" fillId="2" borderId="1" xfId="0" applyFont="1" applyFill="1" applyBorder="1"/>
    <xf numFmtId="0" fontId="11" fillId="0" borderId="49" xfId="0" applyFont="1" applyBorder="1" applyAlignment="1">
      <alignment horizontal="center"/>
    </xf>
    <xf numFmtId="0" fontId="16" fillId="2" borderId="46" xfId="0" applyFont="1" applyFill="1" applyBorder="1" applyAlignment="1">
      <alignment horizontal="left"/>
    </xf>
    <xf numFmtId="0" fontId="16" fillId="2" borderId="50" xfId="0" applyFont="1" applyFill="1" applyBorder="1" applyAlignment="1">
      <alignment horizontal="left"/>
    </xf>
    <xf numFmtId="2" fontId="17" fillId="2" borderId="51" xfId="0" applyNumberFormat="1" applyFont="1" applyFill="1" applyBorder="1" applyAlignment="1">
      <alignment horizontal="center"/>
    </xf>
    <xf numFmtId="0" fontId="11" fillId="0" borderId="49" xfId="0" applyFont="1" applyBorder="1"/>
    <xf numFmtId="0" fontId="18" fillId="3" borderId="14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0" borderId="0" xfId="0" applyFont="1"/>
    <xf numFmtId="0" fontId="20" fillId="0" borderId="0" xfId="0" applyFont="1" applyAlignment="1">
      <alignment vertical="center"/>
    </xf>
    <xf numFmtId="0" fontId="16" fillId="0" borderId="52" xfId="0" applyFont="1" applyBorder="1" applyAlignment="1">
      <alignment horizontal="right"/>
    </xf>
    <xf numFmtId="0" fontId="17" fillId="0" borderId="53" xfId="0" applyFont="1" applyBorder="1" applyAlignment="1">
      <alignment horizontal="center"/>
    </xf>
    <xf numFmtId="0" fontId="17" fillId="2" borderId="1" xfId="0" applyFont="1" applyFill="1" applyBorder="1"/>
    <xf numFmtId="0" fontId="17" fillId="0" borderId="0" xfId="0" applyFont="1"/>
    <xf numFmtId="0" fontId="16" fillId="0" borderId="54" xfId="0" applyFont="1" applyBorder="1" applyAlignment="1">
      <alignment horizontal="right"/>
    </xf>
    <xf numFmtId="1" fontId="17" fillId="0" borderId="26" xfId="0" applyNumberFormat="1" applyFont="1" applyBorder="1" applyAlignment="1">
      <alignment horizontal="center"/>
    </xf>
    <xf numFmtId="1" fontId="17" fillId="2" borderId="1" xfId="0" applyNumberFormat="1" applyFont="1" applyFill="1" applyBorder="1"/>
    <xf numFmtId="2" fontId="17" fillId="0" borderId="0" xfId="0" applyNumberFormat="1" applyFont="1"/>
    <xf numFmtId="164" fontId="11" fillId="0" borderId="0" xfId="0" applyNumberFormat="1" applyFont="1"/>
    <xf numFmtId="0" fontId="17" fillId="0" borderId="26" xfId="0" applyFont="1" applyBorder="1" applyAlignment="1">
      <alignment horizontal="center"/>
    </xf>
    <xf numFmtId="2" fontId="18" fillId="3" borderId="37" xfId="0" applyNumberFormat="1" applyFont="1" applyFill="1" applyBorder="1" applyAlignment="1">
      <alignment horizontal="center"/>
    </xf>
    <xf numFmtId="2" fontId="18" fillId="2" borderId="1" xfId="0" applyNumberFormat="1" applyFont="1" applyFill="1" applyBorder="1"/>
    <xf numFmtId="2" fontId="18" fillId="0" borderId="0" xfId="0" applyNumberFormat="1" applyFont="1"/>
    <xf numFmtId="9" fontId="11" fillId="0" borderId="0" xfId="0" applyNumberFormat="1" applyFont="1"/>
    <xf numFmtId="0" fontId="16" fillId="0" borderId="55" xfId="0" applyFont="1" applyBorder="1" applyAlignment="1">
      <alignment horizontal="right"/>
    </xf>
    <xf numFmtId="0" fontId="21" fillId="3" borderId="42" xfId="0" applyFont="1" applyFill="1" applyBorder="1" applyAlignment="1">
      <alignment horizontal="center"/>
    </xf>
    <xf numFmtId="0" fontId="22" fillId="2" borderId="1" xfId="0" applyFont="1" applyFill="1" applyBorder="1"/>
    <xf numFmtId="0" fontId="22" fillId="0" borderId="0" xfId="0" applyFont="1"/>
    <xf numFmtId="0" fontId="23" fillId="0" borderId="0" xfId="0" applyFont="1"/>
    <xf numFmtId="0" fontId="16" fillId="0" borderId="0" xfId="0" applyFont="1" applyAlignment="1">
      <alignment horizontal="left"/>
    </xf>
    <xf numFmtId="0" fontId="15" fillId="0" borderId="49" xfId="0" applyFont="1" applyBorder="1"/>
    <xf numFmtId="0" fontId="16" fillId="0" borderId="49" xfId="0" applyFont="1" applyBorder="1" applyAlignment="1">
      <alignment horizontal="left"/>
    </xf>
    <xf numFmtId="0" fontId="24" fillId="3" borderId="56" xfId="0" applyFont="1" applyFill="1" applyBorder="1" applyAlignment="1">
      <alignment vertical="center"/>
    </xf>
    <xf numFmtId="0" fontId="24" fillId="3" borderId="57" xfId="0" applyFont="1" applyFill="1" applyBorder="1" applyAlignment="1">
      <alignment vertical="center"/>
    </xf>
    <xf numFmtId="0" fontId="13" fillId="3" borderId="58" xfId="0" applyFont="1" applyFill="1" applyBorder="1" applyAlignment="1">
      <alignment horizontal="left"/>
    </xf>
    <xf numFmtId="0" fontId="13" fillId="3" borderId="58" xfId="0" applyFont="1" applyFill="1" applyBorder="1" applyAlignment="1">
      <alignment horizontal="center"/>
    </xf>
    <xf numFmtId="0" fontId="13" fillId="3" borderId="59" xfId="0" applyFont="1" applyFill="1" applyBorder="1" applyAlignment="1">
      <alignment horizontal="center"/>
    </xf>
    <xf numFmtId="0" fontId="12" fillId="0" borderId="0" xfId="0" applyFont="1" applyAlignment="1">
      <alignment vertical="center"/>
    </xf>
    <xf numFmtId="0" fontId="12" fillId="0" borderId="49" xfId="0" applyFont="1" applyBorder="1" applyAlignment="1">
      <alignment vertical="center"/>
    </xf>
    <xf numFmtId="0" fontId="12" fillId="0" borderId="60" xfId="0" applyFont="1" applyBorder="1" applyAlignment="1">
      <alignment vertical="center"/>
    </xf>
    <xf numFmtId="2" fontId="12" fillId="0" borderId="61" xfId="0" applyNumberFormat="1" applyFont="1" applyBorder="1" applyAlignment="1">
      <alignment horizontal="left"/>
    </xf>
    <xf numFmtId="2" fontId="12" fillId="0" borderId="61" xfId="0" applyNumberFormat="1" applyFont="1" applyBorder="1" applyAlignment="1">
      <alignment horizont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left"/>
    </xf>
    <xf numFmtId="0" fontId="15" fillId="0" borderId="49" xfId="0" applyFont="1" applyBorder="1" applyAlignment="1">
      <alignment horizontal="left"/>
    </xf>
    <xf numFmtId="0" fontId="12" fillId="0" borderId="49" xfId="0" applyFont="1" applyBorder="1" applyAlignment="1">
      <alignment horizontal="left" vertical="center"/>
    </xf>
    <xf numFmtId="0" fontId="12" fillId="0" borderId="49" xfId="0" applyFont="1" applyBorder="1" applyAlignment="1">
      <alignment horizontal="left"/>
    </xf>
    <xf numFmtId="0" fontId="11" fillId="0" borderId="49" xfId="0" applyFont="1" applyBorder="1" applyAlignment="1">
      <alignment horizontal="left"/>
    </xf>
    <xf numFmtId="0" fontId="12" fillId="0" borderId="49" xfId="0" applyFont="1" applyBorder="1" applyAlignment="1">
      <alignment horizontal="center"/>
    </xf>
    <xf numFmtId="0" fontId="13" fillId="3" borderId="47" xfId="0" applyFont="1" applyFill="1" applyBorder="1" applyAlignment="1">
      <alignment horizontal="left" vertical="center"/>
    </xf>
    <xf numFmtId="0" fontId="13" fillId="3" borderId="62" xfId="0" applyFont="1" applyFill="1" applyBorder="1" applyAlignment="1">
      <alignment horizontal="left" vertical="center" wrapText="1"/>
    </xf>
    <xf numFmtId="0" fontId="13" fillId="3" borderId="62" xfId="0" applyFont="1" applyFill="1" applyBorder="1" applyAlignment="1">
      <alignment horizontal="left"/>
    </xf>
    <xf numFmtId="0" fontId="13" fillId="3" borderId="62" xfId="0" applyFont="1" applyFill="1" applyBorder="1" applyAlignment="1">
      <alignment horizontal="center"/>
    </xf>
    <xf numFmtId="0" fontId="13" fillId="3" borderId="48" xfId="0" applyFont="1" applyFill="1" applyBorder="1" applyAlignment="1">
      <alignment horizontal="center"/>
    </xf>
    <xf numFmtId="0" fontId="12" fillId="0" borderId="63" xfId="0" applyFont="1" applyBorder="1" applyAlignment="1">
      <alignment horizontal="left" vertical="center"/>
    </xf>
    <xf numFmtId="164" fontId="25" fillId="0" borderId="23" xfId="0" applyNumberFormat="1" applyFont="1" applyBorder="1" applyAlignment="1">
      <alignment horizontal="left"/>
    </xf>
    <xf numFmtId="2" fontId="25" fillId="0" borderId="23" xfId="0" applyNumberFormat="1" applyFont="1" applyBorder="1" applyAlignment="1">
      <alignment horizontal="left"/>
    </xf>
    <xf numFmtId="2" fontId="25" fillId="0" borderId="23" xfId="0" applyNumberFormat="1" applyFont="1" applyBorder="1" applyAlignment="1">
      <alignment horizontal="center"/>
    </xf>
    <xf numFmtId="2" fontId="25" fillId="0" borderId="64" xfId="0" applyNumberFormat="1" applyFont="1" applyBorder="1" applyAlignment="1">
      <alignment horizontal="center"/>
    </xf>
    <xf numFmtId="0" fontId="12" fillId="0" borderId="24" xfId="0" applyFont="1" applyBorder="1" applyAlignment="1">
      <alignment horizontal="left" vertical="center"/>
    </xf>
    <xf numFmtId="164" fontId="25" fillId="0" borderId="25" xfId="0" applyNumberFormat="1" applyFont="1" applyBorder="1" applyAlignment="1">
      <alignment horizontal="left" vertical="center"/>
    </xf>
    <xf numFmtId="2" fontId="25" fillId="0" borderId="25" xfId="0" applyNumberFormat="1" applyFont="1" applyBorder="1" applyAlignment="1">
      <alignment horizontal="left"/>
    </xf>
    <xf numFmtId="2" fontId="25" fillId="0" borderId="25" xfId="0" applyNumberFormat="1" applyFont="1" applyBorder="1" applyAlignment="1">
      <alignment horizontal="center"/>
    </xf>
    <xf numFmtId="2" fontId="25" fillId="0" borderId="26" xfId="0" applyNumberFormat="1" applyFont="1" applyBorder="1" applyAlignment="1">
      <alignment horizontal="center"/>
    </xf>
    <xf numFmtId="164" fontId="25" fillId="0" borderId="25" xfId="0" applyNumberFormat="1" applyFont="1" applyBorder="1" applyAlignment="1">
      <alignment horizontal="left"/>
    </xf>
    <xf numFmtId="0" fontId="12" fillId="0" borderId="65" xfId="0" applyFont="1" applyBorder="1" applyAlignment="1">
      <alignment horizontal="left" vertical="center"/>
    </xf>
    <xf numFmtId="164" fontId="25" fillId="0" borderId="66" xfId="0" applyNumberFormat="1" applyFont="1" applyBorder="1" applyAlignment="1">
      <alignment horizontal="left" vertical="center"/>
    </xf>
    <xf numFmtId="164" fontId="25" fillId="0" borderId="66" xfId="0" applyNumberFormat="1" applyFont="1" applyBorder="1" applyAlignment="1">
      <alignment horizontal="left"/>
    </xf>
    <xf numFmtId="2" fontId="25" fillId="0" borderId="66" xfId="0" applyNumberFormat="1" applyFont="1" applyBorder="1" applyAlignment="1">
      <alignment horizontal="left"/>
    </xf>
    <xf numFmtId="2" fontId="25" fillId="0" borderId="66" xfId="0" applyNumberFormat="1" applyFont="1" applyBorder="1" applyAlignment="1">
      <alignment horizontal="center"/>
    </xf>
    <xf numFmtId="2" fontId="25" fillId="0" borderId="67" xfId="0" applyNumberFormat="1" applyFont="1" applyBorder="1" applyAlignment="1">
      <alignment horizontal="center"/>
    </xf>
    <xf numFmtId="164" fontId="12" fillId="0" borderId="0" xfId="0" applyNumberFormat="1" applyFont="1" applyAlignment="1">
      <alignment horizontal="left"/>
    </xf>
    <xf numFmtId="0" fontId="13" fillId="3" borderId="68" xfId="0" applyFont="1" applyFill="1" applyBorder="1" applyAlignment="1">
      <alignment horizontal="left" vertical="center"/>
    </xf>
    <xf numFmtId="0" fontId="13" fillId="3" borderId="19" xfId="0" applyFont="1" applyFill="1" applyBorder="1" applyAlignment="1">
      <alignment horizontal="left" vertical="center" wrapText="1"/>
    </xf>
    <xf numFmtId="0" fontId="26" fillId="3" borderId="62" xfId="0" applyFont="1" applyFill="1" applyBorder="1" applyAlignment="1">
      <alignment horizontal="left" vertical="center"/>
    </xf>
    <xf numFmtId="164" fontId="12" fillId="0" borderId="20" xfId="0" applyNumberFormat="1" applyFont="1" applyBorder="1" applyAlignment="1">
      <alignment horizontal="left" vertical="center"/>
    </xf>
    <xf numFmtId="0" fontId="12" fillId="0" borderId="21" xfId="0" applyFont="1" applyBorder="1" applyAlignment="1">
      <alignment horizontal="left" vertical="center"/>
    </xf>
    <xf numFmtId="166" fontId="25" fillId="0" borderId="21" xfId="0" applyNumberFormat="1" applyFont="1" applyBorder="1" applyAlignment="1">
      <alignment horizontal="left"/>
    </xf>
    <xf numFmtId="2" fontId="25" fillId="0" borderId="21" xfId="0" applyNumberFormat="1" applyFont="1" applyBorder="1" applyAlignment="1">
      <alignment horizontal="left"/>
    </xf>
    <xf numFmtId="2" fontId="25" fillId="0" borderId="21" xfId="0" applyNumberFormat="1" applyFont="1" applyBorder="1" applyAlignment="1">
      <alignment horizontal="center"/>
    </xf>
    <xf numFmtId="2" fontId="25" fillId="0" borderId="22" xfId="0" applyNumberFormat="1" applyFont="1" applyBorder="1" applyAlignment="1">
      <alignment horizontal="center"/>
    </xf>
    <xf numFmtId="164" fontId="12" fillId="0" borderId="24" xfId="0" applyNumberFormat="1" applyFont="1" applyBorder="1" applyAlignment="1">
      <alignment horizontal="left" vertical="center"/>
    </xf>
    <xf numFmtId="0" fontId="12" fillId="0" borderId="25" xfId="0" applyFont="1" applyBorder="1" applyAlignment="1">
      <alignment horizontal="left" vertical="center"/>
    </xf>
    <xf numFmtId="166" fontId="25" fillId="0" borderId="25" xfId="0" applyNumberFormat="1" applyFont="1" applyBorder="1" applyAlignment="1">
      <alignment horizontal="left"/>
    </xf>
    <xf numFmtId="164" fontId="12" fillId="0" borderId="27" xfId="0" applyNumberFormat="1" applyFont="1" applyBorder="1" applyAlignment="1">
      <alignment horizontal="left" vertical="center"/>
    </xf>
    <xf numFmtId="0" fontId="12" fillId="0" borderId="28" xfId="0" applyFont="1" applyBorder="1" applyAlignment="1">
      <alignment horizontal="left" vertical="center"/>
    </xf>
    <xf numFmtId="166" fontId="25" fillId="0" borderId="28" xfId="0" applyNumberFormat="1" applyFont="1" applyBorder="1" applyAlignment="1">
      <alignment horizontal="left"/>
    </xf>
    <xf numFmtId="2" fontId="25" fillId="0" borderId="28" xfId="0" applyNumberFormat="1" applyFont="1" applyBorder="1" applyAlignment="1">
      <alignment horizontal="left"/>
    </xf>
    <xf numFmtId="2" fontId="25" fillId="0" borderId="28" xfId="0" applyNumberFormat="1" applyFont="1" applyBorder="1" applyAlignment="1">
      <alignment horizontal="center"/>
    </xf>
    <xf numFmtId="2" fontId="25" fillId="0" borderId="29" xfId="0" applyNumberFormat="1" applyFont="1" applyBorder="1" applyAlignment="1">
      <alignment horizontal="center"/>
    </xf>
    <xf numFmtId="164" fontId="12" fillId="0" borderId="65" xfId="0" applyNumberFormat="1" applyFont="1" applyBorder="1" applyAlignment="1">
      <alignment horizontal="left" vertical="center"/>
    </xf>
    <xf numFmtId="0" fontId="12" fillId="0" borderId="66" xfId="0" applyFont="1" applyBorder="1" applyAlignment="1">
      <alignment horizontal="left" vertical="center"/>
    </xf>
    <xf numFmtId="166" fontId="25" fillId="0" borderId="66" xfId="0" applyNumberFormat="1" applyFont="1" applyBorder="1" applyAlignment="1">
      <alignment horizontal="left"/>
    </xf>
    <xf numFmtId="0" fontId="24" fillId="3" borderId="69" xfId="0" applyFont="1" applyFill="1" applyBorder="1" applyAlignment="1">
      <alignment vertical="center"/>
    </xf>
    <xf numFmtId="0" fontId="24" fillId="3" borderId="70" xfId="0" applyFont="1" applyFill="1" applyBorder="1" applyAlignment="1">
      <alignment vertical="center"/>
    </xf>
    <xf numFmtId="166" fontId="27" fillId="0" borderId="71" xfId="0" applyNumberFormat="1" applyFont="1" applyBorder="1" applyAlignment="1">
      <alignment horizontal="left" vertical="center"/>
    </xf>
    <xf numFmtId="2" fontId="23" fillId="0" borderId="72" xfId="0" applyNumberFormat="1" applyFont="1" applyBorder="1" applyAlignment="1">
      <alignment horizontal="left"/>
    </xf>
    <xf numFmtId="2" fontId="23" fillId="4" borderId="73" xfId="0" applyNumberFormat="1" applyFont="1" applyFill="1" applyBorder="1" applyAlignment="1">
      <alignment horizontal="left"/>
    </xf>
    <xf numFmtId="2" fontId="23" fillId="0" borderId="72" xfId="0" applyNumberFormat="1" applyFont="1" applyBorder="1" applyAlignment="1">
      <alignment horizontal="center"/>
    </xf>
    <xf numFmtId="2" fontId="23" fillId="0" borderId="74" xfId="0" applyNumberFormat="1" applyFont="1" applyBorder="1" applyAlignment="1">
      <alignment horizontal="center"/>
    </xf>
    <xf numFmtId="0" fontId="28" fillId="0" borderId="0" xfId="0" applyFont="1" applyAlignment="1">
      <alignment horizontal="center"/>
    </xf>
    <xf numFmtId="0" fontId="24" fillId="3" borderId="75" xfId="0" applyFont="1" applyFill="1" applyBorder="1" applyAlignment="1">
      <alignment vertical="center"/>
    </xf>
    <xf numFmtId="0" fontId="24" fillId="3" borderId="76" xfId="0" applyFont="1" applyFill="1" applyBorder="1" applyAlignment="1">
      <alignment vertical="center"/>
    </xf>
    <xf numFmtId="2" fontId="23" fillId="0" borderId="77" xfId="0" applyNumberFormat="1" applyFont="1" applyBorder="1" applyAlignment="1">
      <alignment horizontal="left"/>
    </xf>
    <xf numFmtId="2" fontId="23" fillId="4" borderId="77" xfId="0" applyNumberFormat="1" applyFont="1" applyFill="1" applyBorder="1" applyAlignment="1">
      <alignment horizontal="left"/>
    </xf>
    <xf numFmtId="2" fontId="23" fillId="0" borderId="77" xfId="0" applyNumberFormat="1" applyFont="1" applyBorder="1" applyAlignment="1">
      <alignment horizontal="center"/>
    </xf>
    <xf numFmtId="2" fontId="23" fillId="0" borderId="78" xfId="0" applyNumberFormat="1" applyFont="1" applyBorder="1" applyAlignment="1">
      <alignment horizontal="center"/>
    </xf>
    <xf numFmtId="0" fontId="24" fillId="3" borderId="79" xfId="0" applyFont="1" applyFill="1" applyBorder="1"/>
    <xf numFmtId="0" fontId="24" fillId="3" borderId="80" xfId="0" applyFont="1" applyFill="1" applyBorder="1"/>
    <xf numFmtId="2" fontId="29" fillId="3" borderId="81" xfId="0" applyNumberFormat="1" applyFont="1" applyFill="1" applyBorder="1" applyAlignment="1">
      <alignment horizontal="left"/>
    </xf>
    <xf numFmtId="2" fontId="29" fillId="3" borderId="81" xfId="0" applyNumberFormat="1" applyFont="1" applyFill="1" applyBorder="1" applyAlignment="1">
      <alignment horizontal="center"/>
    </xf>
    <xf numFmtId="0" fontId="24" fillId="3" borderId="14" xfId="0" applyFont="1" applyFill="1" applyBorder="1"/>
    <xf numFmtId="0" fontId="24" fillId="3" borderId="15" xfId="0" applyFont="1" applyFill="1" applyBorder="1"/>
    <xf numFmtId="0" fontId="30" fillId="3" borderId="82" xfId="0" applyFont="1" applyFill="1" applyBorder="1" applyAlignment="1">
      <alignment horizontal="left" vertical="center" wrapText="1"/>
    </xf>
    <xf numFmtId="0" fontId="30" fillId="3" borderId="82" xfId="0" applyFont="1" applyFill="1" applyBorder="1" applyAlignment="1">
      <alignment horizontal="left"/>
    </xf>
    <xf numFmtId="0" fontId="30" fillId="3" borderId="82" xfId="0" applyFont="1" applyFill="1" applyBorder="1" applyAlignment="1">
      <alignment horizontal="center"/>
    </xf>
    <xf numFmtId="0" fontId="30" fillId="3" borderId="13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8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 wrapText="1"/>
    </xf>
    <xf numFmtId="0" fontId="26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164" fontId="12" fillId="0" borderId="49" xfId="0" applyNumberFormat="1" applyFont="1" applyBorder="1" applyAlignment="1">
      <alignment horizontal="left"/>
    </xf>
    <xf numFmtId="0" fontId="24" fillId="3" borderId="83" xfId="0" applyFont="1" applyFill="1" applyBorder="1" applyAlignment="1">
      <alignment horizontal="left"/>
    </xf>
    <xf numFmtId="0" fontId="24" fillId="3" borderId="84" xfId="0" applyFont="1" applyFill="1" applyBorder="1" applyAlignment="1">
      <alignment horizontal="left"/>
    </xf>
    <xf numFmtId="164" fontId="13" fillId="0" borderId="49" xfId="0" applyNumberFormat="1" applyFont="1" applyBorder="1" applyAlignment="1">
      <alignment horizontal="left"/>
    </xf>
    <xf numFmtId="0" fontId="12" fillId="0" borderId="63" xfId="0" applyFont="1" applyBorder="1" applyAlignment="1">
      <alignment horizontal="left" vertical="center" wrapText="1"/>
    </xf>
    <xf numFmtId="2" fontId="12" fillId="0" borderId="64" xfId="0" applyNumberFormat="1" applyFont="1" applyBorder="1" applyAlignment="1">
      <alignment horizontal="left"/>
    </xf>
    <xf numFmtId="10" fontId="12" fillId="0" borderId="64" xfId="0" applyNumberFormat="1" applyFont="1" applyBorder="1" applyAlignment="1">
      <alignment horizontal="left"/>
    </xf>
    <xf numFmtId="0" fontId="24" fillId="3" borderId="1" xfId="0" applyFont="1" applyFill="1" applyBorder="1"/>
    <xf numFmtId="0" fontId="11" fillId="3" borderId="1" xfId="0" applyFont="1" applyFill="1" applyBorder="1" applyAlignment="1">
      <alignment horizontal="center"/>
    </xf>
    <xf numFmtId="0" fontId="11" fillId="3" borderId="85" xfId="0" applyFont="1" applyFill="1" applyBorder="1" applyAlignment="1">
      <alignment horizontal="center"/>
    </xf>
    <xf numFmtId="0" fontId="24" fillId="3" borderId="13" xfId="0" applyFont="1" applyFill="1" applyBorder="1"/>
    <xf numFmtId="0" fontId="24" fillId="3" borderId="11" xfId="0" applyFont="1" applyFill="1" applyBorder="1"/>
    <xf numFmtId="0" fontId="12" fillId="0" borderId="24" xfId="0" applyFont="1" applyBorder="1" applyAlignment="1">
      <alignment horizontal="left"/>
    </xf>
    <xf numFmtId="2" fontId="12" fillId="0" borderId="26" xfId="0" applyNumberFormat="1" applyFont="1" applyBorder="1" applyAlignment="1">
      <alignment horizontal="left"/>
    </xf>
    <xf numFmtId="10" fontId="12" fillId="0" borderId="26" xfId="0" applyNumberFormat="1" applyFont="1" applyBorder="1" applyAlignment="1">
      <alignment horizontal="left"/>
    </xf>
    <xf numFmtId="0" fontId="12" fillId="0" borderId="86" xfId="0" applyFont="1" applyBorder="1" applyAlignment="1">
      <alignment horizontal="left"/>
    </xf>
    <xf numFmtId="0" fontId="11" fillId="0" borderId="87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2" fontId="12" fillId="0" borderId="53" xfId="0" quotePrefix="1" applyNumberFormat="1" applyFont="1" applyBorder="1" applyAlignment="1">
      <alignment horizontal="left"/>
    </xf>
    <xf numFmtId="0" fontId="12" fillId="0" borderId="88" xfId="0" applyFont="1" applyBorder="1" applyAlignment="1">
      <alignment horizontal="left"/>
    </xf>
    <xf numFmtId="2" fontId="12" fillId="0" borderId="89" xfId="0" applyNumberFormat="1" applyFont="1" applyBorder="1" applyAlignment="1">
      <alignment horizontal="left"/>
    </xf>
    <xf numFmtId="10" fontId="12" fillId="0" borderId="89" xfId="0" applyNumberFormat="1" applyFont="1" applyBorder="1" applyAlignment="1">
      <alignment horizontal="left"/>
    </xf>
    <xf numFmtId="0" fontId="11" fillId="0" borderId="53" xfId="0" applyFont="1" applyBorder="1" applyAlignment="1">
      <alignment horizontal="center"/>
    </xf>
    <xf numFmtId="0" fontId="12" fillId="0" borderId="90" xfId="0" applyFont="1" applyBorder="1" applyAlignment="1">
      <alignment horizontal="left"/>
    </xf>
    <xf numFmtId="164" fontId="12" fillId="0" borderId="90" xfId="0" applyNumberFormat="1" applyFont="1" applyBorder="1" applyAlignment="1">
      <alignment horizontal="left"/>
    </xf>
    <xf numFmtId="0" fontId="11" fillId="0" borderId="26" xfId="0" applyFont="1" applyBorder="1" applyAlignment="1">
      <alignment horizontal="center"/>
    </xf>
    <xf numFmtId="0" fontId="24" fillId="3" borderId="31" xfId="0" applyFont="1" applyFill="1" applyBorder="1"/>
    <xf numFmtId="0" fontId="24" fillId="3" borderId="62" xfId="0" applyFont="1" applyFill="1" applyBorder="1" applyAlignment="1">
      <alignment horizontal="left"/>
    </xf>
    <xf numFmtId="0" fontId="24" fillId="3" borderId="48" xfId="0" applyFont="1" applyFill="1" applyBorder="1" applyAlignment="1">
      <alignment horizontal="left"/>
    </xf>
    <xf numFmtId="0" fontId="12" fillId="0" borderId="91" xfId="0" applyFont="1" applyBorder="1"/>
    <xf numFmtId="2" fontId="12" fillId="0" borderId="91" xfId="0" applyNumberFormat="1" applyFont="1" applyBorder="1" applyAlignment="1">
      <alignment horizontal="left"/>
    </xf>
    <xf numFmtId="0" fontId="12" fillId="0" borderId="54" xfId="0" applyFont="1" applyBorder="1"/>
    <xf numFmtId="2" fontId="12" fillId="0" borderId="54" xfId="0" applyNumberFormat="1" applyFont="1" applyBorder="1" applyAlignment="1">
      <alignment horizontal="left"/>
    </xf>
    <xf numFmtId="0" fontId="12" fillId="0" borderId="92" xfId="0" applyFont="1" applyBorder="1"/>
    <xf numFmtId="2" fontId="12" fillId="5" borderId="93" xfId="0" applyNumberFormat="1" applyFont="1" applyFill="1" applyBorder="1"/>
    <xf numFmtId="0" fontId="11" fillId="0" borderId="94" xfId="0" applyFont="1" applyBorder="1" applyAlignment="1">
      <alignment horizontal="center"/>
    </xf>
    <xf numFmtId="2" fontId="12" fillId="0" borderId="54" xfId="0" applyNumberFormat="1" applyFont="1" applyBorder="1"/>
    <xf numFmtId="2" fontId="12" fillId="0" borderId="91" xfId="0" applyNumberFormat="1" applyFont="1" applyBorder="1"/>
    <xf numFmtId="0" fontId="11" fillId="0" borderId="90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164" fontId="24" fillId="3" borderId="83" xfId="0" applyNumberFormat="1" applyFont="1" applyFill="1" applyBorder="1"/>
    <xf numFmtId="164" fontId="24" fillId="3" borderId="95" xfId="0" applyNumberFormat="1" applyFont="1" applyFill="1" applyBorder="1" applyAlignment="1">
      <alignment horizontal="left"/>
    </xf>
    <xf numFmtId="164" fontId="24" fillId="3" borderId="48" xfId="0" applyNumberFormat="1" applyFont="1" applyFill="1" applyBorder="1" applyAlignment="1">
      <alignment horizontal="left"/>
    </xf>
    <xf numFmtId="0" fontId="12" fillId="0" borderId="24" xfId="0" applyFont="1" applyBorder="1"/>
    <xf numFmtId="0" fontId="12" fillId="0" borderId="26" xfId="0" applyFont="1" applyBorder="1"/>
    <xf numFmtId="0" fontId="24" fillId="3" borderId="95" xfId="0" applyFont="1" applyFill="1" applyBorder="1" applyAlignment="1">
      <alignment horizontal="left"/>
    </xf>
    <xf numFmtId="0" fontId="12" fillId="0" borderId="65" xfId="0" applyFont="1" applyBorder="1"/>
    <xf numFmtId="0" fontId="11" fillId="0" borderId="66" xfId="0" applyFont="1" applyBorder="1" applyAlignment="1">
      <alignment horizontal="center"/>
    </xf>
    <xf numFmtId="0" fontId="12" fillId="0" borderId="96" xfId="0" applyFont="1" applyBorder="1"/>
    <xf numFmtId="0" fontId="12" fillId="0" borderId="63" xfId="0" applyFont="1" applyBorder="1" applyAlignment="1">
      <alignment horizontal="left"/>
    </xf>
    <xf numFmtId="0" fontId="11" fillId="0" borderId="97" xfId="0" applyFont="1" applyBorder="1" applyAlignment="1">
      <alignment horizontal="left"/>
    </xf>
    <xf numFmtId="10" fontId="12" fillId="0" borderId="74" xfId="0" applyNumberFormat="1" applyFont="1" applyBorder="1" applyAlignment="1">
      <alignment horizontal="left"/>
    </xf>
    <xf numFmtId="164" fontId="24" fillId="3" borderId="30" xfId="0" applyNumberFormat="1" applyFont="1" applyFill="1" applyBorder="1"/>
    <xf numFmtId="164" fontId="24" fillId="3" borderId="84" xfId="0" applyNumberFormat="1" applyFont="1" applyFill="1" applyBorder="1" applyAlignment="1">
      <alignment horizontal="left"/>
    </xf>
    <xf numFmtId="10" fontId="12" fillId="0" borderId="96" xfId="0" applyNumberFormat="1" applyFont="1" applyBorder="1" applyAlignment="1">
      <alignment horizontal="left"/>
    </xf>
    <xf numFmtId="2" fontId="12" fillId="0" borderId="88" xfId="0" applyNumberFormat="1" applyFont="1" applyBorder="1" applyAlignment="1">
      <alignment horizontal="left"/>
    </xf>
    <xf numFmtId="10" fontId="12" fillId="0" borderId="98" xfId="0" applyNumberFormat="1" applyFont="1" applyBorder="1" applyAlignment="1">
      <alignment horizontal="left"/>
    </xf>
    <xf numFmtId="0" fontId="12" fillId="0" borderId="63" xfId="0" applyFont="1" applyBorder="1"/>
    <xf numFmtId="0" fontId="12" fillId="0" borderId="88" xfId="0" applyFont="1" applyBorder="1"/>
    <xf numFmtId="0" fontId="16" fillId="0" borderId="0" xfId="0" applyFont="1"/>
    <xf numFmtId="0" fontId="20" fillId="0" borderId="0" xfId="0" applyFont="1" applyAlignment="1">
      <alignment horizontal="center" vertical="center"/>
    </xf>
    <xf numFmtId="0" fontId="23" fillId="0" borderId="49" xfId="0" applyFont="1" applyBorder="1"/>
    <xf numFmtId="0" fontId="13" fillId="6" borderId="68" xfId="0" applyFont="1" applyFill="1" applyBorder="1" applyAlignment="1">
      <alignment horizontal="center" vertical="center"/>
    </xf>
    <xf numFmtId="0" fontId="13" fillId="6" borderId="19" xfId="0" applyFont="1" applyFill="1" applyBorder="1" applyAlignment="1">
      <alignment horizontal="center" vertical="center" wrapText="1"/>
    </xf>
    <xf numFmtId="164" fontId="12" fillId="0" borderId="20" xfId="0" applyNumberFormat="1" applyFont="1" applyBorder="1" applyAlignment="1">
      <alignment horizontal="center" vertical="center"/>
    </xf>
    <xf numFmtId="164" fontId="12" fillId="0" borderId="21" xfId="0" applyNumberFormat="1" applyFont="1" applyBorder="1" applyAlignment="1">
      <alignment horizontal="center" vertical="center"/>
    </xf>
    <xf numFmtId="164" fontId="12" fillId="0" borderId="24" xfId="0" applyNumberFormat="1" applyFont="1" applyBorder="1" applyAlignment="1">
      <alignment horizontal="center" vertical="center"/>
    </xf>
    <xf numFmtId="164" fontId="12" fillId="0" borderId="25" xfId="0" applyNumberFormat="1" applyFont="1" applyBorder="1" applyAlignment="1">
      <alignment horizontal="center" vertical="center"/>
    </xf>
    <xf numFmtId="164" fontId="12" fillId="0" borderId="27" xfId="0" applyNumberFormat="1" applyFont="1" applyBorder="1" applyAlignment="1">
      <alignment horizontal="center" vertical="center"/>
    </xf>
    <xf numFmtId="164" fontId="12" fillId="0" borderId="28" xfId="0" applyNumberFormat="1" applyFont="1" applyBorder="1" applyAlignment="1">
      <alignment horizontal="center" vertical="center"/>
    </xf>
    <xf numFmtId="164" fontId="12" fillId="0" borderId="65" xfId="0" applyNumberFormat="1" applyFont="1" applyBorder="1" applyAlignment="1">
      <alignment horizontal="center" vertical="center"/>
    </xf>
    <xf numFmtId="164" fontId="12" fillId="0" borderId="66" xfId="0" applyNumberFormat="1" applyFont="1" applyBorder="1" applyAlignment="1">
      <alignment horizontal="center" vertical="center"/>
    </xf>
    <xf numFmtId="0" fontId="24" fillId="6" borderId="104" xfId="0" applyFont="1" applyFill="1" applyBorder="1" applyAlignment="1">
      <alignment horizontal="center"/>
    </xf>
    <xf numFmtId="0" fontId="24" fillId="6" borderId="105" xfId="0" applyFont="1" applyFill="1" applyBorder="1" applyAlignment="1">
      <alignment horizontal="center"/>
    </xf>
    <xf numFmtId="0" fontId="12" fillId="0" borderId="63" xfId="0" applyFont="1" applyBorder="1" applyAlignment="1">
      <alignment horizontal="center" vertical="center" wrapText="1"/>
    </xf>
    <xf numFmtId="164" fontId="12" fillId="0" borderId="64" xfId="0" applyNumberFormat="1" applyFont="1" applyBorder="1" applyAlignment="1">
      <alignment horizontal="center"/>
    </xf>
    <xf numFmtId="0" fontId="12" fillId="0" borderId="88" xfId="0" applyFont="1" applyBorder="1" applyAlignment="1">
      <alignment horizontal="center"/>
    </xf>
    <xf numFmtId="164" fontId="12" fillId="0" borderId="89" xfId="0" applyNumberFormat="1" applyFont="1" applyBorder="1" applyAlignment="1">
      <alignment horizontal="center"/>
    </xf>
    <xf numFmtId="0" fontId="24" fillId="6" borderId="106" xfId="0" applyFont="1" applyFill="1" applyBorder="1" applyAlignment="1">
      <alignment horizontal="center"/>
    </xf>
    <xf numFmtId="0" fontId="12" fillId="0" borderId="63" xfId="0" applyFont="1" applyBorder="1" applyAlignment="1">
      <alignment horizontal="center"/>
    </xf>
    <xf numFmtId="0" fontId="24" fillId="6" borderId="107" xfId="0" applyFont="1" applyFill="1" applyBorder="1"/>
    <xf numFmtId="0" fontId="12" fillId="0" borderId="108" xfId="0" applyFont="1" applyBorder="1"/>
    <xf numFmtId="164" fontId="24" fillId="6" borderId="107" xfId="0" applyNumberFormat="1" applyFont="1" applyFill="1" applyBorder="1"/>
    <xf numFmtId="164" fontId="24" fillId="6" borderId="106" xfId="0" applyNumberFormat="1" applyFont="1" applyFill="1" applyBorder="1" applyAlignment="1">
      <alignment horizontal="center"/>
    </xf>
    <xf numFmtId="0" fontId="12" fillId="0" borderId="64" xfId="0" applyFont="1" applyBorder="1"/>
    <xf numFmtId="0" fontId="12" fillId="0" borderId="89" xfId="0" applyFont="1" applyBorder="1"/>
    <xf numFmtId="164" fontId="12" fillId="0" borderId="109" xfId="0" applyNumberFormat="1" applyFont="1" applyBorder="1" applyAlignment="1">
      <alignment horizontal="center"/>
    </xf>
    <xf numFmtId="0" fontId="30" fillId="3" borderId="110" xfId="0" applyFont="1" applyFill="1" applyBorder="1"/>
    <xf numFmtId="0" fontId="11" fillId="0" borderId="111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30" fillId="3" borderId="35" xfId="0" applyFont="1" applyFill="1" applyBorder="1"/>
    <xf numFmtId="0" fontId="11" fillId="0" borderId="91" xfId="0" applyFont="1" applyBorder="1" applyAlignment="1">
      <alignment horizontal="left" vertical="center"/>
    </xf>
    <xf numFmtId="0" fontId="11" fillId="0" borderId="54" xfId="0" applyFont="1" applyBorder="1" applyAlignment="1">
      <alignment horizontal="left" vertical="center"/>
    </xf>
    <xf numFmtId="14" fontId="11" fillId="0" borderId="91" xfId="0" applyNumberFormat="1" applyFont="1" applyBorder="1" applyAlignment="1">
      <alignment horizontal="left" vertical="center"/>
    </xf>
    <xf numFmtId="0" fontId="30" fillId="3" borderId="30" xfId="0" applyFont="1" applyFill="1" applyBorder="1"/>
    <xf numFmtId="0" fontId="11" fillId="0" borderId="49" xfId="0" applyFont="1" applyBorder="1" applyAlignment="1">
      <alignment horizontal="left" vertical="center"/>
    </xf>
    <xf numFmtId="0" fontId="24" fillId="3" borderId="83" xfId="0" applyFont="1" applyFill="1" applyBorder="1"/>
    <xf numFmtId="164" fontId="12" fillId="0" borderId="63" xfId="0" applyNumberFormat="1" applyFont="1" applyBorder="1" applyAlignment="1">
      <alignment horizontal="left" vertical="center" wrapText="1"/>
    </xf>
    <xf numFmtId="164" fontId="32" fillId="0" borderId="49" xfId="0" applyNumberFormat="1" applyFont="1" applyBorder="1" applyAlignment="1">
      <alignment horizontal="left"/>
    </xf>
    <xf numFmtId="0" fontId="24" fillId="3" borderId="1" xfId="0" applyFont="1" applyFill="1" applyBorder="1" applyAlignment="1">
      <alignment horizontal="left"/>
    </xf>
    <xf numFmtId="0" fontId="11" fillId="3" borderId="1" xfId="0" applyFont="1" applyFill="1" applyBorder="1"/>
    <xf numFmtId="0" fontId="24" fillId="3" borderId="30" xfId="0" applyFont="1" applyFill="1" applyBorder="1" applyAlignment="1">
      <alignment horizontal="left"/>
    </xf>
    <xf numFmtId="2" fontId="12" fillId="7" borderId="112" xfId="0" applyNumberFormat="1" applyFont="1" applyFill="1" applyBorder="1"/>
    <xf numFmtId="2" fontId="12" fillId="7" borderId="93" xfId="0" applyNumberFormat="1" applyFont="1" applyFill="1" applyBorder="1"/>
    <xf numFmtId="0" fontId="11" fillId="0" borderId="91" xfId="0" applyFont="1" applyBorder="1"/>
    <xf numFmtId="0" fontId="11" fillId="0" borderId="86" xfId="0" applyFont="1" applyBorder="1"/>
    <xf numFmtId="2" fontId="12" fillId="0" borderId="113" xfId="0" applyNumberFormat="1" applyFont="1" applyBorder="1" applyAlignment="1">
      <alignment horizontal="left"/>
    </xf>
    <xf numFmtId="0" fontId="11" fillId="0" borderId="90" xfId="0" applyFont="1" applyBorder="1"/>
    <xf numFmtId="0" fontId="11" fillId="0" borderId="54" xfId="0" applyFont="1" applyBorder="1"/>
    <xf numFmtId="0" fontId="11" fillId="0" borderId="24" xfId="0" applyFont="1" applyBorder="1"/>
    <xf numFmtId="2" fontId="12" fillId="0" borderId="23" xfId="0" applyNumberFormat="1" applyFont="1" applyBorder="1" applyAlignment="1">
      <alignment horizontal="left"/>
    </xf>
    <xf numFmtId="0" fontId="12" fillId="0" borderId="27" xfId="0" applyFont="1" applyBorder="1" applyAlignment="1">
      <alignment horizontal="left"/>
    </xf>
    <xf numFmtId="0" fontId="11" fillId="0" borderId="87" xfId="0" applyFont="1" applyBorder="1"/>
    <xf numFmtId="2" fontId="12" fillId="0" borderId="17" xfId="0" applyNumberFormat="1" applyFont="1" applyBorder="1" applyAlignment="1">
      <alignment horizontal="left"/>
    </xf>
    <xf numFmtId="2" fontId="12" fillId="0" borderId="25" xfId="0" applyNumberFormat="1" applyFont="1" applyBorder="1" applyAlignment="1">
      <alignment horizontal="left"/>
    </xf>
    <xf numFmtId="10" fontId="12" fillId="0" borderId="91" xfId="0" applyNumberFormat="1" applyFont="1" applyBorder="1" applyAlignment="1">
      <alignment horizontal="left"/>
    </xf>
    <xf numFmtId="0" fontId="11" fillId="0" borderId="25" xfId="0" applyFont="1" applyBorder="1"/>
    <xf numFmtId="2" fontId="12" fillId="7" borderId="37" xfId="0" applyNumberFormat="1" applyFont="1" applyFill="1" applyBorder="1"/>
    <xf numFmtId="10" fontId="12" fillId="7" borderId="35" xfId="0" applyNumberFormat="1" applyFont="1" applyFill="1" applyBorder="1"/>
    <xf numFmtId="2" fontId="12" fillId="0" borderId="109" xfId="0" applyNumberFormat="1" applyFont="1" applyBorder="1" applyAlignment="1">
      <alignment horizontal="left"/>
    </xf>
    <xf numFmtId="0" fontId="12" fillId="0" borderId="54" xfId="0" applyFont="1" applyBorder="1" applyAlignment="1">
      <alignment horizontal="left"/>
    </xf>
    <xf numFmtId="10" fontId="12" fillId="0" borderId="54" xfId="0" applyNumberFormat="1" applyFont="1" applyBorder="1" applyAlignment="1">
      <alignment horizontal="left"/>
    </xf>
    <xf numFmtId="164" fontId="12" fillId="0" borderId="88" xfId="0" applyNumberFormat="1" applyFont="1" applyBorder="1" applyAlignment="1">
      <alignment horizontal="left" vertical="center" wrapText="1"/>
    </xf>
    <xf numFmtId="2" fontId="12" fillId="0" borderId="96" xfId="0" applyNumberFormat="1" applyFont="1" applyBorder="1" applyAlignment="1">
      <alignment horizontal="left"/>
    </xf>
    <xf numFmtId="164" fontId="12" fillId="0" borderId="0" xfId="0" applyNumberFormat="1" applyFont="1" applyAlignment="1">
      <alignment horizontal="left" vertical="center" wrapText="1"/>
    </xf>
    <xf numFmtId="0" fontId="11" fillId="0" borderId="114" xfId="0" applyFont="1" applyBorder="1"/>
    <xf numFmtId="0" fontId="24" fillId="3" borderId="47" xfId="0" applyFont="1" applyFill="1" applyBorder="1" applyAlignment="1">
      <alignment horizontal="left"/>
    </xf>
    <xf numFmtId="164" fontId="28" fillId="0" borderId="115" xfId="0" applyNumberFormat="1" applyFont="1" applyBorder="1" applyAlignment="1">
      <alignment horizontal="left" vertical="center" wrapText="1"/>
    </xf>
    <xf numFmtId="0" fontId="11" fillId="0" borderId="97" xfId="0" applyFont="1" applyBorder="1"/>
    <xf numFmtId="0" fontId="11" fillId="0" borderId="116" xfId="0" applyFont="1" applyBorder="1"/>
    <xf numFmtId="0" fontId="12" fillId="0" borderId="87" xfId="0" applyFont="1" applyBorder="1" applyAlignment="1">
      <alignment horizontal="left"/>
    </xf>
    <xf numFmtId="164" fontId="12" fillId="0" borderId="117" xfId="0" applyNumberFormat="1" applyFont="1" applyBorder="1" applyAlignment="1">
      <alignment horizontal="left" vertical="center" wrapText="1"/>
    </xf>
    <xf numFmtId="0" fontId="11" fillId="0" borderId="118" xfId="0" applyFont="1" applyBorder="1"/>
    <xf numFmtId="0" fontId="11" fillId="0" borderId="117" xfId="0" applyFont="1" applyBorder="1"/>
    <xf numFmtId="2" fontId="12" fillId="0" borderId="0" xfId="0" applyNumberFormat="1" applyFont="1" applyAlignment="1">
      <alignment horizontal="left"/>
    </xf>
    <xf numFmtId="0" fontId="12" fillId="0" borderId="55" xfId="0" applyFont="1" applyBorder="1" applyAlignment="1">
      <alignment horizontal="left"/>
    </xf>
    <xf numFmtId="0" fontId="11" fillId="0" borderId="55" xfId="0" applyFont="1" applyBorder="1"/>
    <xf numFmtId="0" fontId="11" fillId="0" borderId="27" xfId="0" applyFont="1" applyBorder="1"/>
    <xf numFmtId="2" fontId="12" fillId="0" borderId="28" xfId="0" applyNumberFormat="1" applyFont="1" applyBorder="1" applyAlignment="1">
      <alignment horizontal="left"/>
    </xf>
    <xf numFmtId="2" fontId="12" fillId="0" borderId="55" xfId="0" applyNumberFormat="1" applyFont="1" applyBorder="1" applyAlignment="1">
      <alignment horizontal="left"/>
    </xf>
    <xf numFmtId="164" fontId="12" fillId="0" borderId="97" xfId="0" applyNumberFormat="1" applyFont="1" applyBorder="1" applyAlignment="1">
      <alignment horizontal="left"/>
    </xf>
    <xf numFmtId="0" fontId="23" fillId="0" borderId="115" xfId="0" applyFont="1" applyBorder="1" applyAlignment="1">
      <alignment horizontal="left"/>
    </xf>
    <xf numFmtId="164" fontId="24" fillId="3" borderId="47" xfId="0" applyNumberFormat="1" applyFont="1" applyFill="1" applyBorder="1" applyAlignment="1">
      <alignment horizontal="left"/>
    </xf>
    <xf numFmtId="164" fontId="24" fillId="3" borderId="62" xfId="0" applyNumberFormat="1" applyFont="1" applyFill="1" applyBorder="1" applyAlignment="1">
      <alignment horizontal="left"/>
    </xf>
    <xf numFmtId="0" fontId="11" fillId="0" borderId="117" xfId="0" applyFont="1" applyBorder="1" applyAlignment="1">
      <alignment horizontal="left"/>
    </xf>
    <xf numFmtId="164" fontId="24" fillId="3" borderId="83" xfId="0" applyNumberFormat="1" applyFont="1" applyFill="1" applyBorder="1" applyAlignment="1">
      <alignment horizontal="left"/>
    </xf>
    <xf numFmtId="0" fontId="11" fillId="0" borderId="119" xfId="0" applyFont="1" applyBorder="1"/>
    <xf numFmtId="0" fontId="11" fillId="0" borderId="120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7" xfId="0" applyFont="1" applyBorder="1"/>
    <xf numFmtId="0" fontId="12" fillId="0" borderId="121" xfId="0" applyFont="1" applyBorder="1" applyAlignment="1">
      <alignment horizontal="center" vertical="center"/>
    </xf>
    <xf numFmtId="164" fontId="12" fillId="0" borderId="121" xfId="0" applyNumberFormat="1" applyFont="1" applyBorder="1" applyAlignment="1">
      <alignment horizontal="center" vertical="center"/>
    </xf>
    <xf numFmtId="0" fontId="13" fillId="3" borderId="121" xfId="0" applyFont="1" applyFill="1" applyBorder="1" applyAlignment="1">
      <alignment horizontal="center" vertical="center"/>
    </xf>
    <xf numFmtId="0" fontId="34" fillId="3" borderId="121" xfId="0" applyFont="1" applyFill="1" applyBorder="1" applyAlignment="1">
      <alignment horizontal="center" vertical="center"/>
    </xf>
    <xf numFmtId="0" fontId="33" fillId="0" borderId="121" xfId="0" applyFont="1" applyBorder="1" applyAlignment="1">
      <alignment horizontal="center" vertical="center"/>
    </xf>
    <xf numFmtId="1" fontId="12" fillId="0" borderId="121" xfId="0" applyNumberFormat="1" applyFont="1" applyBorder="1" applyAlignment="1">
      <alignment horizontal="center"/>
    </xf>
    <xf numFmtId="2" fontId="12" fillId="0" borderId="121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" fontId="12" fillId="0" borderId="0" xfId="0" applyNumberFormat="1" applyFont="1" applyAlignment="1">
      <alignment horizontal="center"/>
    </xf>
    <xf numFmtId="0" fontId="35" fillId="8" borderId="49" xfId="0" applyFont="1" applyFill="1" applyBorder="1" applyAlignment="1">
      <alignment horizontal="center" vertical="center"/>
    </xf>
    <xf numFmtId="0" fontId="16" fillId="0" borderId="49" xfId="0" applyFont="1" applyBorder="1" applyAlignment="1">
      <alignment horizontal="left" vertical="center"/>
    </xf>
    <xf numFmtId="0" fontId="17" fillId="0" borderId="49" xfId="0" applyFont="1" applyBorder="1" applyAlignment="1">
      <alignment horizontal="left" vertical="center"/>
    </xf>
    <xf numFmtId="0" fontId="11" fillId="0" borderId="49" xfId="0" applyFont="1" applyBorder="1" applyAlignment="1">
      <alignment vertical="center"/>
    </xf>
    <xf numFmtId="0" fontId="13" fillId="3" borderId="82" xfId="0" applyFont="1" applyFill="1" applyBorder="1" applyAlignment="1">
      <alignment horizontal="left" vertical="center" wrapText="1"/>
    </xf>
    <xf numFmtId="0" fontId="36" fillId="0" borderId="121" xfId="0" applyFont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/>
    </xf>
    <xf numFmtId="0" fontId="37" fillId="0" borderId="0" xfId="0" applyFont="1"/>
    <xf numFmtId="0" fontId="34" fillId="3" borderId="1" xfId="0" applyFont="1" applyFill="1" applyBorder="1" applyAlignment="1">
      <alignment horizontal="center" vertical="center"/>
    </xf>
    <xf numFmtId="164" fontId="38" fillId="0" borderId="121" xfId="0" applyNumberFormat="1" applyFont="1" applyBorder="1" applyAlignment="1">
      <alignment horizontal="center" vertical="center"/>
    </xf>
    <xf numFmtId="0" fontId="33" fillId="0" borderId="121" xfId="0" applyFont="1" applyBorder="1" applyAlignment="1">
      <alignment horizontal="left" vertical="center"/>
    </xf>
    <xf numFmtId="0" fontId="12" fillId="0" borderId="121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3" fillId="0" borderId="121" xfId="0" applyFont="1" applyBorder="1" applyAlignment="1">
      <alignment horizontal="center"/>
    </xf>
    <xf numFmtId="0" fontId="0" fillId="0" borderId="121" xfId="0" applyBorder="1" applyAlignment="1">
      <alignment horizontal="center"/>
    </xf>
    <xf numFmtId="0" fontId="2" fillId="0" borderId="121" xfId="0" applyFont="1" applyBorder="1" applyAlignment="1">
      <alignment horizontal="center"/>
    </xf>
    <xf numFmtId="1" fontId="33" fillId="0" borderId="121" xfId="0" applyNumberFormat="1" applyFont="1" applyBorder="1" applyAlignment="1">
      <alignment horizontal="center"/>
    </xf>
    <xf numFmtId="0" fontId="39" fillId="10" borderId="121" xfId="0" applyFont="1" applyFill="1" applyBorder="1" applyAlignment="1">
      <alignment horizontal="center" vertical="center"/>
    </xf>
    <xf numFmtId="0" fontId="34" fillId="3" borderId="126" xfId="0" applyFont="1" applyFill="1" applyBorder="1" applyAlignment="1">
      <alignment horizontal="center" vertical="center"/>
    </xf>
    <xf numFmtId="0" fontId="40" fillId="11" borderId="122" xfId="0" applyFont="1" applyFill="1" applyBorder="1" applyAlignment="1">
      <alignment horizontal="center"/>
    </xf>
    <xf numFmtId="0" fontId="39" fillId="10" borderId="121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9" fillId="0" borderId="3" xfId="0" applyFont="1" applyBorder="1"/>
    <xf numFmtId="0" fontId="9" fillId="0" borderId="4" xfId="0" applyFont="1" applyBorder="1"/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34" fillId="9" borderId="124" xfId="0" applyFont="1" applyFill="1" applyBorder="1" applyAlignment="1">
      <alignment horizontal="center" vertical="center"/>
    </xf>
    <xf numFmtId="0" fontId="34" fillId="9" borderId="123" xfId="0" applyFont="1" applyFill="1" applyBorder="1" applyAlignment="1">
      <alignment horizontal="center" vertical="center"/>
    </xf>
    <xf numFmtId="0" fontId="34" fillId="9" borderId="125" xfId="0" applyFont="1" applyFill="1" applyBorder="1" applyAlignment="1">
      <alignment horizontal="center" vertical="center"/>
    </xf>
    <xf numFmtId="0" fontId="34" fillId="3" borderId="124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0" borderId="0" xfId="0"/>
    <xf numFmtId="0" fontId="16" fillId="0" borderId="0" xfId="0" applyFont="1" applyAlignment="1">
      <alignment horizontal="center"/>
    </xf>
    <xf numFmtId="0" fontId="16" fillId="0" borderId="52" xfId="0" applyFont="1" applyBorder="1" applyAlignment="1">
      <alignment horizontal="left"/>
    </xf>
    <xf numFmtId="0" fontId="9" fillId="0" borderId="52" xfId="0" applyFont="1" applyBorder="1"/>
    <xf numFmtId="0" fontId="9" fillId="0" borderId="86" xfId="0" applyFont="1" applyBorder="1"/>
    <xf numFmtId="2" fontId="17" fillId="0" borderId="53" xfId="0" applyNumberFormat="1" applyFont="1" applyBorder="1" applyAlignment="1">
      <alignment horizontal="left"/>
    </xf>
    <xf numFmtId="0" fontId="16" fillId="0" borderId="54" xfId="0" applyFont="1" applyBorder="1" applyAlignment="1">
      <alignment horizontal="left"/>
    </xf>
    <xf numFmtId="0" fontId="9" fillId="0" borderId="54" xfId="0" applyFont="1" applyBorder="1"/>
    <xf numFmtId="0" fontId="9" fillId="0" borderId="24" xfId="0" applyFont="1" applyBorder="1"/>
    <xf numFmtId="2" fontId="17" fillId="0" borderId="26" xfId="0" applyNumberFormat="1" applyFont="1" applyBorder="1" applyAlignment="1">
      <alignment horizontal="left"/>
    </xf>
    <xf numFmtId="0" fontId="17" fillId="0" borderId="26" xfId="0" applyFont="1" applyBorder="1" applyAlignment="1">
      <alignment horizontal="left"/>
    </xf>
    <xf numFmtId="0" fontId="16" fillId="0" borderId="89" xfId="0" applyFont="1" applyBorder="1" applyAlignment="1">
      <alignment horizontal="left"/>
    </xf>
    <xf numFmtId="0" fontId="9" fillId="0" borderId="92" xfId="0" applyFont="1" applyBorder="1"/>
    <xf numFmtId="0" fontId="16" fillId="0" borderId="0" xfId="0" applyFont="1" applyAlignment="1">
      <alignment horizontal="left"/>
    </xf>
    <xf numFmtId="0" fontId="18" fillId="6" borderId="99" xfId="0" applyFont="1" applyFill="1" applyBorder="1" applyAlignment="1">
      <alignment horizontal="center"/>
    </xf>
    <xf numFmtId="0" fontId="9" fillId="0" borderId="100" xfId="0" applyFont="1" applyBorder="1"/>
    <xf numFmtId="0" fontId="9" fillId="0" borderId="101" xfId="0" applyFont="1" applyBorder="1"/>
    <xf numFmtId="0" fontId="16" fillId="0" borderId="92" xfId="0" applyFont="1" applyBorder="1" applyAlignment="1">
      <alignment horizontal="left"/>
    </xf>
    <xf numFmtId="0" fontId="9" fillId="0" borderId="88" xfId="0" applyFont="1" applyBorder="1"/>
    <xf numFmtId="0" fontId="24" fillId="0" borderId="102" xfId="0" applyFont="1" applyBorder="1" applyAlignment="1">
      <alignment horizontal="center" vertical="center"/>
    </xf>
    <xf numFmtId="0" fontId="9" fillId="0" borderId="103" xfId="0" applyFont="1" applyBorder="1"/>
    <xf numFmtId="0" fontId="31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2" fontId="33" fillId="0" borderId="121" xfId="0" applyNumberFormat="1" applyFont="1" applyBorder="1" applyAlignment="1">
      <alignment horizontal="center" vertical="center"/>
    </xf>
    <xf numFmtId="0" fontId="1" fillId="0" borderId="0" xfId="0" applyFont="1"/>
    <xf numFmtId="0" fontId="34" fillId="3" borderId="123" xfId="0" applyFont="1" applyFill="1" applyBorder="1" applyAlignment="1">
      <alignment horizontal="center" vertical="center"/>
    </xf>
  </cellXfs>
  <cellStyles count="1">
    <cellStyle name="Normal" xfId="0" builtinId="0"/>
  </cellStyles>
  <dxfs count="11"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color rgb="FF0070C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i/>
        <color rgb="FFFFFF00"/>
      </font>
      <fill>
        <patternFill patternType="none"/>
      </fill>
    </dxf>
    <dxf>
      <font>
        <b/>
        <i/>
        <color rgb="FFC00000"/>
      </font>
      <fill>
        <patternFill patternType="none"/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8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hyperlink" Target="#In&#237;cio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In&#237;cio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Exig&#234;ncias!A1"/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.gif"/><Relationship Id="rId6" Type="http://schemas.openxmlformats.org/officeDocument/2006/relationships/hyperlink" Target="#In&#237;cio!A1"/><Relationship Id="rId11" Type="http://schemas.openxmlformats.org/officeDocument/2006/relationships/image" Target="../media/image6.png"/><Relationship Id="rId5" Type="http://schemas.openxmlformats.org/officeDocument/2006/relationships/image" Target="../media/image4.png"/><Relationship Id="rId10" Type="http://schemas.openxmlformats.org/officeDocument/2006/relationships/hyperlink" Target="#Alimentos!A1"/><Relationship Id="rId4" Type="http://schemas.openxmlformats.org/officeDocument/2006/relationships/hyperlink" Target="#'Check de dieta'!A1"/><Relationship Id="rId9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Relat&#243;rio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2" Type="http://schemas.openxmlformats.org/officeDocument/2006/relationships/image" Target="../media/image1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0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hyperlink" Target="#Exig&#234;ncias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" Type="http://schemas.openxmlformats.org/officeDocument/2006/relationships/hyperlink" Target="#'Check de dieta'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17" Type="http://schemas.openxmlformats.org/officeDocument/2006/relationships/image" Target="../media/image21.png"/><Relationship Id="rId2" Type="http://schemas.openxmlformats.org/officeDocument/2006/relationships/image" Target="../media/image16.png"/><Relationship Id="rId16" Type="http://schemas.openxmlformats.org/officeDocument/2006/relationships/image" Target="../media/image20.png"/><Relationship Id="rId20" Type="http://schemas.openxmlformats.org/officeDocument/2006/relationships/image" Target="../media/image2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5" Type="http://schemas.openxmlformats.org/officeDocument/2006/relationships/image" Target="../media/image19.png"/><Relationship Id="rId10" Type="http://schemas.openxmlformats.org/officeDocument/2006/relationships/image" Target="../media/image7.png"/><Relationship Id="rId19" Type="http://schemas.openxmlformats.org/officeDocument/2006/relationships/image" Target="../media/image23.png"/><Relationship Id="rId4" Type="http://schemas.openxmlformats.org/officeDocument/2006/relationships/image" Target="../media/image4.png"/><Relationship Id="rId9" Type="http://schemas.openxmlformats.org/officeDocument/2006/relationships/hyperlink" Target="#Exig&#234;ncias!A1"/><Relationship Id="rId1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9</xdr:col>
      <xdr:colOff>323850</xdr:colOff>
      <xdr:row>6</xdr:row>
      <xdr:rowOff>38100</xdr:rowOff>
    </xdr:from>
    <xdr:ext cx="6543675" cy="25812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078925" y="2489363"/>
          <a:ext cx="6534150" cy="2581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0">
              <a:solidFill>
                <a:srgbClr val="1F3864"/>
              </a:solidFill>
              <a:latin typeface="Calibri"/>
              <a:ea typeface="Calibri"/>
              <a:cs typeface="Calibri"/>
              <a:sym typeface="Calibri"/>
            </a:rPr>
            <a:t>Esta ferramenta te possibilitará checar as dietas dos animais sob a ótica de um profissional capacitado a interpretar os resultados de acordo com o que foi visto em aula.</a:t>
          </a:r>
          <a:endParaRPr sz="1400"/>
        </a:p>
      </xdr:txBody>
    </xdr:sp>
    <xdr:clientData fLocksWithSheet="0"/>
  </xdr:oneCellAnchor>
  <xdr:oneCellAnchor>
    <xdr:from>
      <xdr:col>2</xdr:col>
      <xdr:colOff>247650</xdr:colOff>
      <xdr:row>2</xdr:row>
      <xdr:rowOff>171450</xdr:rowOff>
    </xdr:from>
    <xdr:ext cx="1371600" cy="17049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428625</xdr:colOff>
      <xdr:row>3</xdr:row>
      <xdr:rowOff>161925</xdr:rowOff>
    </xdr:from>
    <xdr:ext cx="1724025" cy="1495425"/>
    <xdr:pic>
      <xdr:nvPicPr>
        <xdr:cNvPr id="6" name="image7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619125</xdr:colOff>
      <xdr:row>17</xdr:row>
      <xdr:rowOff>76200</xdr:rowOff>
    </xdr:from>
    <xdr:ext cx="1390650" cy="1743075"/>
    <xdr:pic>
      <xdr:nvPicPr>
        <xdr:cNvPr id="7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419100</xdr:colOff>
      <xdr:row>17</xdr:row>
      <xdr:rowOff>66675</xdr:rowOff>
    </xdr:from>
    <xdr:ext cx="1466850" cy="1752600"/>
    <xdr:pic>
      <xdr:nvPicPr>
        <xdr:cNvPr id="8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247650</xdr:colOff>
      <xdr:row>17</xdr:row>
      <xdr:rowOff>95250</xdr:rowOff>
    </xdr:from>
    <xdr:ext cx="1476375" cy="1743075"/>
    <xdr:pic>
      <xdr:nvPicPr>
        <xdr:cNvPr id="9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85725</xdr:colOff>
      <xdr:row>17</xdr:row>
      <xdr:rowOff>95250</xdr:rowOff>
    </xdr:from>
    <xdr:ext cx="1466850" cy="1743075"/>
    <xdr:pic>
      <xdr:nvPicPr>
        <xdr:cNvPr id="10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17</xdr:row>
      <xdr:rowOff>85725</xdr:rowOff>
    </xdr:from>
    <xdr:ext cx="1419225" cy="1752600"/>
    <xdr:pic>
      <xdr:nvPicPr>
        <xdr:cNvPr id="11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1</xdr:row>
      <xdr:rowOff>9525</xdr:rowOff>
    </xdr:from>
    <xdr:ext cx="847725" cy="1019175"/>
    <xdr:pic>
      <xdr:nvPicPr>
        <xdr:cNvPr id="3" name="image1.gif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1</xdr:row>
      <xdr:rowOff>57150</xdr:rowOff>
    </xdr:from>
    <xdr:ext cx="1143000" cy="952500"/>
    <xdr:pic>
      <xdr:nvPicPr>
        <xdr:cNvPr id="4" name="image11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34</xdr:row>
      <xdr:rowOff>57150</xdr:rowOff>
    </xdr:from>
    <xdr:ext cx="885825" cy="1000125"/>
    <xdr:pic>
      <xdr:nvPicPr>
        <xdr:cNvPr id="5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28</xdr:row>
      <xdr:rowOff>47625</xdr:rowOff>
    </xdr:from>
    <xdr:ext cx="885825" cy="1000125"/>
    <xdr:pic>
      <xdr:nvPicPr>
        <xdr:cNvPr id="7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22</xdr:row>
      <xdr:rowOff>76200</xdr:rowOff>
    </xdr:from>
    <xdr:ext cx="895350" cy="1000125"/>
    <xdr:pic>
      <xdr:nvPicPr>
        <xdr:cNvPr id="8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10</xdr:row>
      <xdr:rowOff>161925</xdr:rowOff>
    </xdr:from>
    <xdr:ext cx="952500" cy="1085850"/>
    <xdr:pic>
      <xdr:nvPicPr>
        <xdr:cNvPr id="9" name="image10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16</xdr:row>
      <xdr:rowOff>161925</xdr:rowOff>
    </xdr:from>
    <xdr:ext cx="885825" cy="1000125"/>
    <xdr:pic>
      <xdr:nvPicPr>
        <xdr:cNvPr id="10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</xdr:row>
      <xdr:rowOff>0</xdr:rowOff>
    </xdr:from>
    <xdr:ext cx="304800" cy="333375"/>
    <xdr:sp macro="" textlink="">
      <xdr:nvSpPr>
        <xdr:cNvPr id="5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193600" y="3618075"/>
          <a:ext cx="30480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27215</xdr:rowOff>
    </xdr:from>
    <xdr:ext cx="847725" cy="1019175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210911"/>
          <a:ext cx="847725" cy="10191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1122590</xdr:colOff>
      <xdr:row>1</xdr:row>
      <xdr:rowOff>61232</xdr:rowOff>
    </xdr:from>
    <xdr:ext cx="1143000" cy="952500"/>
    <xdr:pic>
      <xdr:nvPicPr>
        <xdr:cNvPr id="3" name="image8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22590" y="244928"/>
          <a:ext cx="1143000" cy="952500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748393</xdr:colOff>
      <xdr:row>35</xdr:row>
      <xdr:rowOff>57150</xdr:rowOff>
    </xdr:from>
    <xdr:ext cx="885825" cy="962025"/>
    <xdr:pic>
      <xdr:nvPicPr>
        <xdr:cNvPr id="4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48393" y="6724650"/>
          <a:ext cx="885825" cy="9620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707572</xdr:colOff>
      <xdr:row>28</xdr:row>
      <xdr:rowOff>81642</xdr:rowOff>
    </xdr:from>
    <xdr:ext cx="885825" cy="1000125"/>
    <xdr:pic>
      <xdr:nvPicPr>
        <xdr:cNvPr id="6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707572" y="5395231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680358</xdr:colOff>
      <xdr:row>22</xdr:row>
      <xdr:rowOff>130629</xdr:rowOff>
    </xdr:from>
    <xdr:ext cx="895350" cy="1000125"/>
    <xdr:pic>
      <xdr:nvPicPr>
        <xdr:cNvPr id="7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358" y="4260397"/>
          <a:ext cx="895350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673553</xdr:colOff>
      <xdr:row>16</xdr:row>
      <xdr:rowOff>50347</xdr:rowOff>
    </xdr:from>
    <xdr:ext cx="885825" cy="1000125"/>
    <xdr:pic>
      <xdr:nvPicPr>
        <xdr:cNvPr id="8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73553" y="3037115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653144</xdr:colOff>
      <xdr:row>8</xdr:row>
      <xdr:rowOff>182336</xdr:rowOff>
    </xdr:from>
    <xdr:ext cx="952500" cy="1085850"/>
    <xdr:pic>
      <xdr:nvPicPr>
        <xdr:cNvPr id="9" name="image9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653144" y="1651907"/>
          <a:ext cx="952500" cy="1085850"/>
        </a:xfrm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13</xdr:row>
      <xdr:rowOff>0</xdr:rowOff>
    </xdr:from>
    <xdr:ext cx="304800" cy="333375"/>
    <xdr:sp macro="" textlink="">
      <xdr:nvSpPr>
        <xdr:cNvPr id="2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FDAC6E19-D7AD-4480-BFE4-5094E856164B}"/>
            </a:ext>
          </a:extLst>
        </xdr:cNvPr>
        <xdr:cNvSpPr/>
      </xdr:nvSpPr>
      <xdr:spPr>
        <a:xfrm>
          <a:off x="2270760" y="571500"/>
          <a:ext cx="30480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12</xdr:row>
      <xdr:rowOff>0</xdr:rowOff>
    </xdr:from>
    <xdr:ext cx="304800" cy="333375"/>
    <xdr:sp macro="" textlink="">
      <xdr:nvSpPr>
        <xdr:cNvPr id="3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35524461-4163-43BB-8F5C-FA77FEDAB248}"/>
            </a:ext>
          </a:extLst>
        </xdr:cNvPr>
        <xdr:cNvSpPr/>
      </xdr:nvSpPr>
      <xdr:spPr>
        <a:xfrm>
          <a:off x="0" y="1828800"/>
          <a:ext cx="30480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11</xdr:row>
      <xdr:rowOff>0</xdr:rowOff>
    </xdr:from>
    <xdr:ext cx="304800" cy="333375"/>
    <xdr:sp macro="" textlink="">
      <xdr:nvSpPr>
        <xdr:cNvPr id="4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BFD64E47-51C1-4EF2-A167-AAB60FF94A9F}"/>
            </a:ext>
          </a:extLst>
        </xdr:cNvPr>
        <xdr:cNvSpPr/>
      </xdr:nvSpPr>
      <xdr:spPr>
        <a:xfrm>
          <a:off x="0" y="1828800"/>
          <a:ext cx="30480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10</xdr:row>
      <xdr:rowOff>0</xdr:rowOff>
    </xdr:from>
    <xdr:ext cx="304800" cy="333375"/>
    <xdr:sp macro="" textlink="">
      <xdr:nvSpPr>
        <xdr:cNvPr id="5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059E3EE9-BD98-4040-9459-2686134957D5}"/>
            </a:ext>
          </a:extLst>
        </xdr:cNvPr>
        <xdr:cNvSpPr/>
      </xdr:nvSpPr>
      <xdr:spPr>
        <a:xfrm>
          <a:off x="0" y="1828800"/>
          <a:ext cx="30480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7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14325" cy="314325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2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4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266700</xdr:colOff>
      <xdr:row>2</xdr:row>
      <xdr:rowOff>19050</xdr:rowOff>
    </xdr:from>
    <xdr:ext cx="847725" cy="8667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1143000</xdr:colOff>
      <xdr:row>2</xdr:row>
      <xdr:rowOff>66675</xdr:rowOff>
    </xdr:from>
    <xdr:ext cx="1143000" cy="800100"/>
    <xdr:pic>
      <xdr:nvPicPr>
        <xdr:cNvPr id="6" name="image12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27</xdr:row>
      <xdr:rowOff>57150</xdr:rowOff>
    </xdr:from>
    <xdr:ext cx="885825" cy="1000125"/>
    <xdr:pic>
      <xdr:nvPicPr>
        <xdr:cNvPr id="8" name="image2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819150</xdr:colOff>
      <xdr:row>21</xdr:row>
      <xdr:rowOff>47625</xdr:rowOff>
    </xdr:from>
    <xdr:ext cx="885825" cy="847725"/>
    <xdr:pic>
      <xdr:nvPicPr>
        <xdr:cNvPr id="9" name="image5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3</xdr:row>
      <xdr:rowOff>161925</xdr:rowOff>
    </xdr:from>
    <xdr:ext cx="952500" cy="990600"/>
    <xdr:pic>
      <xdr:nvPicPr>
        <xdr:cNvPr id="10" name="image14.png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771525</xdr:colOff>
      <xdr:row>9</xdr:row>
      <xdr:rowOff>161925</xdr:rowOff>
    </xdr:from>
    <xdr:ext cx="885825" cy="847725"/>
    <xdr:pic>
      <xdr:nvPicPr>
        <xdr:cNvPr id="11" name="image3.png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800100</xdr:colOff>
      <xdr:row>16</xdr:row>
      <xdr:rowOff>19050</xdr:rowOff>
    </xdr:from>
    <xdr:ext cx="885825" cy="847725"/>
    <xdr:pic>
      <xdr:nvPicPr>
        <xdr:cNvPr id="12" name="image6.png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14325" cy="314325"/>
    <xdr:sp macro="" textlink="">
      <xdr:nvSpPr>
        <xdr:cNvPr id="4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5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7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04875"/>
    <xdr:pic>
      <xdr:nvPicPr>
        <xdr:cNvPr id="8" name="image1.gif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38200"/>
    <xdr:pic>
      <xdr:nvPicPr>
        <xdr:cNvPr id="9" name="image13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35</xdr:row>
      <xdr:rowOff>57150</xdr:rowOff>
    </xdr:from>
    <xdr:ext cx="885825" cy="1047750"/>
    <xdr:pic>
      <xdr:nvPicPr>
        <xdr:cNvPr id="10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57150</xdr:rowOff>
    </xdr:from>
    <xdr:ext cx="895350" cy="1000125"/>
    <xdr:pic>
      <xdr:nvPicPr>
        <xdr:cNvPr id="11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1000125"/>
    <xdr:pic>
      <xdr:nvPicPr>
        <xdr:cNvPr id="12" name="image15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1000125"/>
    <xdr:pic>
      <xdr:nvPicPr>
        <xdr:cNvPr id="13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781050</xdr:colOff>
      <xdr:row>24</xdr:row>
      <xdr:rowOff>38100</xdr:rowOff>
    </xdr:from>
    <xdr:ext cx="885825" cy="942975"/>
    <xdr:pic>
      <xdr:nvPicPr>
        <xdr:cNvPr id="14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409575</xdr:colOff>
      <xdr:row>4</xdr:row>
      <xdr:rowOff>57150</xdr:rowOff>
    </xdr:from>
    <xdr:ext cx="1495425" cy="5524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03050" y="3508538"/>
          <a:ext cx="1485900" cy="542925"/>
        </a:xfrm>
        <a:prstGeom prst="roundRect">
          <a:avLst>
            <a:gd name="adj" fmla="val 16667"/>
          </a:avLst>
        </a:prstGeom>
        <a:solidFill>
          <a:srgbClr val="385623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GERAR .pdf</a:t>
          </a: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33450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57250"/>
    <xdr:pic>
      <xdr:nvPicPr>
        <xdr:cNvPr id="3" name="image21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35</xdr:row>
      <xdr:rowOff>19050</xdr:rowOff>
    </xdr:from>
    <xdr:ext cx="885825" cy="885825"/>
    <xdr:pic>
      <xdr:nvPicPr>
        <xdr:cNvPr id="4" name="image5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47625</xdr:rowOff>
    </xdr:from>
    <xdr:ext cx="895350" cy="914400"/>
    <xdr:pic>
      <xdr:nvPicPr>
        <xdr:cNvPr id="5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952500"/>
    <xdr:pic>
      <xdr:nvPicPr>
        <xdr:cNvPr id="6" name="image1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904875"/>
    <xdr:pic>
      <xdr:nvPicPr>
        <xdr:cNvPr id="7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23</xdr:row>
      <xdr:rowOff>161925</xdr:rowOff>
    </xdr:from>
    <xdr:ext cx="885825" cy="904875"/>
    <xdr:pic>
      <xdr:nvPicPr>
        <xdr:cNvPr id="9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533400</xdr:colOff>
      <xdr:row>2</xdr:row>
      <xdr:rowOff>114300</xdr:rowOff>
    </xdr:from>
    <xdr:ext cx="942975" cy="1152525"/>
    <xdr:pic>
      <xdr:nvPicPr>
        <xdr:cNvPr id="10" name="image23.png" descr="Imprimir - ícones de tecnologia grátis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18</xdr:row>
      <xdr:rowOff>0</xdr:rowOff>
    </xdr:from>
    <xdr:ext cx="3886200" cy="1076325"/>
    <xdr:pic>
      <xdr:nvPicPr>
        <xdr:cNvPr id="11" name="image17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25</xdr:row>
      <xdr:rowOff>0</xdr:rowOff>
    </xdr:from>
    <xdr:ext cx="2657475" cy="1009650"/>
    <xdr:pic>
      <xdr:nvPicPr>
        <xdr:cNvPr id="12" name="image20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31</xdr:row>
      <xdr:rowOff>0</xdr:rowOff>
    </xdr:from>
    <xdr:ext cx="2657475" cy="676275"/>
    <xdr:pic>
      <xdr:nvPicPr>
        <xdr:cNvPr id="13" name="image16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35</xdr:row>
      <xdr:rowOff>0</xdr:rowOff>
    </xdr:from>
    <xdr:ext cx="2657475" cy="1171575"/>
    <xdr:pic>
      <xdr:nvPicPr>
        <xdr:cNvPr id="14" name="image19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42</xdr:row>
      <xdr:rowOff>0</xdr:rowOff>
    </xdr:from>
    <xdr:ext cx="2657475" cy="1619250"/>
    <xdr:pic>
      <xdr:nvPicPr>
        <xdr:cNvPr id="15" name="image24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51</xdr:row>
      <xdr:rowOff>0</xdr:rowOff>
    </xdr:from>
    <xdr:ext cx="2657475" cy="1800225"/>
    <xdr:pic>
      <xdr:nvPicPr>
        <xdr:cNvPr id="16" name="image22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11</xdr:row>
      <xdr:rowOff>0</xdr:rowOff>
    </xdr:from>
    <xdr:ext cx="3886200" cy="1085850"/>
    <xdr:pic>
      <xdr:nvPicPr>
        <xdr:cNvPr id="17" name="image18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1000"/>
  <sheetViews>
    <sheetView showGridLines="0" zoomScale="71" zoomScaleNormal="100" workbookViewId="0"/>
  </sheetViews>
  <sheetFormatPr defaultColWidth="14.44140625" defaultRowHeight="15" customHeight="1"/>
  <cols>
    <col min="1" max="9" width="9.33203125" customWidth="1"/>
    <col min="10" max="10" width="5.33203125" customWidth="1"/>
    <col min="11" max="26" width="9.33203125" customWidth="1"/>
  </cols>
  <sheetData>
    <row r="1" spans="1:26" ht="14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customHeight="1">
      <c r="A2" s="2"/>
      <c r="B2" s="2"/>
      <c r="C2" s="2"/>
      <c r="D2" s="2"/>
      <c r="E2" s="2"/>
      <c r="F2" s="2"/>
      <c r="G2" s="2"/>
      <c r="H2" s="3"/>
      <c r="I2" s="3"/>
      <c r="J2" s="3"/>
      <c r="K2" s="3"/>
      <c r="L2" s="3"/>
      <c r="M2" s="3"/>
      <c r="N2" s="3"/>
      <c r="O2" s="3"/>
      <c r="P2" s="4"/>
      <c r="Q2" s="4"/>
      <c r="R2" s="4"/>
      <c r="S2" s="4"/>
      <c r="T2" s="1"/>
      <c r="U2" s="1"/>
      <c r="V2" s="4"/>
      <c r="W2" s="4"/>
      <c r="X2" s="4"/>
      <c r="Y2" s="2"/>
      <c r="Z2" s="2"/>
    </row>
    <row r="3" spans="1:26" ht="15" customHeight="1">
      <c r="A3" s="2"/>
      <c r="B3" s="2"/>
      <c r="C3" s="2"/>
      <c r="D3" s="2"/>
      <c r="E3" s="2"/>
      <c r="F3" s="2"/>
      <c r="G3" s="2"/>
      <c r="H3" s="3"/>
      <c r="I3" s="3"/>
      <c r="J3" s="3"/>
      <c r="K3" s="3"/>
      <c r="L3" s="3"/>
      <c r="M3" s="3"/>
      <c r="N3" s="3"/>
      <c r="O3" s="3"/>
      <c r="P3" s="4"/>
      <c r="Q3" s="4"/>
      <c r="R3" s="4"/>
      <c r="S3" s="4"/>
      <c r="T3" s="1"/>
      <c r="U3" s="1"/>
      <c r="V3" s="4"/>
      <c r="W3" s="4"/>
      <c r="X3" s="4"/>
      <c r="Y3" s="2"/>
      <c r="Z3" s="2"/>
    </row>
    <row r="4" spans="1:26" ht="15" customHeight="1">
      <c r="A4" s="2"/>
      <c r="B4" s="2"/>
      <c r="C4" s="2"/>
      <c r="D4" s="2"/>
      <c r="E4" s="2"/>
      <c r="F4" s="2"/>
      <c r="G4" s="2"/>
      <c r="H4" s="3"/>
      <c r="I4" s="3"/>
      <c r="J4" s="3"/>
      <c r="K4" s="3"/>
      <c r="L4" s="3"/>
      <c r="M4" s="3"/>
      <c r="N4" s="3"/>
      <c r="O4" s="3"/>
      <c r="P4" s="4"/>
      <c r="Q4" s="4"/>
      <c r="R4" s="4"/>
      <c r="S4" s="4"/>
      <c r="T4" s="1"/>
      <c r="U4" s="1"/>
      <c r="V4" s="4"/>
      <c r="W4" s="4"/>
      <c r="X4" s="4"/>
      <c r="Y4" s="2"/>
      <c r="Z4" s="2"/>
    </row>
    <row r="5" spans="1:26" ht="15" customHeight="1">
      <c r="A5" s="2"/>
      <c r="B5" s="2"/>
      <c r="C5" s="2"/>
      <c r="D5" s="2"/>
      <c r="E5" s="2"/>
      <c r="F5" s="2"/>
      <c r="G5" s="2"/>
      <c r="H5" s="3"/>
      <c r="I5" s="3"/>
      <c r="J5" s="3"/>
      <c r="K5" s="3"/>
      <c r="L5" s="3"/>
      <c r="M5" s="3"/>
      <c r="N5" s="3"/>
      <c r="O5" s="3"/>
      <c r="P5" s="4"/>
      <c r="Q5" s="4"/>
      <c r="R5" s="4"/>
      <c r="S5" s="4"/>
      <c r="T5" s="1"/>
      <c r="U5" s="1"/>
      <c r="V5" s="4"/>
      <c r="W5" s="4"/>
      <c r="X5" s="4"/>
      <c r="Y5" s="2"/>
      <c r="Z5" s="2"/>
    </row>
    <row r="6" spans="1:26" ht="15" customHeight="1">
      <c r="A6" s="1"/>
      <c r="B6" s="1"/>
      <c r="C6" s="1"/>
      <c r="D6" s="1"/>
      <c r="E6" s="1"/>
      <c r="F6" s="1"/>
      <c r="G6" s="1"/>
      <c r="H6" s="370"/>
      <c r="I6" s="371"/>
      <c r="J6" s="371"/>
      <c r="K6" s="371"/>
      <c r="L6" s="371"/>
      <c r="M6" s="371"/>
      <c r="N6" s="371"/>
      <c r="O6" s="372"/>
      <c r="P6" s="4"/>
      <c r="Q6" s="4"/>
      <c r="R6" s="4"/>
      <c r="S6" s="4"/>
      <c r="T6" s="1"/>
      <c r="U6" s="1"/>
      <c r="V6" s="4"/>
      <c r="W6" s="4"/>
      <c r="X6" s="4"/>
      <c r="Y6" s="1"/>
      <c r="Z6" s="1"/>
    </row>
    <row r="7" spans="1:26" ht="15" customHeight="1">
      <c r="A7" s="1"/>
      <c r="B7" s="1"/>
      <c r="C7" s="1"/>
      <c r="D7" s="1"/>
      <c r="E7" s="1"/>
      <c r="F7" s="1"/>
      <c r="G7" s="1"/>
      <c r="H7" s="373"/>
      <c r="I7" s="374"/>
      <c r="J7" s="374"/>
      <c r="K7" s="374"/>
      <c r="L7" s="374"/>
      <c r="M7" s="374"/>
      <c r="N7" s="374"/>
      <c r="O7" s="375"/>
      <c r="P7" s="5"/>
      <c r="Q7" s="5"/>
      <c r="R7" s="5"/>
      <c r="S7" s="5"/>
      <c r="T7" s="1"/>
      <c r="U7" s="1"/>
      <c r="V7" s="5"/>
      <c r="W7" s="5"/>
      <c r="X7" s="5"/>
      <c r="Y7" s="1"/>
      <c r="Z7" s="1"/>
    </row>
    <row r="8" spans="1:26" ht="15" customHeight="1">
      <c r="A8" s="1"/>
      <c r="B8" s="1"/>
      <c r="C8" s="1"/>
      <c r="D8" s="1"/>
      <c r="E8" s="1"/>
      <c r="F8" s="1"/>
      <c r="G8" s="1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1"/>
      <c r="U8" s="1"/>
      <c r="V8" s="5"/>
      <c r="W8" s="5"/>
      <c r="X8" s="5"/>
      <c r="Y8" s="1"/>
      <c r="Z8" s="1"/>
    </row>
    <row r="9" spans="1:26" ht="14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5.8">
      <c r="A16" s="1"/>
      <c r="B16" s="1"/>
      <c r="C16" s="1"/>
      <c r="D16" s="1"/>
      <c r="E16" s="1"/>
      <c r="F16" s="1"/>
      <c r="G16" s="1"/>
      <c r="H16" s="1"/>
      <c r="I16" s="1"/>
      <c r="J16" s="1"/>
      <c r="K16" s="6" t="s">
        <v>0</v>
      </c>
      <c r="L16" s="7"/>
      <c r="M16" s="7"/>
      <c r="N16" s="7"/>
      <c r="O16" s="7"/>
      <c r="P16" s="7"/>
      <c r="Q16" s="7"/>
      <c r="R16" s="7"/>
      <c r="S16" s="7"/>
      <c r="T16" s="7"/>
      <c r="U16" s="8"/>
      <c r="V16" s="1"/>
      <c r="W16" s="1"/>
      <c r="X16" s="1"/>
      <c r="Y16" s="1"/>
      <c r="Z16" s="1"/>
    </row>
    <row r="17" spans="1:26" ht="14.4">
      <c r="A17" s="1"/>
      <c r="B17" s="1"/>
      <c r="C17" s="1"/>
      <c r="D17" s="1"/>
      <c r="E17" s="1"/>
      <c r="F17" s="1"/>
      <c r="G17" s="1"/>
      <c r="H17" s="1"/>
      <c r="I17" s="1"/>
      <c r="J17" s="1"/>
      <c r="K17" s="9"/>
      <c r="L17" s="1"/>
      <c r="M17" s="1"/>
      <c r="N17" s="1"/>
      <c r="O17" s="1"/>
      <c r="P17" s="1"/>
      <c r="Q17" s="1"/>
      <c r="R17" s="1"/>
      <c r="S17" s="1"/>
      <c r="T17" s="1"/>
      <c r="U17" s="8"/>
      <c r="V17" s="1"/>
      <c r="W17" s="1"/>
      <c r="X17" s="1"/>
      <c r="Y17" s="1"/>
      <c r="Z17" s="1"/>
    </row>
    <row r="18" spans="1:26" ht="14.4">
      <c r="A18" s="1"/>
      <c r="B18" s="1"/>
      <c r="C18" s="1"/>
      <c r="D18" s="1"/>
      <c r="E18" s="1"/>
      <c r="F18" s="1"/>
      <c r="G18" s="1"/>
      <c r="H18" s="1"/>
      <c r="I18" s="1"/>
      <c r="J18" s="1"/>
      <c r="K18" s="9"/>
      <c r="L18" s="1"/>
      <c r="M18" s="1"/>
      <c r="N18" s="1"/>
      <c r="O18" s="1"/>
      <c r="P18" s="1"/>
      <c r="Q18" s="1"/>
      <c r="R18" s="1"/>
      <c r="S18" s="1"/>
      <c r="T18" s="1"/>
      <c r="U18" s="10"/>
      <c r="V18" s="1"/>
      <c r="W18" s="1"/>
      <c r="X18" s="1"/>
      <c r="Y18" s="1"/>
      <c r="Z18" s="1"/>
    </row>
    <row r="19" spans="1:26" ht="14.4">
      <c r="A19" s="1"/>
      <c r="B19" s="1"/>
      <c r="C19" s="1"/>
      <c r="D19" s="1"/>
      <c r="E19" s="1"/>
      <c r="F19" s="1"/>
      <c r="G19" s="1"/>
      <c r="H19" s="1"/>
      <c r="I19" s="1"/>
      <c r="J19" s="1"/>
      <c r="K19" s="9"/>
      <c r="L19" s="1"/>
      <c r="M19" s="1"/>
      <c r="N19" s="1"/>
      <c r="O19" s="1"/>
      <c r="P19" s="1"/>
      <c r="Q19" s="1"/>
      <c r="R19" s="1"/>
      <c r="S19" s="1"/>
      <c r="T19" s="1"/>
      <c r="U19" s="10"/>
      <c r="V19" s="1"/>
      <c r="W19" s="1"/>
      <c r="X19" s="1"/>
      <c r="Y19" s="1"/>
      <c r="Z19" s="1"/>
    </row>
    <row r="20" spans="1:26" ht="14.4">
      <c r="A20" s="1"/>
      <c r="B20" s="1"/>
      <c r="C20" s="1"/>
      <c r="D20" s="1"/>
      <c r="E20" s="1"/>
      <c r="F20" s="1"/>
      <c r="G20" s="1"/>
      <c r="H20" s="1"/>
      <c r="I20" s="1"/>
      <c r="J20" s="1"/>
      <c r="K20" s="9"/>
      <c r="L20" s="1"/>
      <c r="M20" s="1"/>
      <c r="N20" s="1"/>
      <c r="O20" s="1"/>
      <c r="P20" s="1"/>
      <c r="Q20" s="1"/>
      <c r="R20" s="1"/>
      <c r="S20" s="1"/>
      <c r="T20" s="1"/>
      <c r="U20" s="10"/>
      <c r="V20" s="1"/>
      <c r="W20" s="1"/>
      <c r="X20" s="1"/>
      <c r="Y20" s="1"/>
      <c r="Z20" s="1"/>
    </row>
    <row r="21" spans="1:26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9"/>
      <c r="L21" s="1"/>
      <c r="M21" s="1"/>
      <c r="N21" s="1"/>
      <c r="O21" s="1"/>
      <c r="P21" s="1"/>
      <c r="Q21" s="1"/>
      <c r="R21" s="1"/>
      <c r="S21" s="1"/>
      <c r="T21" s="1"/>
      <c r="U21" s="10"/>
      <c r="V21" s="1"/>
      <c r="W21" s="1"/>
      <c r="X21" s="1"/>
      <c r="Y21" s="1"/>
      <c r="Z21" s="1"/>
    </row>
    <row r="22" spans="1:26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9"/>
      <c r="L22" s="1"/>
      <c r="M22" s="1"/>
      <c r="N22" s="1"/>
      <c r="O22" s="1"/>
      <c r="P22" s="1"/>
      <c r="Q22" s="1"/>
      <c r="R22" s="1"/>
      <c r="S22" s="1"/>
      <c r="T22" s="1"/>
      <c r="U22" s="10"/>
      <c r="V22" s="1"/>
      <c r="W22" s="1"/>
      <c r="X22" s="1"/>
      <c r="Y22" s="1"/>
      <c r="Z22" s="1"/>
    </row>
    <row r="23" spans="1:26" ht="1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9"/>
      <c r="L23" s="1"/>
      <c r="M23" s="1"/>
      <c r="N23" s="1"/>
      <c r="O23" s="1"/>
      <c r="P23" s="1"/>
      <c r="Q23" s="1"/>
      <c r="R23" s="1"/>
      <c r="S23" s="1"/>
      <c r="T23" s="1"/>
      <c r="U23" s="10"/>
      <c r="V23" s="1"/>
      <c r="W23" s="1"/>
      <c r="X23" s="1"/>
      <c r="Y23" s="1"/>
      <c r="Z23" s="1"/>
    </row>
    <row r="24" spans="1:26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9"/>
      <c r="L24" s="1"/>
      <c r="M24" s="1"/>
      <c r="N24" s="1"/>
      <c r="O24" s="1"/>
      <c r="P24" s="1"/>
      <c r="Q24" s="1"/>
      <c r="R24" s="1"/>
      <c r="S24" s="1"/>
      <c r="T24" s="1"/>
      <c r="U24" s="10"/>
      <c r="V24" s="1"/>
      <c r="W24" s="1"/>
      <c r="X24" s="1"/>
      <c r="Y24" s="1"/>
      <c r="Z24" s="1"/>
    </row>
    <row r="25" spans="1:26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9"/>
      <c r="L25" s="1"/>
      <c r="M25" s="1"/>
      <c r="N25" s="1"/>
      <c r="O25" s="1"/>
      <c r="P25" s="1"/>
      <c r="Q25" s="1"/>
      <c r="R25" s="1"/>
      <c r="S25" s="1"/>
      <c r="T25" s="1"/>
      <c r="U25" s="10"/>
      <c r="V25" s="1"/>
      <c r="W25" s="1"/>
      <c r="X25" s="1"/>
      <c r="Y25" s="1"/>
      <c r="Z25" s="1"/>
    </row>
    <row r="26" spans="1: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9"/>
      <c r="L26" s="1"/>
      <c r="M26" s="1"/>
      <c r="N26" s="1"/>
      <c r="O26" s="1"/>
      <c r="P26" s="1"/>
      <c r="Q26" s="1"/>
      <c r="R26" s="1"/>
      <c r="S26" s="1"/>
      <c r="T26" s="1"/>
      <c r="U26" s="10"/>
      <c r="V26" s="1"/>
      <c r="W26" s="1"/>
      <c r="X26" s="1"/>
      <c r="Y26" s="1"/>
      <c r="Z26" s="1"/>
    </row>
    <row r="27" spans="1:26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1"/>
      <c r="L27" s="12"/>
      <c r="M27" s="12"/>
      <c r="N27" s="12"/>
      <c r="O27" s="12"/>
      <c r="P27" s="12"/>
      <c r="Q27" s="12"/>
      <c r="R27" s="12"/>
      <c r="S27" s="12"/>
      <c r="T27" s="12"/>
      <c r="U27" s="13"/>
      <c r="V27" s="1"/>
      <c r="W27" s="1"/>
      <c r="X27" s="1"/>
      <c r="Y27" s="1"/>
      <c r="Z27" s="1"/>
    </row>
    <row r="28" spans="1:26" ht="15.75" customHeight="1">
      <c r="A28" s="1"/>
      <c r="B28" s="1"/>
      <c r="C28" s="1"/>
      <c r="D28" s="1"/>
      <c r="E28" s="1"/>
      <c r="F28" s="1"/>
      <c r="G28" s="1"/>
      <c r="H28" s="1"/>
      <c r="I28" s="1"/>
      <c r="V28" s="1"/>
      <c r="W28" s="1"/>
      <c r="X28" s="1"/>
      <c r="Y28" s="1"/>
      <c r="Z28" s="1"/>
    </row>
    <row r="29" spans="1:26" ht="15.75" customHeight="1">
      <c r="A29" s="1"/>
      <c r="B29" s="1"/>
      <c r="C29" s="1"/>
      <c r="D29" s="1"/>
      <c r="E29" s="1"/>
      <c r="F29" s="1"/>
      <c r="G29" s="1"/>
      <c r="H29" s="1"/>
      <c r="I29" s="1"/>
      <c r="V29" s="1"/>
      <c r="W29" s="1"/>
      <c r="X29" s="1"/>
      <c r="Y29" s="1"/>
      <c r="Z29" s="1"/>
    </row>
    <row r="30" spans="1:26" ht="15.75" customHeight="1">
      <c r="A30" s="1"/>
      <c r="B30" s="1"/>
      <c r="C30" s="1"/>
      <c r="D30" s="1"/>
      <c r="E30" s="1"/>
      <c r="F30" s="1"/>
      <c r="G30" s="1"/>
      <c r="H30" s="1"/>
      <c r="I30" s="1"/>
      <c r="V30" s="1"/>
      <c r="W30" s="1"/>
      <c r="X30" s="1"/>
      <c r="Y30" s="1"/>
      <c r="Z30" s="1"/>
    </row>
    <row r="31" spans="1:26" ht="15.75" customHeight="1">
      <c r="A31" s="1"/>
      <c r="B31" s="1"/>
      <c r="C31" s="1"/>
      <c r="D31" s="1"/>
      <c r="E31" s="1"/>
      <c r="F31" s="1"/>
      <c r="G31" s="1"/>
      <c r="H31" s="1"/>
      <c r="I31" s="1"/>
      <c r="V31" s="1"/>
      <c r="W31" s="1"/>
      <c r="X31" s="1"/>
      <c r="Y31" s="1"/>
      <c r="Z31" s="1"/>
    </row>
    <row r="32" spans="1:26" ht="15.75" customHeight="1">
      <c r="A32" s="1"/>
      <c r="B32" s="1"/>
      <c r="C32" s="1"/>
      <c r="D32" s="1"/>
      <c r="E32" s="1"/>
      <c r="F32" s="1"/>
      <c r="G32" s="1"/>
      <c r="H32" s="1"/>
      <c r="I32" s="1"/>
      <c r="V32" s="1"/>
      <c r="W32" s="1"/>
      <c r="X32" s="1"/>
      <c r="Y32" s="1"/>
      <c r="Z32" s="1"/>
    </row>
    <row r="33" spans="1:26" ht="15.75" customHeight="1">
      <c r="A33" s="1"/>
      <c r="B33" s="1"/>
      <c r="C33" s="1"/>
      <c r="D33" s="1"/>
      <c r="E33" s="1"/>
      <c r="F33" s="1"/>
      <c r="G33" s="1"/>
      <c r="H33" s="1"/>
      <c r="I33" s="1"/>
      <c r="V33" s="1"/>
      <c r="W33" s="1"/>
      <c r="X33" s="1"/>
      <c r="Y33" s="1"/>
      <c r="Z33" s="1"/>
    </row>
    <row r="34" spans="1:26" ht="15.75" customHeight="1">
      <c r="A34" s="1"/>
      <c r="B34" s="1"/>
      <c r="C34" s="1"/>
      <c r="D34" s="1"/>
      <c r="E34" s="1"/>
      <c r="F34" s="1"/>
      <c r="G34" s="1"/>
      <c r="H34" s="1"/>
      <c r="I34" s="1"/>
      <c r="V34" s="1"/>
      <c r="W34" s="1"/>
      <c r="X34" s="1"/>
      <c r="Y34" s="1"/>
      <c r="Z34" s="1"/>
    </row>
    <row r="35" spans="1:26" ht="15.75" customHeight="1">
      <c r="A35" s="1"/>
      <c r="B35" s="1"/>
      <c r="C35" s="1"/>
      <c r="D35" s="1"/>
      <c r="E35" s="1"/>
      <c r="F35" s="1"/>
      <c r="G35" s="1"/>
      <c r="H35" s="1"/>
      <c r="I35" s="1"/>
      <c r="V35" s="1"/>
      <c r="W35" s="1"/>
      <c r="X35" s="1"/>
      <c r="Y35" s="1"/>
      <c r="Z35" s="1"/>
    </row>
    <row r="36" spans="1:2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H6:O7"/>
  </mergeCells>
  <pageMargins left="0.7" right="0.7" top="0.75" bottom="0.75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BE999"/>
  <sheetViews>
    <sheetView showGridLines="0" workbookViewId="0">
      <pane xSplit="4" ySplit="1" topLeftCell="I2" activePane="bottomRight" state="frozen"/>
      <selection pane="topRight" activeCell="E1" sqref="E1"/>
      <selection pane="bottomLeft" activeCell="A3" sqref="A3"/>
      <selection pane="bottomRight" activeCell="AS2" sqref="AS2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9.88671875" customWidth="1"/>
    <col min="5" max="5" width="16.44140625" customWidth="1"/>
    <col min="6" max="6" width="7.109375" customWidth="1"/>
    <col min="7" max="7" width="10.44140625" customWidth="1"/>
    <col min="8" max="8" width="13" customWidth="1"/>
    <col min="9" max="9" width="14.33203125" customWidth="1"/>
    <col min="10" max="10" width="13.88671875" customWidth="1"/>
    <col min="11" max="11" width="14.44140625" customWidth="1"/>
    <col min="12" max="12" width="13.88671875" customWidth="1"/>
    <col min="13" max="13" width="13.44140625" customWidth="1"/>
    <col min="14" max="14" width="13.88671875" customWidth="1"/>
    <col min="15" max="16" width="15.44140625" customWidth="1"/>
    <col min="17" max="17" width="15" customWidth="1"/>
    <col min="18" max="18" width="17" customWidth="1"/>
    <col min="19" max="19" width="13.88671875" customWidth="1"/>
    <col min="20" max="20" width="12.88671875" customWidth="1"/>
    <col min="21" max="21" width="14.33203125" customWidth="1"/>
    <col min="22" max="22" width="12.44140625" customWidth="1"/>
    <col min="23" max="23" width="13.88671875" customWidth="1"/>
    <col min="24" max="24" width="13.33203125" customWidth="1"/>
    <col min="25" max="25" width="12.44140625" customWidth="1"/>
    <col min="26" max="26" width="11.44140625" customWidth="1"/>
    <col min="27" max="27" width="11.109375" customWidth="1"/>
    <col min="28" max="29" width="11" customWidth="1"/>
    <col min="30" max="30" width="11.44140625" customWidth="1"/>
    <col min="31" max="32" width="11" customWidth="1"/>
    <col min="33" max="33" width="10.109375" customWidth="1"/>
    <col min="34" max="34" width="10.44140625" customWidth="1"/>
    <col min="35" max="35" width="9" customWidth="1"/>
    <col min="36" max="36" width="10.88671875" customWidth="1"/>
    <col min="37" max="37" width="11.109375" customWidth="1"/>
    <col min="38" max="38" width="14.109375" customWidth="1"/>
    <col min="39" max="39" width="14" customWidth="1"/>
    <col min="40" max="41" width="11.44140625" customWidth="1"/>
    <col min="42" max="42" width="16.109375" customWidth="1"/>
    <col min="43" max="48" width="9.109375" customWidth="1"/>
    <col min="49" max="49" width="9.109375" style="338" customWidth="1"/>
    <col min="50" max="52" width="9.109375" customWidth="1"/>
  </cols>
  <sheetData>
    <row r="1" spans="1:57" ht="14.4">
      <c r="A1" s="339"/>
      <c r="B1" s="339"/>
      <c r="C1" s="339"/>
      <c r="D1" s="357" t="s">
        <v>67</v>
      </c>
      <c r="E1" s="23" t="s">
        <v>68</v>
      </c>
      <c r="F1" s="23" t="s">
        <v>69</v>
      </c>
      <c r="G1" s="23" t="s">
        <v>70</v>
      </c>
      <c r="H1" s="23" t="s">
        <v>3</v>
      </c>
      <c r="I1" s="23" t="s">
        <v>71</v>
      </c>
      <c r="J1" s="23" t="s">
        <v>72</v>
      </c>
      <c r="K1" s="24" t="s">
        <v>73</v>
      </c>
      <c r="L1" s="24" t="s">
        <v>74</v>
      </c>
      <c r="M1" s="24" t="s">
        <v>75</v>
      </c>
      <c r="N1" s="23" t="s">
        <v>76</v>
      </c>
      <c r="O1" s="23" t="s">
        <v>77</v>
      </c>
      <c r="P1" s="23" t="s">
        <v>78</v>
      </c>
      <c r="Q1" s="23" t="s">
        <v>79</v>
      </c>
      <c r="R1" s="23" t="s">
        <v>80</v>
      </c>
      <c r="S1" s="23" t="s">
        <v>81</v>
      </c>
      <c r="T1" s="23" t="s">
        <v>82</v>
      </c>
      <c r="U1" s="23" t="s">
        <v>83</v>
      </c>
      <c r="V1" s="23" t="s">
        <v>84</v>
      </c>
      <c r="W1" s="23" t="s">
        <v>85</v>
      </c>
      <c r="X1" s="23" t="s">
        <v>86</v>
      </c>
      <c r="Y1" s="23" t="s">
        <v>87</v>
      </c>
      <c r="Z1" s="23" t="s">
        <v>88</v>
      </c>
      <c r="AA1" s="23" t="s">
        <v>22</v>
      </c>
      <c r="AB1" s="23" t="s">
        <v>23</v>
      </c>
      <c r="AC1" s="23" t="s">
        <v>24</v>
      </c>
      <c r="AD1" s="23" t="s">
        <v>25</v>
      </c>
      <c r="AE1" s="23" t="s">
        <v>26</v>
      </c>
      <c r="AF1" s="23" t="s">
        <v>27</v>
      </c>
      <c r="AG1" s="23" t="s">
        <v>28</v>
      </c>
      <c r="AH1" s="23" t="s">
        <v>29</v>
      </c>
      <c r="AI1" s="23" t="s">
        <v>30</v>
      </c>
      <c r="AJ1" s="23" t="s">
        <v>31</v>
      </c>
      <c r="AK1" s="23" t="s">
        <v>32</v>
      </c>
      <c r="AL1" s="23" t="s">
        <v>89</v>
      </c>
      <c r="AM1" s="23" t="s">
        <v>90</v>
      </c>
      <c r="AN1" s="23" t="s">
        <v>91</v>
      </c>
      <c r="AO1" s="23" t="s">
        <v>92</v>
      </c>
      <c r="AP1" s="23" t="s">
        <v>93</v>
      </c>
      <c r="AQ1" s="23" t="s">
        <v>94</v>
      </c>
      <c r="AR1" s="23" t="s">
        <v>95</v>
      </c>
      <c r="AS1" s="23" t="s">
        <v>96</v>
      </c>
      <c r="AT1" s="23" t="s">
        <v>97</v>
      </c>
      <c r="AU1" s="23" t="s">
        <v>98</v>
      </c>
      <c r="AV1" s="23" t="s">
        <v>99</v>
      </c>
      <c r="AW1" s="23" t="s">
        <v>100</v>
      </c>
      <c r="AX1" s="23" t="s">
        <v>101</v>
      </c>
      <c r="AY1" s="23" t="s">
        <v>102</v>
      </c>
      <c r="AZ1" s="23" t="s">
        <v>103</v>
      </c>
      <c r="BB1" s="355" t="s">
        <v>372</v>
      </c>
      <c r="BC1" s="355" t="s">
        <v>374</v>
      </c>
    </row>
    <row r="2" spans="1:57" ht="14.4">
      <c r="A2" s="15"/>
      <c r="B2" s="15"/>
      <c r="C2" s="15"/>
      <c r="D2" s="340" t="s">
        <v>104</v>
      </c>
      <c r="E2" s="340" t="s">
        <v>105</v>
      </c>
      <c r="F2" s="341">
        <v>0</v>
      </c>
      <c r="G2" s="341">
        <v>85</v>
      </c>
      <c r="H2" s="341">
        <v>2.16</v>
      </c>
      <c r="I2" s="341">
        <v>9.1</v>
      </c>
      <c r="J2" s="341">
        <v>0.32</v>
      </c>
      <c r="K2" s="341">
        <v>0</v>
      </c>
      <c r="L2" s="341">
        <v>0</v>
      </c>
      <c r="M2" s="341">
        <v>0</v>
      </c>
      <c r="N2" s="341">
        <v>2.2000000000000002</v>
      </c>
      <c r="O2" s="341">
        <v>58</v>
      </c>
      <c r="P2" s="341">
        <v>36.4</v>
      </c>
      <c r="Q2" s="341">
        <v>0</v>
      </c>
      <c r="R2" s="341">
        <v>8.5</v>
      </c>
      <c r="S2" s="341">
        <v>0.37</v>
      </c>
      <c r="T2" s="341">
        <v>0.22</v>
      </c>
      <c r="U2" s="341">
        <v>0.17</v>
      </c>
      <c r="V2" s="341">
        <v>2.0099999999999998</v>
      </c>
      <c r="W2" s="341">
        <v>0.33</v>
      </c>
      <c r="X2" s="341">
        <v>1.08</v>
      </c>
      <c r="Y2" s="341">
        <v>0.14000000000000001</v>
      </c>
      <c r="Z2" s="341">
        <v>0</v>
      </c>
      <c r="AA2" s="341">
        <v>8</v>
      </c>
      <c r="AB2" s="341">
        <v>0</v>
      </c>
      <c r="AC2" s="341">
        <v>250</v>
      </c>
      <c r="AD2" s="341">
        <v>59</v>
      </c>
      <c r="AE2" s="341">
        <v>0</v>
      </c>
      <c r="AF2" s="341">
        <v>23</v>
      </c>
      <c r="AG2" s="341">
        <v>0</v>
      </c>
      <c r="AH2" s="341">
        <v>0</v>
      </c>
      <c r="AI2" s="341">
        <v>0</v>
      </c>
      <c r="AJ2" s="341">
        <v>0</v>
      </c>
      <c r="AK2" s="341">
        <v>0</v>
      </c>
      <c r="AL2" s="341">
        <v>0</v>
      </c>
      <c r="AM2" s="341">
        <v>0</v>
      </c>
      <c r="AN2" s="341">
        <v>0</v>
      </c>
      <c r="AO2" s="341">
        <v>0</v>
      </c>
      <c r="AP2" s="341">
        <v>0</v>
      </c>
      <c r="AQ2" s="341">
        <v>0</v>
      </c>
      <c r="AR2" s="341">
        <v>0</v>
      </c>
      <c r="AS2" s="341">
        <v>0</v>
      </c>
      <c r="AT2" s="341">
        <v>0</v>
      </c>
      <c r="AU2" s="341">
        <v>0</v>
      </c>
      <c r="AV2" s="341">
        <v>0</v>
      </c>
      <c r="AW2" s="341">
        <v>0</v>
      </c>
      <c r="AX2" s="341">
        <v>0</v>
      </c>
      <c r="AY2" s="341">
        <v>0</v>
      </c>
      <c r="AZ2" s="341">
        <v>0</v>
      </c>
      <c r="BB2" s="340" t="s">
        <v>373</v>
      </c>
      <c r="BC2" s="340" t="s">
        <v>410</v>
      </c>
    </row>
    <row r="3" spans="1:57" ht="14.4">
      <c r="A3" s="15"/>
      <c r="B3" s="15"/>
      <c r="C3" s="15"/>
      <c r="D3" s="340" t="s">
        <v>106</v>
      </c>
      <c r="E3" s="340" t="s">
        <v>107</v>
      </c>
      <c r="F3" s="341">
        <v>0</v>
      </c>
      <c r="G3" s="341">
        <v>90</v>
      </c>
      <c r="H3" s="341">
        <v>3.27</v>
      </c>
      <c r="I3" s="341">
        <v>13.2</v>
      </c>
      <c r="J3" s="341">
        <v>0.55000000000000004</v>
      </c>
      <c r="K3" s="341">
        <v>0</v>
      </c>
      <c r="L3" s="341">
        <v>0</v>
      </c>
      <c r="M3" s="341">
        <v>0</v>
      </c>
      <c r="N3" s="341">
        <v>5.0999999999999996</v>
      </c>
      <c r="O3" s="341">
        <v>30</v>
      </c>
      <c r="P3" s="341">
        <v>14.6</v>
      </c>
      <c r="Q3" s="341">
        <v>0</v>
      </c>
      <c r="R3" s="341">
        <v>3.3</v>
      </c>
      <c r="S3" s="341">
        <v>0.11</v>
      </c>
      <c r="T3" s="341">
        <v>0.4</v>
      </c>
      <c r="U3" s="341">
        <v>0.16</v>
      </c>
      <c r="V3" s="341">
        <v>0.52</v>
      </c>
      <c r="W3" s="341">
        <v>0.03</v>
      </c>
      <c r="X3" s="341">
        <v>0</v>
      </c>
      <c r="Y3" s="341">
        <v>0.19</v>
      </c>
      <c r="Z3" s="341">
        <v>0.06</v>
      </c>
      <c r="AA3" s="341">
        <v>8</v>
      </c>
      <c r="AB3" s="341">
        <v>0</v>
      </c>
      <c r="AC3" s="341">
        <v>106</v>
      </c>
      <c r="AD3" s="341">
        <v>43</v>
      </c>
      <c r="AE3" s="341">
        <v>0.48</v>
      </c>
      <c r="AF3" s="341">
        <v>41</v>
      </c>
      <c r="AG3" s="341">
        <v>0</v>
      </c>
      <c r="AH3" s="341">
        <v>0</v>
      </c>
      <c r="AI3" s="341">
        <v>0</v>
      </c>
      <c r="AJ3" s="341">
        <v>0</v>
      </c>
      <c r="AK3" s="341">
        <v>0</v>
      </c>
      <c r="AL3" s="341">
        <v>0</v>
      </c>
      <c r="AM3" s="341">
        <v>0</v>
      </c>
      <c r="AN3" s="341">
        <v>0</v>
      </c>
      <c r="AO3" s="341">
        <v>0</v>
      </c>
      <c r="AP3" s="341">
        <v>0</v>
      </c>
      <c r="AQ3" s="341">
        <v>0</v>
      </c>
      <c r="AR3" s="341">
        <v>0</v>
      </c>
      <c r="AS3" s="341">
        <v>0</v>
      </c>
      <c r="AT3" s="341">
        <v>0</v>
      </c>
      <c r="AU3" s="341">
        <v>0</v>
      </c>
      <c r="AV3" s="341">
        <v>0</v>
      </c>
      <c r="AW3" s="341">
        <v>0</v>
      </c>
      <c r="AX3" s="341">
        <v>0</v>
      </c>
      <c r="AY3" s="341">
        <v>0</v>
      </c>
      <c r="AZ3" s="341">
        <v>0</v>
      </c>
      <c r="BB3" s="340" t="s">
        <v>376</v>
      </c>
      <c r="BC3" s="340" t="s">
        <v>410</v>
      </c>
    </row>
    <row r="4" spans="1:57" ht="14.4">
      <c r="A4" s="15"/>
      <c r="B4" s="15"/>
      <c r="C4" s="15"/>
      <c r="D4" s="340" t="s">
        <v>108</v>
      </c>
      <c r="E4" s="340" t="s">
        <v>107</v>
      </c>
      <c r="F4" s="341">
        <v>0</v>
      </c>
      <c r="G4" s="341">
        <v>91</v>
      </c>
      <c r="H4" s="341">
        <v>3.23</v>
      </c>
      <c r="I4" s="341">
        <v>13.6</v>
      </c>
      <c r="J4" s="341">
        <v>0.38</v>
      </c>
      <c r="K4" s="341">
        <v>0.09</v>
      </c>
      <c r="L4" s="341">
        <v>0.12</v>
      </c>
      <c r="M4" s="341">
        <v>0.05</v>
      </c>
      <c r="N4" s="341">
        <v>4.9000000000000004</v>
      </c>
      <c r="O4" s="341">
        <v>42</v>
      </c>
      <c r="P4" s="341">
        <v>13.5</v>
      </c>
      <c r="Q4" s="341">
        <v>0</v>
      </c>
      <c r="R4" s="341">
        <v>5</v>
      </c>
      <c r="S4" s="341">
        <v>7.0000000000000007E-2</v>
      </c>
      <c r="T4" s="341">
        <v>0.3</v>
      </c>
      <c r="U4" s="341">
        <v>0.16</v>
      </c>
      <c r="V4" s="341">
        <v>0.45</v>
      </c>
      <c r="W4" s="341">
        <v>0.06</v>
      </c>
      <c r="X4" s="341">
        <v>0.1</v>
      </c>
      <c r="Y4" s="341">
        <v>0.23</v>
      </c>
      <c r="Z4" s="341">
        <v>0.06</v>
      </c>
      <c r="AA4" s="341">
        <v>6.7</v>
      </c>
      <c r="AB4" s="341">
        <v>0.13</v>
      </c>
      <c r="AC4" s="341">
        <v>80</v>
      </c>
      <c r="AD4" s="341">
        <v>40</v>
      </c>
      <c r="AE4" s="341">
        <v>0.24</v>
      </c>
      <c r="AF4" s="341">
        <v>39</v>
      </c>
      <c r="AG4" s="341">
        <v>0.2</v>
      </c>
      <c r="AH4" s="341">
        <v>0</v>
      </c>
      <c r="AI4" s="341">
        <v>15</v>
      </c>
      <c r="AJ4" s="341">
        <v>0</v>
      </c>
      <c r="AK4" s="341">
        <v>0</v>
      </c>
      <c r="AL4" s="341">
        <v>0</v>
      </c>
      <c r="AM4" s="341">
        <v>0</v>
      </c>
      <c r="AN4" s="341">
        <v>0</v>
      </c>
      <c r="AO4" s="341">
        <v>0</v>
      </c>
      <c r="AP4" s="341">
        <v>0</v>
      </c>
      <c r="AQ4" s="341">
        <v>0</v>
      </c>
      <c r="AR4" s="341">
        <v>0</v>
      </c>
      <c r="AS4" s="341">
        <v>0</v>
      </c>
      <c r="AT4" s="341">
        <v>0</v>
      </c>
      <c r="AU4" s="341">
        <v>0</v>
      </c>
      <c r="AV4" s="341">
        <v>0</v>
      </c>
      <c r="AW4" s="341">
        <v>0</v>
      </c>
      <c r="AX4" s="341">
        <v>0</v>
      </c>
      <c r="AY4" s="341">
        <v>0</v>
      </c>
      <c r="AZ4" s="341">
        <v>0</v>
      </c>
      <c r="BB4" s="340" t="s">
        <v>377</v>
      </c>
      <c r="BC4" s="340" t="s">
        <v>410</v>
      </c>
    </row>
    <row r="5" spans="1:57" ht="14.4">
      <c r="A5" s="15"/>
      <c r="B5" s="15"/>
      <c r="C5" s="15"/>
      <c r="D5" s="340" t="s">
        <v>108</v>
      </c>
      <c r="E5" s="340" t="s">
        <v>107</v>
      </c>
      <c r="F5" s="341">
        <v>0</v>
      </c>
      <c r="G5" s="341">
        <v>89</v>
      </c>
      <c r="H5" s="341">
        <v>3.33</v>
      </c>
      <c r="I5" s="341">
        <v>13.6</v>
      </c>
      <c r="J5" s="341">
        <v>0.38</v>
      </c>
      <c r="K5" s="341">
        <v>0.09</v>
      </c>
      <c r="L5" s="341">
        <v>0.12</v>
      </c>
      <c r="M5" s="341">
        <v>0.05</v>
      </c>
      <c r="N5" s="341">
        <v>5.2</v>
      </c>
      <c r="O5" s="341">
        <v>29.3</v>
      </c>
      <c r="P5" s="341">
        <v>13.5</v>
      </c>
      <c r="Q5" s="341">
        <v>0</v>
      </c>
      <c r="R5" s="341">
        <v>3.3</v>
      </c>
      <c r="S5" s="341">
        <v>0.01</v>
      </c>
      <c r="T5" s="341">
        <v>0.41</v>
      </c>
      <c r="U5" s="341">
        <v>0.16</v>
      </c>
      <c r="V5" s="341">
        <v>0.51</v>
      </c>
      <c r="W5" s="341">
        <v>0.02</v>
      </c>
      <c r="X5" s="341">
        <v>0.1</v>
      </c>
      <c r="Y5" s="341">
        <v>0.21</v>
      </c>
      <c r="Z5" s="341">
        <v>0.06</v>
      </c>
      <c r="AA5" s="341">
        <v>8.6</v>
      </c>
      <c r="AB5" s="341">
        <v>0.13</v>
      </c>
      <c r="AC5" s="341">
        <v>94</v>
      </c>
      <c r="AD5" s="341">
        <v>40</v>
      </c>
      <c r="AE5" s="341">
        <v>0.24</v>
      </c>
      <c r="AF5" s="341">
        <v>41</v>
      </c>
      <c r="AG5" s="341">
        <v>0.2</v>
      </c>
      <c r="AH5" s="341">
        <v>0</v>
      </c>
      <c r="AI5" s="341">
        <v>15</v>
      </c>
      <c r="AJ5" s="341">
        <v>0</v>
      </c>
      <c r="AK5" s="341">
        <v>0</v>
      </c>
      <c r="AL5" s="341">
        <v>0</v>
      </c>
      <c r="AM5" s="341">
        <v>0</v>
      </c>
      <c r="AN5" s="341">
        <v>0</v>
      </c>
      <c r="AO5" s="341">
        <v>0</v>
      </c>
      <c r="AP5" s="341">
        <v>0</v>
      </c>
      <c r="AQ5" s="341">
        <v>0</v>
      </c>
      <c r="AR5" s="341">
        <v>0</v>
      </c>
      <c r="AS5" s="341">
        <v>0</v>
      </c>
      <c r="AT5" s="341">
        <v>0</v>
      </c>
      <c r="AU5" s="341">
        <v>0</v>
      </c>
      <c r="AV5" s="341">
        <v>0</v>
      </c>
      <c r="AW5" s="341">
        <v>0</v>
      </c>
      <c r="AX5" s="341">
        <v>0</v>
      </c>
      <c r="AY5" s="341">
        <v>0</v>
      </c>
      <c r="AZ5" s="341">
        <v>0</v>
      </c>
      <c r="BB5" s="340" t="s">
        <v>378</v>
      </c>
      <c r="BC5" s="340" t="s">
        <v>410</v>
      </c>
    </row>
    <row r="6" spans="1:57" ht="14.4">
      <c r="A6" s="15"/>
      <c r="B6" s="15"/>
      <c r="C6" s="15"/>
      <c r="D6" s="340" t="s">
        <v>109</v>
      </c>
      <c r="E6" s="340" t="s">
        <v>105</v>
      </c>
      <c r="F6" s="341">
        <v>0</v>
      </c>
      <c r="G6" s="341">
        <v>34.6</v>
      </c>
      <c r="H6" s="341">
        <v>2.04</v>
      </c>
      <c r="I6" s="341">
        <v>12.9</v>
      </c>
      <c r="J6" s="341">
        <v>0.46</v>
      </c>
      <c r="K6" s="341">
        <v>0</v>
      </c>
      <c r="L6" s="341">
        <v>0</v>
      </c>
      <c r="M6" s="341">
        <v>0</v>
      </c>
      <c r="N6" s="341">
        <v>3.4</v>
      </c>
      <c r="O6" s="341">
        <v>60.6</v>
      </c>
      <c r="P6" s="341">
        <v>38.9</v>
      </c>
      <c r="Q6" s="341">
        <v>0</v>
      </c>
      <c r="R6" s="341">
        <v>9.8000000000000007</v>
      </c>
      <c r="S6" s="341">
        <v>0.52</v>
      </c>
      <c r="T6" s="341">
        <v>0.31</v>
      </c>
      <c r="U6" s="341">
        <v>0.2</v>
      </c>
      <c r="V6" s="341">
        <v>2.89</v>
      </c>
      <c r="W6" s="341">
        <v>0.24</v>
      </c>
      <c r="X6" s="341">
        <v>1.34</v>
      </c>
      <c r="Y6" s="341">
        <v>0.19</v>
      </c>
      <c r="Z6" s="341">
        <v>0</v>
      </c>
      <c r="AA6" s="341">
        <v>9</v>
      </c>
      <c r="AB6" s="341">
        <v>0</v>
      </c>
      <c r="AC6" s="341">
        <v>500</v>
      </c>
      <c r="AD6" s="341">
        <v>66</v>
      </c>
      <c r="AE6" s="341">
        <v>0</v>
      </c>
      <c r="AF6" s="341">
        <v>29</v>
      </c>
      <c r="AG6" s="341">
        <v>0</v>
      </c>
      <c r="AH6" s="341">
        <v>0</v>
      </c>
      <c r="AI6" s="341">
        <v>0</v>
      </c>
      <c r="AJ6" s="341">
        <v>0</v>
      </c>
      <c r="AK6" s="341">
        <v>0</v>
      </c>
      <c r="AL6" s="341">
        <v>0</v>
      </c>
      <c r="AM6" s="341">
        <v>0</v>
      </c>
      <c r="AN6" s="341">
        <v>0</v>
      </c>
      <c r="AO6" s="341">
        <v>0</v>
      </c>
      <c r="AP6" s="341">
        <v>0</v>
      </c>
      <c r="AQ6" s="341">
        <v>0</v>
      </c>
      <c r="AR6" s="341">
        <v>0</v>
      </c>
      <c r="AS6" s="341">
        <v>0</v>
      </c>
      <c r="AT6" s="341">
        <v>0</v>
      </c>
      <c r="AU6" s="341">
        <v>0</v>
      </c>
      <c r="AV6" s="341">
        <v>0</v>
      </c>
      <c r="AW6" s="341">
        <v>0</v>
      </c>
      <c r="AX6" s="341">
        <v>0</v>
      </c>
      <c r="AY6" s="341">
        <v>0</v>
      </c>
      <c r="AZ6" s="341">
        <v>0</v>
      </c>
      <c r="BB6" s="340" t="s">
        <v>379</v>
      </c>
      <c r="BC6" s="340" t="s">
        <v>410</v>
      </c>
    </row>
    <row r="7" spans="1:57" ht="14.4">
      <c r="A7" s="15"/>
      <c r="B7" s="15"/>
      <c r="C7" s="15"/>
      <c r="D7" s="340" t="s">
        <v>110</v>
      </c>
      <c r="E7" s="340" t="s">
        <v>111</v>
      </c>
      <c r="F7" s="341">
        <v>0</v>
      </c>
      <c r="G7" s="341">
        <v>90</v>
      </c>
      <c r="H7" s="341">
        <v>0</v>
      </c>
      <c r="I7" s="341">
        <v>0</v>
      </c>
      <c r="J7" s="341">
        <v>0</v>
      </c>
      <c r="K7" s="341"/>
      <c r="L7" s="341"/>
      <c r="M7" s="341"/>
      <c r="N7" s="341">
        <v>0</v>
      </c>
      <c r="O7" s="341">
        <v>0</v>
      </c>
      <c r="P7" s="341">
        <v>0</v>
      </c>
      <c r="Q7" s="341">
        <v>0</v>
      </c>
      <c r="R7" s="341">
        <v>0</v>
      </c>
      <c r="S7" s="341">
        <v>0</v>
      </c>
      <c r="T7" s="341">
        <v>0</v>
      </c>
      <c r="U7" s="341">
        <v>0</v>
      </c>
      <c r="V7" s="341">
        <v>0</v>
      </c>
      <c r="W7" s="341">
        <v>0</v>
      </c>
      <c r="X7" s="341">
        <v>0</v>
      </c>
      <c r="Y7" s="341">
        <v>0</v>
      </c>
      <c r="Z7" s="341">
        <v>0</v>
      </c>
      <c r="AA7" s="341">
        <v>0</v>
      </c>
      <c r="AB7" s="341">
        <v>0</v>
      </c>
      <c r="AC7" s="341">
        <v>0</v>
      </c>
      <c r="AD7" s="341">
        <v>0</v>
      </c>
      <c r="AE7" s="341">
        <v>0</v>
      </c>
      <c r="AF7" s="341">
        <v>0</v>
      </c>
      <c r="AG7" s="341">
        <v>0</v>
      </c>
      <c r="AH7" s="341">
        <v>0</v>
      </c>
      <c r="AI7" s="341">
        <v>0</v>
      </c>
      <c r="AJ7" s="341">
        <v>0</v>
      </c>
      <c r="AK7" s="341">
        <v>0</v>
      </c>
      <c r="AL7" s="341">
        <v>0</v>
      </c>
      <c r="AM7" s="341">
        <v>10000</v>
      </c>
      <c r="AN7" s="341">
        <v>0</v>
      </c>
      <c r="AO7" s="341">
        <v>0</v>
      </c>
      <c r="AP7" s="341">
        <v>0</v>
      </c>
      <c r="AQ7" s="341">
        <v>0</v>
      </c>
      <c r="AR7" s="341">
        <v>0</v>
      </c>
      <c r="AS7" s="341">
        <v>0</v>
      </c>
      <c r="AT7" s="341">
        <v>0</v>
      </c>
      <c r="AU7" s="341">
        <v>0</v>
      </c>
      <c r="AV7" s="341">
        <v>0</v>
      </c>
      <c r="AW7" s="341">
        <v>0</v>
      </c>
      <c r="AX7" s="341">
        <v>0</v>
      </c>
      <c r="AY7" s="341">
        <v>0</v>
      </c>
      <c r="AZ7" s="341">
        <v>0</v>
      </c>
      <c r="BB7" s="340" t="s">
        <v>380</v>
      </c>
      <c r="BC7" s="340" t="s">
        <v>410</v>
      </c>
    </row>
    <row r="8" spans="1:57" ht="14.4">
      <c r="A8" s="15"/>
      <c r="B8" s="15"/>
      <c r="C8" s="15"/>
      <c r="D8" s="340" t="s">
        <v>112</v>
      </c>
      <c r="E8" s="340" t="s">
        <v>111</v>
      </c>
      <c r="F8" s="341">
        <v>0</v>
      </c>
      <c r="G8" s="341">
        <v>99</v>
      </c>
      <c r="H8" s="341">
        <v>0</v>
      </c>
      <c r="I8" s="341">
        <v>0</v>
      </c>
      <c r="J8" s="341">
        <v>0</v>
      </c>
      <c r="K8" s="341">
        <v>0</v>
      </c>
      <c r="L8" s="341">
        <v>0</v>
      </c>
      <c r="M8" s="341">
        <v>0</v>
      </c>
      <c r="N8" s="341">
        <v>0</v>
      </c>
      <c r="O8" s="341">
        <v>0</v>
      </c>
      <c r="P8" s="341">
        <v>0</v>
      </c>
      <c r="Q8" s="341">
        <v>0</v>
      </c>
      <c r="R8" s="341">
        <v>99</v>
      </c>
      <c r="S8" s="341">
        <v>0</v>
      </c>
      <c r="T8" s="341">
        <v>0</v>
      </c>
      <c r="U8" s="341">
        <v>0</v>
      </c>
      <c r="V8" s="341">
        <v>0</v>
      </c>
      <c r="W8" s="341">
        <v>0</v>
      </c>
      <c r="X8" s="341">
        <v>0</v>
      </c>
      <c r="Y8" s="341">
        <v>0</v>
      </c>
      <c r="Z8" s="341">
        <v>0</v>
      </c>
      <c r="AA8" s="341">
        <v>0</v>
      </c>
      <c r="AB8" s="341">
        <v>0</v>
      </c>
      <c r="AC8" s="341">
        <v>0</v>
      </c>
      <c r="AD8" s="341">
        <v>0</v>
      </c>
      <c r="AE8" s="341">
        <v>0</v>
      </c>
      <c r="AF8" s="341">
        <v>0</v>
      </c>
      <c r="AG8" s="341">
        <v>0</v>
      </c>
      <c r="AH8" s="341">
        <v>0</v>
      </c>
      <c r="AI8" s="341">
        <v>0</v>
      </c>
      <c r="AJ8" s="341">
        <v>0</v>
      </c>
      <c r="AK8" s="341">
        <v>0</v>
      </c>
      <c r="AL8" s="341">
        <v>0</v>
      </c>
      <c r="AM8" s="341">
        <v>0</v>
      </c>
      <c r="AN8" s="341">
        <v>0</v>
      </c>
      <c r="AO8" s="341">
        <v>0</v>
      </c>
      <c r="AP8" s="341">
        <v>0</v>
      </c>
      <c r="AQ8" s="341">
        <v>0</v>
      </c>
      <c r="AR8" s="341">
        <v>0</v>
      </c>
      <c r="AS8" s="341">
        <v>0</v>
      </c>
      <c r="AT8" s="341">
        <v>0</v>
      </c>
      <c r="AU8" s="341">
        <v>0</v>
      </c>
      <c r="AV8" s="341">
        <v>0</v>
      </c>
      <c r="AW8" s="341">
        <v>0</v>
      </c>
      <c r="AX8" s="341">
        <v>0</v>
      </c>
      <c r="AY8" s="341">
        <v>0</v>
      </c>
      <c r="AZ8" s="341">
        <v>0</v>
      </c>
      <c r="BB8" s="340" t="s">
        <v>381</v>
      </c>
      <c r="BC8" s="340" t="s">
        <v>410</v>
      </c>
    </row>
    <row r="9" spans="1:57" ht="14.4">
      <c r="A9" s="15"/>
      <c r="B9" s="15"/>
      <c r="C9" s="15"/>
      <c r="D9" s="340" t="s">
        <v>113</v>
      </c>
      <c r="E9" s="340" t="s">
        <v>107</v>
      </c>
      <c r="F9" s="341">
        <v>0</v>
      </c>
      <c r="G9" s="341">
        <v>90.5</v>
      </c>
      <c r="H9" s="341">
        <v>2.87</v>
      </c>
      <c r="I9" s="341">
        <v>20.100000000000001</v>
      </c>
      <c r="J9" s="341">
        <v>0.88</v>
      </c>
      <c r="K9" s="341">
        <v>0</v>
      </c>
      <c r="L9" s="341">
        <v>0</v>
      </c>
      <c r="M9" s="341">
        <v>0</v>
      </c>
      <c r="N9" s="341">
        <v>2.2999999999999998</v>
      </c>
      <c r="O9" s="341">
        <v>47</v>
      </c>
      <c r="P9" s="341">
        <v>21.8</v>
      </c>
      <c r="Q9" s="341">
        <v>0</v>
      </c>
      <c r="R9" s="341">
        <v>7</v>
      </c>
      <c r="S9" s="341">
        <v>0.24</v>
      </c>
      <c r="T9" s="341">
        <v>0.51</v>
      </c>
      <c r="U9" s="341">
        <v>0.18</v>
      </c>
      <c r="V9" s="341">
        <v>1.19</v>
      </c>
      <c r="W9" s="341">
        <v>0.04</v>
      </c>
      <c r="X9" s="341">
        <v>0.39</v>
      </c>
      <c r="Y9" s="341">
        <v>0.28999999999999998</v>
      </c>
      <c r="Z9" s="341">
        <v>0</v>
      </c>
      <c r="AA9" s="341">
        <v>9.1</v>
      </c>
      <c r="AB9" s="341">
        <v>0</v>
      </c>
      <c r="AC9" s="341">
        <v>353</v>
      </c>
      <c r="AD9" s="341">
        <v>49</v>
      </c>
      <c r="AE9" s="341">
        <v>0.67</v>
      </c>
      <c r="AF9" s="341">
        <v>65</v>
      </c>
      <c r="AG9" s="341">
        <v>0</v>
      </c>
      <c r="AH9" s="341">
        <v>0</v>
      </c>
      <c r="AI9" s="341">
        <v>0</v>
      </c>
      <c r="AJ9" s="341">
        <v>0</v>
      </c>
      <c r="AK9" s="341">
        <v>0</v>
      </c>
      <c r="AL9" s="341">
        <v>0</v>
      </c>
      <c r="AM9" s="341">
        <v>0</v>
      </c>
      <c r="AN9" s="341">
        <v>0</v>
      </c>
      <c r="AO9" s="341">
        <v>0</v>
      </c>
      <c r="AP9" s="341">
        <v>0</v>
      </c>
      <c r="AQ9" s="341">
        <v>0</v>
      </c>
      <c r="AR9" s="341">
        <v>0</v>
      </c>
      <c r="AS9" s="341">
        <v>0</v>
      </c>
      <c r="AT9" s="341">
        <v>0</v>
      </c>
      <c r="AU9" s="341">
        <v>0</v>
      </c>
      <c r="AV9" s="341">
        <v>0</v>
      </c>
      <c r="AW9" s="341">
        <v>0</v>
      </c>
      <c r="AX9" s="341">
        <v>0</v>
      </c>
      <c r="AY9" s="341">
        <v>0</v>
      </c>
      <c r="AZ9" s="341">
        <v>0</v>
      </c>
      <c r="BB9" s="340" t="s">
        <v>382</v>
      </c>
      <c r="BC9" s="340" t="s">
        <v>410</v>
      </c>
    </row>
    <row r="10" spans="1:57" ht="18">
      <c r="A10" s="15"/>
      <c r="B10" s="19" t="s">
        <v>0</v>
      </c>
      <c r="C10" s="15"/>
      <c r="D10" s="340" t="s">
        <v>114</v>
      </c>
      <c r="E10" s="340" t="s">
        <v>115</v>
      </c>
      <c r="F10" s="341">
        <v>0</v>
      </c>
      <c r="G10" s="341">
        <v>99</v>
      </c>
      <c r="H10" s="341">
        <v>0</v>
      </c>
      <c r="I10" s="341">
        <v>0</v>
      </c>
      <c r="J10" s="341">
        <v>0</v>
      </c>
      <c r="K10" s="341">
        <v>0</v>
      </c>
      <c r="L10" s="341">
        <v>0</v>
      </c>
      <c r="M10" s="341">
        <v>0</v>
      </c>
      <c r="N10" s="341">
        <v>0</v>
      </c>
      <c r="O10" s="341">
        <v>0</v>
      </c>
      <c r="P10" s="341">
        <v>0</v>
      </c>
      <c r="Q10" s="341">
        <v>0</v>
      </c>
      <c r="R10" s="341">
        <v>99</v>
      </c>
      <c r="S10" s="341">
        <v>45</v>
      </c>
      <c r="T10" s="341">
        <v>18</v>
      </c>
      <c r="U10" s="341">
        <v>0</v>
      </c>
      <c r="V10" s="341">
        <v>0</v>
      </c>
      <c r="W10" s="341">
        <v>0</v>
      </c>
      <c r="X10" s="341">
        <v>0</v>
      </c>
      <c r="Y10" s="341">
        <v>0</v>
      </c>
      <c r="Z10" s="341">
        <v>0</v>
      </c>
      <c r="AA10" s="341">
        <v>0</v>
      </c>
      <c r="AB10" s="341">
        <v>0</v>
      </c>
      <c r="AC10" s="341">
        <v>0</v>
      </c>
      <c r="AD10" s="341">
        <v>0</v>
      </c>
      <c r="AE10" s="341">
        <v>0</v>
      </c>
      <c r="AF10" s="341">
        <v>0</v>
      </c>
      <c r="AG10" s="341">
        <v>0</v>
      </c>
      <c r="AH10" s="341">
        <v>0</v>
      </c>
      <c r="AI10" s="341">
        <v>0</v>
      </c>
      <c r="AJ10" s="341">
        <v>0</v>
      </c>
      <c r="AK10" s="341">
        <v>0</v>
      </c>
      <c r="AL10" s="341">
        <v>0</v>
      </c>
      <c r="AM10" s="341">
        <v>0</v>
      </c>
      <c r="AN10" s="341">
        <v>0</v>
      </c>
      <c r="AO10" s="341">
        <v>0</v>
      </c>
      <c r="AP10" s="341">
        <v>0</v>
      </c>
      <c r="AQ10" s="341">
        <v>0</v>
      </c>
      <c r="AR10" s="341">
        <v>0</v>
      </c>
      <c r="AS10" s="341">
        <v>0</v>
      </c>
      <c r="AT10" s="341">
        <v>0</v>
      </c>
      <c r="AU10" s="341">
        <v>0</v>
      </c>
      <c r="AV10" s="341">
        <v>0</v>
      </c>
      <c r="AW10" s="341">
        <v>0</v>
      </c>
      <c r="AX10" s="341">
        <v>0</v>
      </c>
      <c r="AY10" s="341">
        <v>0</v>
      </c>
      <c r="AZ10" s="341">
        <v>0</v>
      </c>
      <c r="BB10" s="340" t="s">
        <v>383</v>
      </c>
      <c r="BC10" s="340" t="s">
        <v>410</v>
      </c>
      <c r="BD10" s="356"/>
    </row>
    <row r="11" spans="1:57" ht="14.4">
      <c r="A11" s="15"/>
      <c r="B11" s="20"/>
      <c r="C11" s="15"/>
      <c r="D11" s="340" t="s">
        <v>116</v>
      </c>
      <c r="E11" s="340" t="s">
        <v>115</v>
      </c>
      <c r="F11" s="341">
        <v>0</v>
      </c>
      <c r="G11" s="341">
        <v>99</v>
      </c>
      <c r="H11" s="341">
        <v>0</v>
      </c>
      <c r="I11" s="341">
        <v>0</v>
      </c>
      <c r="J11" s="341">
        <v>0</v>
      </c>
      <c r="K11" s="341">
        <v>0</v>
      </c>
      <c r="L11" s="341">
        <v>0</v>
      </c>
      <c r="M11" s="341">
        <v>0</v>
      </c>
      <c r="N11" s="341">
        <v>0</v>
      </c>
      <c r="O11" s="341">
        <v>0</v>
      </c>
      <c r="P11" s="341">
        <v>0</v>
      </c>
      <c r="Q11" s="341">
        <v>0</v>
      </c>
      <c r="R11" s="341">
        <v>99</v>
      </c>
      <c r="S11" s="341">
        <v>19.100000000000001</v>
      </c>
      <c r="T11" s="341">
        <v>6</v>
      </c>
      <c r="U11" s="341">
        <v>1.5</v>
      </c>
      <c r="V11" s="341">
        <v>0</v>
      </c>
      <c r="W11" s="341">
        <v>7</v>
      </c>
      <c r="X11" s="341">
        <v>0</v>
      </c>
      <c r="Y11" s="341">
        <v>1.5</v>
      </c>
      <c r="Z11" s="341">
        <v>25</v>
      </c>
      <c r="AA11" s="341">
        <v>650</v>
      </c>
      <c r="AB11" s="341">
        <v>40</v>
      </c>
      <c r="AC11" s="341">
        <v>0</v>
      </c>
      <c r="AD11" s="341">
        <v>1800</v>
      </c>
      <c r="AE11" s="341">
        <v>20</v>
      </c>
      <c r="AF11" s="341">
        <v>2600</v>
      </c>
      <c r="AG11" s="341">
        <v>120</v>
      </c>
      <c r="AH11" s="341">
        <v>30000</v>
      </c>
      <c r="AI11" s="341">
        <v>720</v>
      </c>
      <c r="AJ11" s="341">
        <v>0</v>
      </c>
      <c r="AK11" s="341">
        <v>0</v>
      </c>
      <c r="AL11" s="341">
        <v>0</v>
      </c>
      <c r="AM11" s="341">
        <v>0</v>
      </c>
      <c r="AN11" s="341">
        <v>0</v>
      </c>
      <c r="AO11" s="341">
        <v>0</v>
      </c>
      <c r="AP11" s="341">
        <v>0</v>
      </c>
      <c r="AQ11" s="341">
        <v>0</v>
      </c>
      <c r="AR11" s="341">
        <v>0</v>
      </c>
      <c r="AS11" s="341">
        <v>0</v>
      </c>
      <c r="AT11" s="341">
        <v>0</v>
      </c>
      <c r="AU11" s="341">
        <v>0</v>
      </c>
      <c r="AV11" s="341">
        <v>0</v>
      </c>
      <c r="AW11" s="341">
        <v>0</v>
      </c>
      <c r="AX11" s="341">
        <v>0</v>
      </c>
      <c r="AY11" s="341">
        <v>0</v>
      </c>
      <c r="AZ11" s="341">
        <v>0</v>
      </c>
      <c r="BB11" s="340" t="s">
        <v>384</v>
      </c>
      <c r="BC11" s="340" t="s">
        <v>410</v>
      </c>
      <c r="BE11" s="356"/>
    </row>
    <row r="12" spans="1:57" ht="14.4">
      <c r="A12" s="15"/>
      <c r="B12" s="20"/>
      <c r="C12" s="15"/>
      <c r="D12" s="340" t="s">
        <v>117</v>
      </c>
      <c r="E12" s="340" t="s">
        <v>105</v>
      </c>
      <c r="F12" s="341">
        <v>0</v>
      </c>
      <c r="G12" s="341">
        <v>86.9</v>
      </c>
      <c r="H12" s="341">
        <v>2.89</v>
      </c>
      <c r="I12" s="341">
        <v>6.5</v>
      </c>
      <c r="J12" s="341">
        <v>0.18</v>
      </c>
      <c r="K12" s="341">
        <v>0</v>
      </c>
      <c r="L12" s="341">
        <v>0</v>
      </c>
      <c r="M12" s="341">
        <v>0</v>
      </c>
      <c r="N12" s="341">
        <v>2.9</v>
      </c>
      <c r="O12" s="341">
        <v>36.799999999999997</v>
      </c>
      <c r="P12" s="341">
        <v>28.7</v>
      </c>
      <c r="Q12" s="341">
        <v>0</v>
      </c>
      <c r="R12" s="341">
        <v>6.1</v>
      </c>
      <c r="S12" s="341">
        <v>0.28000000000000003</v>
      </c>
      <c r="T12" s="341">
        <v>0.13</v>
      </c>
      <c r="U12" s="341">
        <v>0.13</v>
      </c>
      <c r="V12" s="341">
        <v>2.62</v>
      </c>
      <c r="W12" s="341">
        <v>0.02</v>
      </c>
      <c r="X12" s="341">
        <v>0.03</v>
      </c>
      <c r="Y12" s="341">
        <v>0.04</v>
      </c>
      <c r="Z12" s="341">
        <v>0</v>
      </c>
      <c r="AA12" s="341">
        <v>7</v>
      </c>
      <c r="AB12" s="341">
        <v>0</v>
      </c>
      <c r="AC12" s="341">
        <v>247</v>
      </c>
      <c r="AD12" s="341">
        <v>22</v>
      </c>
      <c r="AE12" s="341">
        <v>7.0000000000000007E-2</v>
      </c>
      <c r="AF12" s="341">
        <v>22</v>
      </c>
      <c r="AG12" s="341">
        <v>0</v>
      </c>
      <c r="AH12" s="341">
        <v>0</v>
      </c>
      <c r="AI12" s="341">
        <v>0</v>
      </c>
      <c r="AJ12" s="341">
        <v>0</v>
      </c>
      <c r="AK12" s="341">
        <v>0</v>
      </c>
      <c r="AL12" s="341">
        <v>0</v>
      </c>
      <c r="AM12" s="341">
        <v>0</v>
      </c>
      <c r="AN12" s="341">
        <v>0</v>
      </c>
      <c r="AO12" s="341">
        <v>0</v>
      </c>
      <c r="AP12" s="341">
        <v>0</v>
      </c>
      <c r="AQ12" s="341">
        <v>0</v>
      </c>
      <c r="AR12" s="341">
        <v>0</v>
      </c>
      <c r="AS12" s="341">
        <v>0</v>
      </c>
      <c r="AT12" s="341">
        <v>0</v>
      </c>
      <c r="AU12" s="341">
        <v>0</v>
      </c>
      <c r="AV12" s="341">
        <v>0</v>
      </c>
      <c r="AW12" s="341">
        <v>0</v>
      </c>
      <c r="AX12" s="341">
        <v>0</v>
      </c>
      <c r="AY12" s="341">
        <v>0</v>
      </c>
      <c r="AZ12" s="341">
        <v>0</v>
      </c>
      <c r="BB12" s="340" t="s">
        <v>385</v>
      </c>
      <c r="BC12" s="340" t="s">
        <v>410</v>
      </c>
    </row>
    <row r="13" spans="1:57" ht="14.4">
      <c r="A13" s="15"/>
      <c r="B13" s="20"/>
      <c r="C13" s="15"/>
      <c r="D13" s="340" t="s">
        <v>118</v>
      </c>
      <c r="E13" s="340" t="s">
        <v>105</v>
      </c>
      <c r="F13" s="341">
        <v>0</v>
      </c>
      <c r="G13" s="341">
        <v>29.7</v>
      </c>
      <c r="H13" s="341">
        <v>2.12</v>
      </c>
      <c r="I13" s="341">
        <v>16.100000000000001</v>
      </c>
      <c r="J13" s="341">
        <v>0.38</v>
      </c>
      <c r="K13" s="341">
        <v>0</v>
      </c>
      <c r="L13" s="341">
        <v>0</v>
      </c>
      <c r="M13" s="341">
        <v>0</v>
      </c>
      <c r="N13" s="341">
        <v>3.8</v>
      </c>
      <c r="O13" s="341">
        <v>57.8</v>
      </c>
      <c r="P13" s="341">
        <v>34.9</v>
      </c>
      <c r="Q13" s="341">
        <v>0</v>
      </c>
      <c r="R13" s="341">
        <v>9.6</v>
      </c>
      <c r="S13" s="341">
        <v>0.43</v>
      </c>
      <c r="T13" s="341">
        <v>0.42</v>
      </c>
      <c r="U13" s="341">
        <v>0.16</v>
      </c>
      <c r="V13" s="341">
        <v>3.34</v>
      </c>
      <c r="W13" s="341">
        <v>0.05</v>
      </c>
      <c r="X13" s="341">
        <v>0.9</v>
      </c>
      <c r="Y13" s="341">
        <v>0.2</v>
      </c>
      <c r="Z13" s="341">
        <v>0</v>
      </c>
      <c r="AA13" s="341">
        <v>9</v>
      </c>
      <c r="AB13" s="341">
        <v>0</v>
      </c>
      <c r="AC13" s="341">
        <v>373</v>
      </c>
      <c r="AD13" s="341">
        <v>63</v>
      </c>
      <c r="AE13" s="341">
        <v>0</v>
      </c>
      <c r="AF13" s="341">
        <v>32</v>
      </c>
      <c r="AG13" s="341">
        <v>0</v>
      </c>
      <c r="AH13" s="341">
        <v>0</v>
      </c>
      <c r="AI13" s="341">
        <v>0</v>
      </c>
      <c r="AJ13" s="341">
        <v>0</v>
      </c>
      <c r="AK13" s="341">
        <v>0</v>
      </c>
      <c r="AL13" s="341">
        <v>0</v>
      </c>
      <c r="AM13" s="341">
        <v>0</v>
      </c>
      <c r="AN13" s="341">
        <v>0</v>
      </c>
      <c r="AO13" s="341">
        <v>0</v>
      </c>
      <c r="AP13" s="341">
        <v>0</v>
      </c>
      <c r="AQ13" s="341">
        <v>0</v>
      </c>
      <c r="AR13" s="341">
        <v>0</v>
      </c>
      <c r="AS13" s="341">
        <v>0</v>
      </c>
      <c r="AT13" s="341">
        <v>0</v>
      </c>
      <c r="AU13" s="341">
        <v>0</v>
      </c>
      <c r="AV13" s="341">
        <v>0</v>
      </c>
      <c r="AW13" s="341">
        <v>0</v>
      </c>
      <c r="AX13" s="341">
        <v>0</v>
      </c>
      <c r="AY13" s="341">
        <v>0</v>
      </c>
      <c r="AZ13" s="341">
        <v>0</v>
      </c>
      <c r="BB13" s="340" t="s">
        <v>386</v>
      </c>
      <c r="BC13" s="340" t="s">
        <v>410</v>
      </c>
    </row>
    <row r="14" spans="1:57" ht="14.4">
      <c r="A14" s="15"/>
      <c r="B14" s="20"/>
      <c r="C14" s="15"/>
      <c r="D14" s="340" t="s">
        <v>119</v>
      </c>
      <c r="E14" s="340" t="s">
        <v>120</v>
      </c>
      <c r="F14" s="341">
        <v>0</v>
      </c>
      <c r="G14" s="341">
        <v>99</v>
      </c>
      <c r="H14" s="341">
        <v>0</v>
      </c>
      <c r="I14" s="341">
        <v>20</v>
      </c>
      <c r="J14" s="341">
        <v>10.54</v>
      </c>
      <c r="K14" s="341">
        <v>6.33</v>
      </c>
      <c r="L14" s="341">
        <v>2.86</v>
      </c>
      <c r="M14" s="341">
        <v>2.11</v>
      </c>
      <c r="N14" s="341">
        <v>0</v>
      </c>
      <c r="O14" s="341">
        <v>0</v>
      </c>
      <c r="P14" s="341">
        <v>0</v>
      </c>
      <c r="Q14" s="341">
        <v>0</v>
      </c>
      <c r="R14" s="341">
        <v>99</v>
      </c>
      <c r="S14" s="341">
        <v>11.5</v>
      </c>
      <c r="T14" s="341">
        <v>5.79</v>
      </c>
      <c r="U14" s="341">
        <v>1.43</v>
      </c>
      <c r="V14" s="341">
        <v>0</v>
      </c>
      <c r="W14" s="341">
        <v>1.04</v>
      </c>
      <c r="X14" s="341">
        <v>0</v>
      </c>
      <c r="Y14" s="341">
        <v>2.0099999999999998</v>
      </c>
      <c r="Z14" s="341">
        <v>2</v>
      </c>
      <c r="AA14" s="341">
        <v>391.66</v>
      </c>
      <c r="AB14" s="341">
        <v>10.02</v>
      </c>
      <c r="AC14" s="341">
        <v>1949</v>
      </c>
      <c r="AD14" s="341">
        <v>1300</v>
      </c>
      <c r="AE14" s="341">
        <v>3.9</v>
      </c>
      <c r="AF14" s="341">
        <v>1580</v>
      </c>
      <c r="AG14" s="341">
        <v>7323</v>
      </c>
      <c r="AH14" s="341">
        <v>28216</v>
      </c>
      <c r="AI14" s="341">
        <v>3167</v>
      </c>
      <c r="AJ14" s="341">
        <v>0</v>
      </c>
      <c r="AK14" s="341">
        <v>0</v>
      </c>
      <c r="AL14" s="341">
        <v>0</v>
      </c>
      <c r="AM14" s="341">
        <v>0</v>
      </c>
      <c r="AN14" s="341">
        <v>0</v>
      </c>
      <c r="AO14" s="341">
        <v>0</v>
      </c>
      <c r="AP14" s="341">
        <v>0</v>
      </c>
      <c r="AQ14" s="341">
        <v>0</v>
      </c>
      <c r="AR14" s="341">
        <v>0</v>
      </c>
      <c r="AS14" s="341">
        <v>0</v>
      </c>
      <c r="AT14" s="341">
        <v>0</v>
      </c>
      <c r="AU14" s="341">
        <v>0</v>
      </c>
      <c r="AV14" s="341">
        <v>0</v>
      </c>
      <c r="AW14" s="341">
        <v>0</v>
      </c>
      <c r="AX14" s="341">
        <v>0</v>
      </c>
      <c r="AY14" s="341">
        <v>0</v>
      </c>
      <c r="AZ14" s="341">
        <v>0</v>
      </c>
      <c r="BB14" s="340" t="s">
        <v>387</v>
      </c>
      <c r="BC14" s="340" t="s">
        <v>410</v>
      </c>
    </row>
    <row r="15" spans="1:57" ht="14.4">
      <c r="A15" s="15"/>
      <c r="B15" s="20"/>
      <c r="C15" s="15"/>
      <c r="D15" s="340" t="s">
        <v>121</v>
      </c>
      <c r="E15" s="340" t="s">
        <v>122</v>
      </c>
      <c r="F15" s="341">
        <v>0</v>
      </c>
      <c r="G15" s="341">
        <v>99</v>
      </c>
      <c r="H15" s="341">
        <v>0</v>
      </c>
      <c r="I15" s="341">
        <v>0</v>
      </c>
      <c r="J15" s="341">
        <v>0</v>
      </c>
      <c r="K15" s="341">
        <v>0</v>
      </c>
      <c r="L15" s="341">
        <v>0</v>
      </c>
      <c r="M15" s="341">
        <v>0</v>
      </c>
      <c r="N15" s="341">
        <v>0</v>
      </c>
      <c r="O15" s="341">
        <v>0</v>
      </c>
      <c r="P15" s="341">
        <v>0</v>
      </c>
      <c r="Q15" s="341">
        <v>0</v>
      </c>
      <c r="R15" s="341">
        <v>99</v>
      </c>
      <c r="S15" s="341">
        <v>0</v>
      </c>
      <c r="T15" s="341">
        <v>0</v>
      </c>
      <c r="U15" s="341">
        <v>0</v>
      </c>
      <c r="V15" s="341">
        <v>0</v>
      </c>
      <c r="W15" s="341">
        <v>0</v>
      </c>
      <c r="X15" s="341">
        <v>0</v>
      </c>
      <c r="Y15" s="341">
        <v>0</v>
      </c>
      <c r="Z15" s="341">
        <v>0</v>
      </c>
      <c r="AA15" s="341">
        <v>0</v>
      </c>
      <c r="AB15" s="341">
        <v>0</v>
      </c>
      <c r="AC15" s="341">
        <v>0</v>
      </c>
      <c r="AD15" s="341">
        <v>0</v>
      </c>
      <c r="AE15" s="341">
        <v>0</v>
      </c>
      <c r="AF15" s="341">
        <v>0</v>
      </c>
      <c r="AG15" s="341">
        <v>0</v>
      </c>
      <c r="AH15" s="341">
        <v>0</v>
      </c>
      <c r="AI15" s="341">
        <v>0</v>
      </c>
      <c r="AJ15" s="341">
        <v>0</v>
      </c>
      <c r="AK15" s="341">
        <v>0</v>
      </c>
      <c r="AL15" s="341">
        <v>0</v>
      </c>
      <c r="AM15" s="341">
        <v>0</v>
      </c>
      <c r="AN15" s="341">
        <v>0</v>
      </c>
      <c r="AO15" s="341">
        <v>0</v>
      </c>
      <c r="AP15" s="341">
        <v>0</v>
      </c>
      <c r="AQ15" s="341">
        <v>0</v>
      </c>
      <c r="AR15" s="341">
        <v>0</v>
      </c>
      <c r="AS15" s="341">
        <v>0</v>
      </c>
      <c r="AT15" s="341">
        <v>0</v>
      </c>
      <c r="AU15" s="341">
        <v>0</v>
      </c>
      <c r="AV15" s="341">
        <v>0</v>
      </c>
      <c r="AW15" s="341">
        <v>0</v>
      </c>
      <c r="AX15" s="341">
        <v>0</v>
      </c>
      <c r="AY15" s="341">
        <v>0</v>
      </c>
      <c r="AZ15" s="341">
        <v>0</v>
      </c>
      <c r="BB15" s="340" t="s">
        <v>388</v>
      </c>
      <c r="BC15" s="340" t="s">
        <v>410</v>
      </c>
    </row>
    <row r="16" spans="1:57" ht="14.4">
      <c r="A16" s="15"/>
      <c r="B16" s="20"/>
      <c r="C16" s="15"/>
      <c r="D16" s="340" t="s">
        <v>123</v>
      </c>
      <c r="E16" s="340" t="s">
        <v>124</v>
      </c>
      <c r="F16" s="341">
        <v>0</v>
      </c>
      <c r="G16" s="341">
        <v>99</v>
      </c>
      <c r="H16" s="341">
        <v>0</v>
      </c>
      <c r="I16" s="341">
        <v>0</v>
      </c>
      <c r="J16" s="341">
        <v>0</v>
      </c>
      <c r="K16" s="341">
        <v>0</v>
      </c>
      <c r="L16" s="341">
        <v>0</v>
      </c>
      <c r="M16" s="341">
        <v>0</v>
      </c>
      <c r="N16" s="341">
        <v>0</v>
      </c>
      <c r="O16" s="341">
        <v>0</v>
      </c>
      <c r="P16" s="341">
        <v>0</v>
      </c>
      <c r="Q16" s="341">
        <v>0</v>
      </c>
      <c r="R16" s="341">
        <v>99</v>
      </c>
      <c r="S16" s="341">
        <v>0</v>
      </c>
      <c r="T16" s="341">
        <v>0</v>
      </c>
      <c r="U16" s="341">
        <v>0</v>
      </c>
      <c r="V16" s="341">
        <v>0</v>
      </c>
      <c r="W16" s="341">
        <v>0</v>
      </c>
      <c r="X16" s="341">
        <v>0</v>
      </c>
      <c r="Y16" s="341">
        <v>99</v>
      </c>
      <c r="Z16" s="341">
        <v>0</v>
      </c>
      <c r="AA16" s="341">
        <v>0</v>
      </c>
      <c r="AB16" s="341">
        <v>0</v>
      </c>
      <c r="AC16" s="341">
        <v>0</v>
      </c>
      <c r="AD16" s="341">
        <v>0</v>
      </c>
      <c r="AE16" s="341">
        <v>0</v>
      </c>
      <c r="AF16" s="341">
        <v>0</v>
      </c>
      <c r="AG16" s="341">
        <v>0</v>
      </c>
      <c r="AH16" s="341">
        <v>0</v>
      </c>
      <c r="AI16" s="341">
        <v>0</v>
      </c>
      <c r="AJ16" s="341">
        <v>0</v>
      </c>
      <c r="AK16" s="341">
        <v>0</v>
      </c>
      <c r="AL16" s="341">
        <v>0</v>
      </c>
      <c r="AM16" s="341">
        <v>0</v>
      </c>
      <c r="AN16" s="341">
        <v>0</v>
      </c>
      <c r="AO16" s="341">
        <v>0</v>
      </c>
      <c r="AP16" s="341">
        <v>0</v>
      </c>
      <c r="AQ16" s="341">
        <v>0</v>
      </c>
      <c r="AR16" s="341">
        <v>0</v>
      </c>
      <c r="AS16" s="341">
        <v>0</v>
      </c>
      <c r="AT16" s="341">
        <v>0</v>
      </c>
      <c r="AU16" s="341">
        <v>0</v>
      </c>
      <c r="AV16" s="341">
        <v>0</v>
      </c>
      <c r="AW16" s="341">
        <v>0</v>
      </c>
      <c r="AX16" s="341">
        <v>0</v>
      </c>
      <c r="AY16" s="341">
        <v>0</v>
      </c>
      <c r="AZ16" s="341">
        <v>0</v>
      </c>
      <c r="BB16" s="340" t="s">
        <v>389</v>
      </c>
      <c r="BC16" s="340" t="s">
        <v>410</v>
      </c>
    </row>
    <row r="17" spans="1:55" ht="14.4">
      <c r="A17" s="15"/>
      <c r="B17" s="20"/>
      <c r="C17" s="15"/>
      <c r="D17" s="340" t="s">
        <v>125</v>
      </c>
      <c r="E17" s="340" t="s">
        <v>107</v>
      </c>
      <c r="F17" s="341">
        <v>0</v>
      </c>
      <c r="G17" s="341">
        <v>90.6</v>
      </c>
      <c r="H17" s="341">
        <v>3.35</v>
      </c>
      <c r="I17" s="341">
        <v>15.5</v>
      </c>
      <c r="J17" s="341">
        <v>0.72</v>
      </c>
      <c r="K17" s="341">
        <v>0</v>
      </c>
      <c r="L17" s="341">
        <v>0</v>
      </c>
      <c r="M17" s="341">
        <v>0</v>
      </c>
      <c r="N17" s="341">
        <v>15.2</v>
      </c>
      <c r="O17" s="341">
        <v>26.1</v>
      </c>
      <c r="P17" s="341">
        <v>13.1</v>
      </c>
      <c r="Q17" s="341">
        <v>0</v>
      </c>
      <c r="R17" s="341">
        <v>10.4</v>
      </c>
      <c r="S17" s="341">
        <v>7.0000000000000007E-2</v>
      </c>
      <c r="T17" s="341">
        <v>1.78</v>
      </c>
      <c r="U17" s="341">
        <v>0.81</v>
      </c>
      <c r="V17" s="341">
        <v>1.57</v>
      </c>
      <c r="W17" s="341">
        <v>0.03</v>
      </c>
      <c r="X17" s="341">
        <v>0.09</v>
      </c>
      <c r="Y17" s="341">
        <v>0.19</v>
      </c>
      <c r="Z17" s="341">
        <v>0</v>
      </c>
      <c r="AA17" s="341">
        <v>10</v>
      </c>
      <c r="AB17" s="341">
        <v>0</v>
      </c>
      <c r="AC17" s="341">
        <v>239</v>
      </c>
      <c r="AD17" s="341">
        <v>186</v>
      </c>
      <c r="AE17" s="341">
        <v>0.17</v>
      </c>
      <c r="AF17" s="341">
        <v>71</v>
      </c>
      <c r="AG17" s="341">
        <v>0</v>
      </c>
      <c r="AH17" s="341">
        <v>0</v>
      </c>
      <c r="AI17" s="341">
        <v>0</v>
      </c>
      <c r="AJ17" s="341">
        <v>0</v>
      </c>
      <c r="AK17" s="341">
        <v>0</v>
      </c>
      <c r="AL17" s="341">
        <v>0</v>
      </c>
      <c r="AM17" s="341">
        <v>0</v>
      </c>
      <c r="AN17" s="341">
        <v>0</v>
      </c>
      <c r="AO17" s="341">
        <v>0</v>
      </c>
      <c r="AP17" s="341">
        <v>0</v>
      </c>
      <c r="AQ17" s="341">
        <v>0</v>
      </c>
      <c r="AR17" s="341">
        <v>0</v>
      </c>
      <c r="AS17" s="341">
        <v>0</v>
      </c>
      <c r="AT17" s="341">
        <v>0</v>
      </c>
      <c r="AU17" s="341">
        <v>0</v>
      </c>
      <c r="AV17" s="341">
        <v>0</v>
      </c>
      <c r="AW17" s="341">
        <v>0</v>
      </c>
      <c r="AX17" s="341">
        <v>0</v>
      </c>
      <c r="AY17" s="341">
        <v>0</v>
      </c>
      <c r="AZ17" s="341">
        <v>0</v>
      </c>
      <c r="BB17" s="340" t="s">
        <v>390</v>
      </c>
      <c r="BC17" s="340" t="s">
        <v>410</v>
      </c>
    </row>
    <row r="18" spans="1:55" ht="14.4">
      <c r="A18" s="15"/>
      <c r="B18" s="20"/>
      <c r="C18" s="15"/>
      <c r="D18" s="340" t="s">
        <v>126</v>
      </c>
      <c r="E18" s="340" t="s">
        <v>107</v>
      </c>
      <c r="F18" s="341">
        <v>0</v>
      </c>
      <c r="G18" s="341">
        <v>89.1</v>
      </c>
      <c r="H18" s="341">
        <v>3.22</v>
      </c>
      <c r="I18" s="341">
        <v>17.3</v>
      </c>
      <c r="J18" s="341">
        <v>0.7</v>
      </c>
      <c r="K18" s="341">
        <v>0</v>
      </c>
      <c r="L18" s="341">
        <v>0</v>
      </c>
      <c r="M18" s="341">
        <v>0</v>
      </c>
      <c r="N18" s="341">
        <v>4.3</v>
      </c>
      <c r="O18" s="341">
        <v>42.5</v>
      </c>
      <c r="P18" s="341">
        <v>15.5</v>
      </c>
      <c r="Q18" s="341">
        <v>0</v>
      </c>
      <c r="R18" s="341">
        <v>6.3</v>
      </c>
      <c r="S18" s="341">
        <v>0.13</v>
      </c>
      <c r="T18" s="341">
        <v>1.18</v>
      </c>
      <c r="U18" s="341">
        <v>0.53</v>
      </c>
      <c r="V18" s="341">
        <v>1.32</v>
      </c>
      <c r="W18" s="341">
        <v>0.04</v>
      </c>
      <c r="X18" s="341">
        <v>0.16</v>
      </c>
      <c r="Y18" s="341">
        <v>0.21</v>
      </c>
      <c r="Z18" s="341">
        <v>0</v>
      </c>
      <c r="AA18" s="341">
        <v>11</v>
      </c>
      <c r="AB18" s="341">
        <v>0</v>
      </c>
      <c r="AC18" s="341">
        <v>157</v>
      </c>
      <c r="AD18" s="341">
        <v>122</v>
      </c>
      <c r="AE18" s="341">
        <v>0.5</v>
      </c>
      <c r="AF18" s="341">
        <v>85</v>
      </c>
      <c r="AG18" s="341">
        <v>0</v>
      </c>
      <c r="AH18" s="341">
        <v>0</v>
      </c>
      <c r="AI18" s="341">
        <v>0</v>
      </c>
      <c r="AJ18" s="341">
        <v>0</v>
      </c>
      <c r="AK18" s="341">
        <v>0</v>
      </c>
      <c r="AL18" s="341">
        <v>0</v>
      </c>
      <c r="AM18" s="341">
        <v>0</v>
      </c>
      <c r="AN18" s="341">
        <v>0</v>
      </c>
      <c r="AO18" s="341">
        <v>0</v>
      </c>
      <c r="AP18" s="341">
        <v>0</v>
      </c>
      <c r="AQ18" s="341">
        <v>0</v>
      </c>
      <c r="AR18" s="341">
        <v>0</v>
      </c>
      <c r="AS18" s="341">
        <v>0</v>
      </c>
      <c r="AT18" s="341">
        <v>0</v>
      </c>
      <c r="AU18" s="341">
        <v>0</v>
      </c>
      <c r="AV18" s="341">
        <v>0</v>
      </c>
      <c r="AW18" s="341">
        <v>0</v>
      </c>
      <c r="AX18" s="341">
        <v>0</v>
      </c>
      <c r="AY18" s="341">
        <v>0</v>
      </c>
      <c r="AZ18" s="341">
        <v>0</v>
      </c>
      <c r="BB18" s="340" t="s">
        <v>391</v>
      </c>
      <c r="BC18" s="340" t="s">
        <v>375</v>
      </c>
    </row>
    <row r="19" spans="1:55" ht="14.4">
      <c r="A19" s="15"/>
      <c r="B19" s="20"/>
      <c r="C19" s="15"/>
      <c r="D19" s="340" t="s">
        <v>127</v>
      </c>
      <c r="E19" s="340" t="s">
        <v>105</v>
      </c>
      <c r="F19" s="341">
        <v>0</v>
      </c>
      <c r="G19" s="341">
        <v>90.3</v>
      </c>
      <c r="H19" s="341">
        <v>2.4300000000000002</v>
      </c>
      <c r="I19" s="341">
        <v>19.2</v>
      </c>
      <c r="J19" s="341">
        <v>0.83</v>
      </c>
      <c r="K19" s="341">
        <v>0</v>
      </c>
      <c r="L19" s="341">
        <v>0</v>
      </c>
      <c r="M19" s="341">
        <v>0</v>
      </c>
      <c r="N19" s="341">
        <v>2.5</v>
      </c>
      <c r="O19" s="341">
        <v>41.6</v>
      </c>
      <c r="P19" s="341">
        <v>32.799999999999997</v>
      </c>
      <c r="Q19" s="341">
        <v>0</v>
      </c>
      <c r="R19" s="341">
        <v>11</v>
      </c>
      <c r="S19" s="341">
        <v>1.47</v>
      </c>
      <c r="T19" s="341">
        <v>0.28000000000000003</v>
      </c>
      <c r="U19" s="341">
        <v>0.28999999999999998</v>
      </c>
      <c r="V19" s="341">
        <v>2.37</v>
      </c>
      <c r="W19" s="341">
        <v>0.1</v>
      </c>
      <c r="X19" s="341">
        <v>0.65</v>
      </c>
      <c r="Y19" s="341">
        <v>0.26</v>
      </c>
      <c r="Z19" s="341">
        <v>0.3</v>
      </c>
      <c r="AA19" s="341">
        <v>9</v>
      </c>
      <c r="AB19" s="341">
        <v>0.16</v>
      </c>
      <c r="AC19" s="341">
        <v>619</v>
      </c>
      <c r="AD19" s="341">
        <v>44</v>
      </c>
      <c r="AE19" s="341">
        <v>0.36</v>
      </c>
      <c r="AF19" s="341">
        <v>28</v>
      </c>
      <c r="AG19" s="341">
        <v>0</v>
      </c>
      <c r="AH19" s="341">
        <v>0</v>
      </c>
      <c r="AI19" s="341">
        <v>0</v>
      </c>
      <c r="AJ19" s="341">
        <v>0</v>
      </c>
      <c r="AK19" s="341">
        <v>0</v>
      </c>
      <c r="AL19" s="341">
        <v>0</v>
      </c>
      <c r="AM19" s="341">
        <v>0</v>
      </c>
      <c r="AN19" s="341">
        <v>0</v>
      </c>
      <c r="AO19" s="341">
        <v>0</v>
      </c>
      <c r="AP19" s="341">
        <v>0</v>
      </c>
      <c r="AQ19" s="341">
        <v>0</v>
      </c>
      <c r="AR19" s="341">
        <v>0</v>
      </c>
      <c r="AS19" s="341">
        <v>0</v>
      </c>
      <c r="AT19" s="341">
        <v>0</v>
      </c>
      <c r="AU19" s="341">
        <v>0</v>
      </c>
      <c r="AV19" s="341">
        <v>0</v>
      </c>
      <c r="AW19" s="341">
        <v>0</v>
      </c>
      <c r="AX19" s="341">
        <v>0</v>
      </c>
      <c r="AY19" s="341">
        <v>0</v>
      </c>
      <c r="AZ19" s="341">
        <v>0</v>
      </c>
      <c r="BB19" s="340" t="s">
        <v>402</v>
      </c>
      <c r="BC19" s="340" t="s">
        <v>375</v>
      </c>
    </row>
    <row r="20" spans="1:55" ht="15.75" customHeight="1">
      <c r="A20" s="15"/>
      <c r="B20" s="20"/>
      <c r="C20" s="15"/>
      <c r="D20" s="340" t="s">
        <v>128</v>
      </c>
      <c r="E20" s="340" t="s">
        <v>107</v>
      </c>
      <c r="F20" s="341">
        <v>0</v>
      </c>
      <c r="G20" s="341">
        <v>90.5</v>
      </c>
      <c r="H20" s="341">
        <v>2.98</v>
      </c>
      <c r="I20" s="341">
        <v>44.9</v>
      </c>
      <c r="J20" s="341">
        <v>1.85</v>
      </c>
      <c r="K20" s="341">
        <v>0</v>
      </c>
      <c r="L20" s="341">
        <v>0</v>
      </c>
      <c r="M20" s="341">
        <v>0</v>
      </c>
      <c r="N20" s="341">
        <v>1.9</v>
      </c>
      <c r="O20" s="341">
        <v>30.8</v>
      </c>
      <c r="P20" s="341">
        <v>19.899999999999999</v>
      </c>
      <c r="Q20" s="341">
        <v>0</v>
      </c>
      <c r="R20" s="341">
        <v>6.7</v>
      </c>
      <c r="S20" s="341">
        <v>0.2</v>
      </c>
      <c r="T20" s="341">
        <v>1.1499999999999999</v>
      </c>
      <c r="U20" s="341">
        <v>0.61</v>
      </c>
      <c r="V20" s="341">
        <v>1.64</v>
      </c>
      <c r="W20" s="341">
        <v>7.0000000000000007E-2</v>
      </c>
      <c r="X20" s="341">
        <v>7.0000000000000007E-2</v>
      </c>
      <c r="Y20" s="341">
        <v>0.4</v>
      </c>
      <c r="Z20" s="341">
        <v>0</v>
      </c>
      <c r="AA20" s="341">
        <v>14</v>
      </c>
      <c r="AB20" s="341">
        <v>0</v>
      </c>
      <c r="AC20" s="341">
        <v>149</v>
      </c>
      <c r="AD20" s="341">
        <v>24</v>
      </c>
      <c r="AE20" s="341">
        <v>0.3</v>
      </c>
      <c r="AF20" s="341">
        <v>67</v>
      </c>
      <c r="AG20" s="341">
        <v>0</v>
      </c>
      <c r="AH20" s="341">
        <v>0</v>
      </c>
      <c r="AI20" s="341">
        <v>0</v>
      </c>
      <c r="AJ20" s="341">
        <v>0</v>
      </c>
      <c r="AK20" s="341">
        <v>0</v>
      </c>
      <c r="AL20" s="341">
        <v>0</v>
      </c>
      <c r="AM20" s="341">
        <v>0</v>
      </c>
      <c r="AN20" s="341">
        <v>0</v>
      </c>
      <c r="AO20" s="341">
        <v>0</v>
      </c>
      <c r="AP20" s="341">
        <v>0</v>
      </c>
      <c r="AQ20" s="341">
        <v>0</v>
      </c>
      <c r="AR20" s="341">
        <v>0</v>
      </c>
      <c r="AS20" s="341">
        <v>0</v>
      </c>
      <c r="AT20" s="341">
        <v>0</v>
      </c>
      <c r="AU20" s="341">
        <v>0</v>
      </c>
      <c r="AV20" s="341">
        <v>0</v>
      </c>
      <c r="AW20" s="341">
        <v>0</v>
      </c>
      <c r="AX20" s="341">
        <v>0</v>
      </c>
      <c r="AY20" s="341">
        <v>0</v>
      </c>
      <c r="AZ20" s="341">
        <v>0</v>
      </c>
      <c r="BB20" s="340" t="s">
        <v>403</v>
      </c>
      <c r="BC20" s="340" t="s">
        <v>375</v>
      </c>
    </row>
    <row r="21" spans="1:55" ht="15.75" customHeight="1">
      <c r="A21" s="15"/>
      <c r="B21" s="20"/>
      <c r="C21" s="15"/>
      <c r="D21" s="340" t="s">
        <v>129</v>
      </c>
      <c r="E21" s="340" t="s">
        <v>107</v>
      </c>
      <c r="F21" s="341">
        <v>0</v>
      </c>
      <c r="G21" s="341">
        <v>92.3</v>
      </c>
      <c r="H21" s="341">
        <v>3.33</v>
      </c>
      <c r="I21" s="341">
        <v>51.8</v>
      </c>
      <c r="J21" s="341">
        <v>1.73</v>
      </c>
      <c r="K21" s="341">
        <v>0</v>
      </c>
      <c r="L21" s="341">
        <v>0</v>
      </c>
      <c r="M21" s="341">
        <v>0</v>
      </c>
      <c r="N21" s="341">
        <v>1.4</v>
      </c>
      <c r="O21" s="341">
        <v>21.4</v>
      </c>
      <c r="P21" s="341">
        <v>13.5</v>
      </c>
      <c r="Q21" s="341">
        <v>0</v>
      </c>
      <c r="R21" s="341">
        <v>5.8</v>
      </c>
      <c r="S21" s="341">
        <v>0.2</v>
      </c>
      <c r="T21" s="341">
        <v>0.64</v>
      </c>
      <c r="U21" s="341">
        <v>0.32</v>
      </c>
      <c r="V21" s="341">
        <v>1.32</v>
      </c>
      <c r="W21" s="341">
        <v>0.03</v>
      </c>
      <c r="X21" s="341">
        <v>0.1</v>
      </c>
      <c r="Y21" s="341">
        <v>0.32</v>
      </c>
      <c r="Z21" s="341">
        <v>0</v>
      </c>
      <c r="AA21" s="341">
        <v>1310</v>
      </c>
      <c r="AB21" s="341">
        <v>7.0000000000000007E-2</v>
      </c>
      <c r="AC21" s="341">
        <v>302</v>
      </c>
      <c r="AD21" s="341">
        <v>33</v>
      </c>
      <c r="AE21" s="341">
        <v>0.21</v>
      </c>
      <c r="AF21" s="341">
        <v>54</v>
      </c>
      <c r="AG21" s="341">
        <v>0</v>
      </c>
      <c r="AH21" s="341">
        <v>0</v>
      </c>
      <c r="AI21" s="341">
        <v>0</v>
      </c>
      <c r="AJ21" s="341">
        <v>0</v>
      </c>
      <c r="AK21" s="341">
        <v>0</v>
      </c>
      <c r="AL21" s="341">
        <v>0</v>
      </c>
      <c r="AM21" s="341">
        <v>0</v>
      </c>
      <c r="AN21" s="341">
        <v>0</v>
      </c>
      <c r="AO21" s="341">
        <v>0</v>
      </c>
      <c r="AP21" s="341">
        <v>0</v>
      </c>
      <c r="AQ21" s="341">
        <v>0</v>
      </c>
      <c r="AR21" s="341">
        <v>0</v>
      </c>
      <c r="AS21" s="341">
        <v>0</v>
      </c>
      <c r="AT21" s="341">
        <v>0</v>
      </c>
      <c r="AU21" s="341">
        <v>0</v>
      </c>
      <c r="AV21" s="341">
        <v>0</v>
      </c>
      <c r="AW21" s="341">
        <v>0</v>
      </c>
      <c r="AX21" s="341">
        <v>0</v>
      </c>
      <c r="AY21" s="341">
        <v>0</v>
      </c>
      <c r="AZ21" s="341">
        <v>0</v>
      </c>
      <c r="BB21" s="340" t="s">
        <v>404</v>
      </c>
      <c r="BC21" s="340" t="s">
        <v>375</v>
      </c>
    </row>
    <row r="22" spans="1:55" ht="15.75" customHeight="1">
      <c r="A22" s="15"/>
      <c r="B22" s="20"/>
      <c r="C22" s="15"/>
      <c r="D22" s="340" t="s">
        <v>130</v>
      </c>
      <c r="E22" s="340" t="s">
        <v>107</v>
      </c>
      <c r="F22" s="341">
        <v>0</v>
      </c>
      <c r="G22" s="341">
        <v>90.3</v>
      </c>
      <c r="H22" s="341">
        <v>2.94</v>
      </c>
      <c r="I22" s="341">
        <v>37.799999999999997</v>
      </c>
      <c r="J22" s="341">
        <v>2.12</v>
      </c>
      <c r="K22" s="341">
        <v>0</v>
      </c>
      <c r="L22" s="341">
        <v>0</v>
      </c>
      <c r="M22" s="341">
        <v>0</v>
      </c>
      <c r="N22" s="341">
        <v>5.4</v>
      </c>
      <c r="O22" s="341">
        <v>29.8</v>
      </c>
      <c r="P22" s="341">
        <v>20.5</v>
      </c>
      <c r="Q22" s="341">
        <v>0</v>
      </c>
      <c r="R22" s="341">
        <v>7.4</v>
      </c>
      <c r="S22" s="341">
        <v>0.75</v>
      </c>
      <c r="T22" s="341">
        <v>1.1000000000000001</v>
      </c>
      <c r="U22" s="341">
        <v>0.53</v>
      </c>
      <c r="V22" s="341">
        <v>1.41</v>
      </c>
      <c r="W22" s="341">
        <v>7.0000000000000007E-2</v>
      </c>
      <c r="X22" s="341">
        <v>0.04</v>
      </c>
      <c r="Y22" s="341">
        <v>0.73</v>
      </c>
      <c r="Z22" s="341">
        <v>0</v>
      </c>
      <c r="AA22" s="341">
        <v>5</v>
      </c>
      <c r="AB22" s="341">
        <v>0</v>
      </c>
      <c r="AC22" s="341">
        <v>296</v>
      </c>
      <c r="AD22" s="341">
        <v>62</v>
      </c>
      <c r="AE22" s="341">
        <v>1.0900000000000001</v>
      </c>
      <c r="AF22" s="341">
        <v>61</v>
      </c>
      <c r="AG22" s="341">
        <v>0</v>
      </c>
      <c r="AH22" s="341">
        <v>0</v>
      </c>
      <c r="AI22" s="341">
        <v>0</v>
      </c>
      <c r="AJ22" s="341">
        <v>0</v>
      </c>
      <c r="AK22" s="341">
        <v>0</v>
      </c>
      <c r="AL22" s="341">
        <v>0</v>
      </c>
      <c r="AM22" s="341">
        <v>0</v>
      </c>
      <c r="AN22" s="341">
        <v>0</v>
      </c>
      <c r="AO22" s="341">
        <v>0</v>
      </c>
      <c r="AP22" s="341">
        <v>0</v>
      </c>
      <c r="AQ22" s="341">
        <v>0</v>
      </c>
      <c r="AR22" s="341">
        <v>0</v>
      </c>
      <c r="AS22" s="341">
        <v>0</v>
      </c>
      <c r="AT22" s="341">
        <v>0</v>
      </c>
      <c r="AU22" s="341">
        <v>0</v>
      </c>
      <c r="AV22" s="341">
        <v>0</v>
      </c>
      <c r="AW22" s="341">
        <v>0</v>
      </c>
      <c r="AX22" s="341">
        <v>0</v>
      </c>
      <c r="AY22" s="341">
        <v>0</v>
      </c>
      <c r="AZ22" s="341">
        <v>0</v>
      </c>
      <c r="BB22" s="340" t="s">
        <v>405</v>
      </c>
      <c r="BC22" s="340" t="s">
        <v>375</v>
      </c>
    </row>
    <row r="23" spans="1:55" ht="15.75" customHeight="1">
      <c r="A23" s="15"/>
      <c r="B23" s="20"/>
      <c r="C23" s="15"/>
      <c r="D23" s="340" t="s">
        <v>131</v>
      </c>
      <c r="E23" s="340" t="s">
        <v>107</v>
      </c>
      <c r="F23" s="341">
        <v>0</v>
      </c>
      <c r="G23" s="341">
        <v>92.2</v>
      </c>
      <c r="H23" s="341">
        <v>2.42</v>
      </c>
      <c r="I23" s="341">
        <v>28.4</v>
      </c>
      <c r="J23" s="341">
        <v>1.01</v>
      </c>
      <c r="K23" s="341">
        <v>0</v>
      </c>
      <c r="L23" s="341">
        <v>0</v>
      </c>
      <c r="M23" s="341">
        <v>0</v>
      </c>
      <c r="N23" s="341">
        <v>1.4</v>
      </c>
      <c r="O23" s="341">
        <v>40.299999999999997</v>
      </c>
      <c r="P23" s="341">
        <v>30</v>
      </c>
      <c r="Q23" s="341">
        <v>0</v>
      </c>
      <c r="R23" s="341">
        <v>7.7</v>
      </c>
      <c r="S23" s="341">
        <v>0.48</v>
      </c>
      <c r="T23" s="341">
        <v>1</v>
      </c>
      <c r="U23" s="341">
        <v>0.63</v>
      </c>
      <c r="V23" s="341">
        <v>1.5</v>
      </c>
      <c r="W23" s="341">
        <v>0.04</v>
      </c>
      <c r="X23" s="341">
        <v>0.12</v>
      </c>
      <c r="Y23" s="341">
        <v>0.39</v>
      </c>
      <c r="Z23" s="341">
        <v>0</v>
      </c>
      <c r="AA23" s="341">
        <v>32</v>
      </c>
      <c r="AB23" s="341">
        <v>0</v>
      </c>
      <c r="AC23" s="341">
        <v>298</v>
      </c>
      <c r="AD23" s="341">
        <v>45</v>
      </c>
      <c r="AE23" s="341">
        <v>0.5</v>
      </c>
      <c r="AF23" s="341">
        <v>88</v>
      </c>
      <c r="AG23" s="341">
        <v>0</v>
      </c>
      <c r="AH23" s="341">
        <v>0</v>
      </c>
      <c r="AI23" s="341">
        <v>0</v>
      </c>
      <c r="AJ23" s="341">
        <v>0</v>
      </c>
      <c r="AK23" s="341">
        <v>0</v>
      </c>
      <c r="AL23" s="341">
        <v>0</v>
      </c>
      <c r="AM23" s="341">
        <v>0</v>
      </c>
      <c r="AN23" s="341">
        <v>0</v>
      </c>
      <c r="AO23" s="341">
        <v>0</v>
      </c>
      <c r="AP23" s="341">
        <v>0</v>
      </c>
      <c r="AQ23" s="341">
        <v>0</v>
      </c>
      <c r="AR23" s="341">
        <v>0</v>
      </c>
      <c r="AS23" s="341">
        <v>0</v>
      </c>
      <c r="AT23" s="341">
        <v>0</v>
      </c>
      <c r="AU23" s="341">
        <v>0</v>
      </c>
      <c r="AV23" s="341">
        <v>0</v>
      </c>
      <c r="AW23" s="341">
        <v>0</v>
      </c>
      <c r="AX23" s="341">
        <v>0</v>
      </c>
      <c r="AY23" s="341">
        <v>0</v>
      </c>
      <c r="AZ23" s="341">
        <v>0</v>
      </c>
      <c r="BB23" s="340" t="s">
        <v>406</v>
      </c>
      <c r="BC23" s="340" t="s">
        <v>375</v>
      </c>
    </row>
    <row r="24" spans="1:55" ht="15.75" customHeight="1">
      <c r="A24" s="15"/>
      <c r="B24" s="20"/>
      <c r="C24" s="15"/>
      <c r="D24" s="340" t="s">
        <v>132</v>
      </c>
      <c r="E24" s="340" t="s">
        <v>107</v>
      </c>
      <c r="F24" s="341">
        <v>0</v>
      </c>
      <c r="G24" s="341">
        <v>90.3</v>
      </c>
      <c r="H24" s="341">
        <v>2.85</v>
      </c>
      <c r="I24" s="341">
        <v>32.6</v>
      </c>
      <c r="J24" s="341">
        <v>1.2</v>
      </c>
      <c r="K24" s="341">
        <v>0</v>
      </c>
      <c r="L24" s="341">
        <v>0</v>
      </c>
      <c r="M24" s="341">
        <v>0</v>
      </c>
      <c r="N24" s="341">
        <v>1.7</v>
      </c>
      <c r="O24" s="341">
        <v>36.1</v>
      </c>
      <c r="P24" s="341">
        <v>22.1</v>
      </c>
      <c r="Q24" s="341">
        <v>0</v>
      </c>
      <c r="R24" s="341">
        <v>6.5</v>
      </c>
      <c r="S24" s="341">
        <v>0.4</v>
      </c>
      <c r="T24" s="341">
        <v>0.83</v>
      </c>
      <c r="U24" s="341">
        <v>0.55000000000000004</v>
      </c>
      <c r="V24" s="341">
        <v>1.22</v>
      </c>
      <c r="W24" s="341">
        <v>0.09</v>
      </c>
      <c r="X24" s="341">
        <v>0</v>
      </c>
      <c r="Y24" s="341">
        <v>0.37</v>
      </c>
      <c r="Z24" s="341">
        <v>0</v>
      </c>
      <c r="AA24" s="341">
        <v>19</v>
      </c>
      <c r="AB24" s="341">
        <v>0</v>
      </c>
      <c r="AC24" s="341">
        <v>369</v>
      </c>
      <c r="AD24" s="341">
        <v>39</v>
      </c>
      <c r="AE24" s="341">
        <v>1.05</v>
      </c>
      <c r="AF24" s="341">
        <v>69</v>
      </c>
      <c r="AG24" s="341">
        <v>0</v>
      </c>
      <c r="AH24" s="341">
        <v>0</v>
      </c>
      <c r="AI24" s="341">
        <v>0</v>
      </c>
      <c r="AJ24" s="341">
        <v>0</v>
      </c>
      <c r="AK24" s="341">
        <v>0</v>
      </c>
      <c r="AL24" s="341">
        <v>0</v>
      </c>
      <c r="AM24" s="341">
        <v>0</v>
      </c>
      <c r="AN24" s="341">
        <v>0</v>
      </c>
      <c r="AO24" s="341">
        <v>0</v>
      </c>
      <c r="AP24" s="341">
        <v>0</v>
      </c>
      <c r="AQ24" s="341">
        <v>0</v>
      </c>
      <c r="AR24" s="341">
        <v>0</v>
      </c>
      <c r="AS24" s="341">
        <v>0</v>
      </c>
      <c r="AT24" s="341">
        <v>0</v>
      </c>
      <c r="AU24" s="341">
        <v>0</v>
      </c>
      <c r="AV24" s="341">
        <v>0</v>
      </c>
      <c r="AW24" s="341">
        <v>0</v>
      </c>
      <c r="AX24" s="341">
        <v>0</v>
      </c>
      <c r="AY24" s="341">
        <v>0</v>
      </c>
      <c r="AZ24" s="341">
        <v>0</v>
      </c>
      <c r="BB24" s="340" t="s">
        <v>407</v>
      </c>
      <c r="BC24" s="340" t="s">
        <v>375</v>
      </c>
    </row>
    <row r="25" spans="1:55" ht="15.75" customHeight="1">
      <c r="A25" s="15"/>
      <c r="B25" s="20"/>
      <c r="C25" s="15"/>
      <c r="D25" s="340" t="s">
        <v>133</v>
      </c>
      <c r="E25" s="340" t="s">
        <v>107</v>
      </c>
      <c r="F25" s="341">
        <v>0</v>
      </c>
      <c r="G25" s="341">
        <v>92</v>
      </c>
      <c r="H25" s="341">
        <v>4.07</v>
      </c>
      <c r="I25" s="341">
        <v>71.2</v>
      </c>
      <c r="J25" s="341">
        <v>5.63</v>
      </c>
      <c r="K25" s="341">
        <v>0</v>
      </c>
      <c r="L25" s="341">
        <v>0</v>
      </c>
      <c r="M25" s="341">
        <v>0</v>
      </c>
      <c r="N25" s="341">
        <v>4.5999999999999996</v>
      </c>
      <c r="O25" s="341">
        <v>0</v>
      </c>
      <c r="P25" s="341">
        <v>0</v>
      </c>
      <c r="Q25" s="341">
        <v>0</v>
      </c>
      <c r="R25" s="341">
        <v>16</v>
      </c>
      <c r="S25" s="341">
        <v>4.0599999999999996</v>
      </c>
      <c r="T25" s="341">
        <v>2.69</v>
      </c>
      <c r="U25" s="341">
        <v>0.27</v>
      </c>
      <c r="V25" s="341">
        <v>0.79</v>
      </c>
      <c r="W25" s="341">
        <v>0.96</v>
      </c>
      <c r="X25" s="341">
        <v>0.8</v>
      </c>
      <c r="Y25" s="341">
        <v>0.78</v>
      </c>
      <c r="Z25" s="341">
        <v>0</v>
      </c>
      <c r="AA25" s="341">
        <v>10</v>
      </c>
      <c r="AB25" s="341">
        <v>3.41</v>
      </c>
      <c r="AC25" s="341">
        <v>234</v>
      </c>
      <c r="AD25" s="341">
        <v>12</v>
      </c>
      <c r="AE25" s="341">
        <v>1.47</v>
      </c>
      <c r="AF25" s="341">
        <v>114</v>
      </c>
      <c r="AG25" s="341">
        <v>0</v>
      </c>
      <c r="AH25" s="341">
        <v>0</v>
      </c>
      <c r="AI25" s="341">
        <v>0</v>
      </c>
      <c r="AJ25" s="341">
        <v>0</v>
      </c>
      <c r="AK25" s="341">
        <v>0</v>
      </c>
      <c r="AL25" s="341">
        <v>0</v>
      </c>
      <c r="AM25" s="341">
        <v>0</v>
      </c>
      <c r="AN25" s="341">
        <v>0</v>
      </c>
      <c r="AO25" s="341">
        <v>0</v>
      </c>
      <c r="AP25" s="341">
        <v>0</v>
      </c>
      <c r="AQ25" s="341">
        <v>0</v>
      </c>
      <c r="AR25" s="341">
        <v>0</v>
      </c>
      <c r="AS25" s="341">
        <v>0</v>
      </c>
      <c r="AT25" s="341">
        <v>0</v>
      </c>
      <c r="AU25" s="341">
        <v>0</v>
      </c>
      <c r="AV25" s="341">
        <v>0</v>
      </c>
      <c r="AW25" s="341">
        <v>0</v>
      </c>
      <c r="AX25" s="341">
        <v>0</v>
      </c>
      <c r="AY25" s="341">
        <v>0</v>
      </c>
      <c r="AZ25" s="341">
        <v>0</v>
      </c>
      <c r="BB25" s="340" t="s">
        <v>392</v>
      </c>
      <c r="BC25" s="340" t="s">
        <v>408</v>
      </c>
    </row>
    <row r="26" spans="1:55" ht="15.75" customHeight="1">
      <c r="A26" s="15"/>
      <c r="B26" s="20"/>
      <c r="C26" s="15"/>
      <c r="D26" s="340" t="s">
        <v>134</v>
      </c>
      <c r="E26" s="340" t="s">
        <v>107</v>
      </c>
      <c r="F26" s="341">
        <v>0</v>
      </c>
      <c r="G26" s="341">
        <v>91.2</v>
      </c>
      <c r="H26" s="341">
        <v>4.07</v>
      </c>
      <c r="I26" s="341">
        <v>68.5</v>
      </c>
      <c r="J26" s="341">
        <v>5.24</v>
      </c>
      <c r="K26" s="341">
        <v>0</v>
      </c>
      <c r="L26" s="341">
        <v>0</v>
      </c>
      <c r="M26" s="341">
        <v>0</v>
      </c>
      <c r="N26" s="341">
        <v>10.4</v>
      </c>
      <c r="O26" s="341">
        <v>0</v>
      </c>
      <c r="P26" s="341">
        <v>0</v>
      </c>
      <c r="Q26" s="341">
        <v>0</v>
      </c>
      <c r="R26" s="341">
        <v>19.7</v>
      </c>
      <c r="S26" s="341">
        <v>5.34</v>
      </c>
      <c r="T26" s="341">
        <v>3.05</v>
      </c>
      <c r="U26" s="341">
        <v>0.2</v>
      </c>
      <c r="V26" s="341">
        <v>0.74</v>
      </c>
      <c r="W26" s="341">
        <v>0.68</v>
      </c>
      <c r="X26" s="341">
        <v>0.8</v>
      </c>
      <c r="Y26" s="341">
        <v>1.1599999999999999</v>
      </c>
      <c r="Z26" s="341">
        <v>0</v>
      </c>
      <c r="AA26" s="341">
        <v>7</v>
      </c>
      <c r="AB26" s="341">
        <v>1.19</v>
      </c>
      <c r="AC26" s="341">
        <v>562</v>
      </c>
      <c r="AD26" s="341">
        <v>32</v>
      </c>
      <c r="AE26" s="341">
        <v>226</v>
      </c>
      <c r="AF26" s="341">
        <v>112</v>
      </c>
      <c r="AG26" s="341">
        <v>0</v>
      </c>
      <c r="AH26" s="341">
        <v>0</v>
      </c>
      <c r="AI26" s="341">
        <v>0</v>
      </c>
      <c r="AJ26" s="341">
        <v>0</v>
      </c>
      <c r="AK26" s="341">
        <v>0</v>
      </c>
      <c r="AL26" s="341">
        <v>0</v>
      </c>
      <c r="AM26" s="341">
        <v>0</v>
      </c>
      <c r="AN26" s="341">
        <v>0</v>
      </c>
      <c r="AO26" s="341">
        <v>0</v>
      </c>
      <c r="AP26" s="341">
        <v>0</v>
      </c>
      <c r="AQ26" s="341">
        <v>0</v>
      </c>
      <c r="AR26" s="341">
        <v>0</v>
      </c>
      <c r="AS26" s="341">
        <v>0</v>
      </c>
      <c r="AT26" s="341">
        <v>0</v>
      </c>
      <c r="AU26" s="341">
        <v>0</v>
      </c>
      <c r="AV26" s="341">
        <v>0</v>
      </c>
      <c r="AW26" s="341">
        <v>0</v>
      </c>
      <c r="AX26" s="341">
        <v>0</v>
      </c>
      <c r="AY26" s="341">
        <v>0</v>
      </c>
      <c r="AZ26" s="341">
        <v>0</v>
      </c>
      <c r="BB26" s="340" t="s">
        <v>393</v>
      </c>
      <c r="BC26" s="340" t="s">
        <v>409</v>
      </c>
    </row>
    <row r="27" spans="1:55" ht="15.75" customHeight="1">
      <c r="A27" s="15"/>
      <c r="B27" s="20"/>
      <c r="C27" s="15"/>
      <c r="D27" s="340" t="s">
        <v>135</v>
      </c>
      <c r="E27" s="340" t="s">
        <v>107</v>
      </c>
      <c r="F27" s="341">
        <v>0</v>
      </c>
      <c r="G27" s="341">
        <v>93.5</v>
      </c>
      <c r="H27" s="341">
        <v>1.92</v>
      </c>
      <c r="I27" s="341">
        <v>29</v>
      </c>
      <c r="J27" s="341">
        <v>0.92</v>
      </c>
      <c r="K27" s="341">
        <v>0</v>
      </c>
      <c r="L27" s="341">
        <v>0</v>
      </c>
      <c r="M27" s="341">
        <v>0</v>
      </c>
      <c r="N27" s="341">
        <v>2.4</v>
      </c>
      <c r="O27" s="341">
        <v>53.8</v>
      </c>
      <c r="P27" s="341">
        <v>39.1</v>
      </c>
      <c r="Q27" s="341">
        <v>0</v>
      </c>
      <c r="R27" s="341">
        <v>4.7</v>
      </c>
      <c r="S27" s="341">
        <v>0.38</v>
      </c>
      <c r="T27" s="341">
        <v>0.72</v>
      </c>
      <c r="U27" s="341">
        <v>0.39</v>
      </c>
      <c r="V27" s="341">
        <v>1.21</v>
      </c>
      <c r="W27" s="341">
        <v>0.04</v>
      </c>
      <c r="X27" s="341">
        <v>0</v>
      </c>
      <c r="Y27" s="341">
        <v>0.32</v>
      </c>
      <c r="Z27" s="341">
        <v>0</v>
      </c>
      <c r="AA27" s="341">
        <v>22</v>
      </c>
      <c r="AB27" s="341">
        <v>0</v>
      </c>
      <c r="AC27" s="341">
        <v>319</v>
      </c>
      <c r="AD27" s="341">
        <v>30</v>
      </c>
      <c r="AE27" s="341">
        <v>0</v>
      </c>
      <c r="AF27" s="341">
        <v>77</v>
      </c>
      <c r="AG27" s="341">
        <v>0</v>
      </c>
      <c r="AH27" s="341">
        <v>0</v>
      </c>
      <c r="AI27" s="341">
        <v>0</v>
      </c>
      <c r="AJ27" s="341">
        <v>0</v>
      </c>
      <c r="AK27" s="341">
        <v>0</v>
      </c>
      <c r="AL27" s="341">
        <v>0</v>
      </c>
      <c r="AM27" s="341">
        <v>0</v>
      </c>
      <c r="AN27" s="341">
        <v>0</v>
      </c>
      <c r="AO27" s="341">
        <v>0</v>
      </c>
      <c r="AP27" s="341">
        <v>0</v>
      </c>
      <c r="AQ27" s="341">
        <v>0</v>
      </c>
      <c r="AR27" s="341">
        <v>0</v>
      </c>
      <c r="AS27" s="341">
        <v>0</v>
      </c>
      <c r="AT27" s="341">
        <v>0</v>
      </c>
      <c r="AU27" s="341">
        <v>0</v>
      </c>
      <c r="AV27" s="341">
        <v>0</v>
      </c>
      <c r="AW27" s="341">
        <v>0</v>
      </c>
      <c r="AX27" s="341">
        <v>0</v>
      </c>
      <c r="AY27" s="341">
        <v>0</v>
      </c>
      <c r="AZ27" s="341">
        <v>0</v>
      </c>
      <c r="BB27" s="340" t="s">
        <v>394</v>
      </c>
      <c r="BC27" s="340" t="s">
        <v>409</v>
      </c>
    </row>
    <row r="28" spans="1:55" ht="15.75" customHeight="1">
      <c r="A28" s="15"/>
      <c r="B28" s="20"/>
      <c r="C28" s="15"/>
      <c r="D28" s="340" t="s">
        <v>136</v>
      </c>
      <c r="E28" s="340" t="s">
        <v>107</v>
      </c>
      <c r="F28" s="341">
        <v>0</v>
      </c>
      <c r="G28" s="341">
        <v>89.5</v>
      </c>
      <c r="H28" s="341">
        <v>3.4</v>
      </c>
      <c r="I28" s="341">
        <v>18.5</v>
      </c>
      <c r="J28" s="341">
        <v>0.67</v>
      </c>
      <c r="K28" s="341">
        <v>0</v>
      </c>
      <c r="L28" s="341">
        <v>0</v>
      </c>
      <c r="M28" s="341">
        <v>0</v>
      </c>
      <c r="N28" s="341">
        <v>4.5</v>
      </c>
      <c r="O28" s="341">
        <v>36.700000000000003</v>
      </c>
      <c r="P28" s="341">
        <v>12.1</v>
      </c>
      <c r="Q28" s="341">
        <v>0</v>
      </c>
      <c r="R28" s="341">
        <v>5</v>
      </c>
      <c r="S28" s="341">
        <v>0.16</v>
      </c>
      <c r="T28" s="341">
        <v>1.02</v>
      </c>
      <c r="U28" s="341">
        <v>0.42</v>
      </c>
      <c r="V28" s="341">
        <v>1.38</v>
      </c>
      <c r="W28" s="341">
        <v>0.03</v>
      </c>
      <c r="X28" s="341">
        <v>0.1</v>
      </c>
      <c r="Y28" s="341">
        <v>0.18</v>
      </c>
      <c r="Z28" s="341">
        <v>0</v>
      </c>
      <c r="AA28" s="341">
        <v>10</v>
      </c>
      <c r="AB28" s="341">
        <v>0</v>
      </c>
      <c r="AC28" s="341">
        <v>158</v>
      </c>
      <c r="AD28" s="341">
        <v>125</v>
      </c>
      <c r="AE28" s="341">
        <v>0.46</v>
      </c>
      <c r="AF28" s="341">
        <v>9</v>
      </c>
      <c r="AG28" s="341">
        <v>0</v>
      </c>
      <c r="AH28" s="341">
        <v>0</v>
      </c>
      <c r="AI28" s="341">
        <v>0</v>
      </c>
      <c r="AJ28" s="341">
        <v>0</v>
      </c>
      <c r="AK28" s="341">
        <v>0</v>
      </c>
      <c r="AL28" s="341">
        <v>0</v>
      </c>
      <c r="AM28" s="341">
        <v>0</v>
      </c>
      <c r="AN28" s="341">
        <v>0</v>
      </c>
      <c r="AO28" s="341">
        <v>0</v>
      </c>
      <c r="AP28" s="341">
        <v>0</v>
      </c>
      <c r="AQ28" s="341">
        <v>0</v>
      </c>
      <c r="AR28" s="341">
        <v>0</v>
      </c>
      <c r="AS28" s="341">
        <v>0</v>
      </c>
      <c r="AT28" s="341">
        <v>0</v>
      </c>
      <c r="AU28" s="341">
        <v>0</v>
      </c>
      <c r="AV28" s="341">
        <v>0</v>
      </c>
      <c r="AW28" s="341">
        <v>0</v>
      </c>
      <c r="AX28" s="341">
        <v>0</v>
      </c>
      <c r="AY28" s="341">
        <v>0</v>
      </c>
      <c r="AZ28" s="341">
        <v>0</v>
      </c>
      <c r="BB28" s="340" t="s">
        <v>395</v>
      </c>
      <c r="BC28" s="340" t="s">
        <v>375</v>
      </c>
    </row>
    <row r="29" spans="1:55" ht="15.75" customHeight="1">
      <c r="A29" s="15"/>
      <c r="B29" s="20"/>
      <c r="C29" s="15"/>
      <c r="D29" s="340" t="s">
        <v>137</v>
      </c>
      <c r="E29" s="340" t="s">
        <v>105</v>
      </c>
      <c r="F29" s="341">
        <v>0</v>
      </c>
      <c r="G29" s="341">
        <v>88</v>
      </c>
      <c r="H29" s="341">
        <v>2.2000000000000002</v>
      </c>
      <c r="I29" s="341">
        <v>17</v>
      </c>
      <c r="J29" s="341">
        <v>0.8</v>
      </c>
      <c r="K29" s="341">
        <v>0</v>
      </c>
      <c r="L29" s="341">
        <v>0</v>
      </c>
      <c r="M29" s="341">
        <v>0</v>
      </c>
      <c r="N29" s="341">
        <v>0</v>
      </c>
      <c r="O29" s="341">
        <v>0</v>
      </c>
      <c r="P29" s="341">
        <v>0</v>
      </c>
      <c r="Q29" s="341">
        <v>0</v>
      </c>
      <c r="R29" s="341">
        <v>6</v>
      </c>
      <c r="S29" s="341">
        <v>1.2</v>
      </c>
      <c r="T29" s="341">
        <v>0.24</v>
      </c>
      <c r="U29" s="341">
        <v>0</v>
      </c>
      <c r="V29" s="341">
        <v>2</v>
      </c>
      <c r="W29" s="341">
        <v>0.1</v>
      </c>
      <c r="X29" s="341">
        <v>0.65</v>
      </c>
      <c r="Y29" s="341">
        <v>0</v>
      </c>
      <c r="Z29" s="341">
        <v>0</v>
      </c>
      <c r="AA29" s="341">
        <v>0</v>
      </c>
      <c r="AB29" s="341">
        <v>0</v>
      </c>
      <c r="AC29" s="341">
        <v>0</v>
      </c>
      <c r="AD29" s="341">
        <v>0</v>
      </c>
      <c r="AE29" s="341">
        <v>0</v>
      </c>
      <c r="AF29" s="341">
        <v>0</v>
      </c>
      <c r="AG29" s="341">
        <v>0</v>
      </c>
      <c r="AH29" s="341">
        <v>0</v>
      </c>
      <c r="AI29" s="341">
        <v>0</v>
      </c>
      <c r="AJ29" s="341">
        <v>0</v>
      </c>
      <c r="AK29" s="341">
        <v>0</v>
      </c>
      <c r="AL29" s="341">
        <v>0</v>
      </c>
      <c r="AM29" s="341">
        <v>0</v>
      </c>
      <c r="AN29" s="341">
        <v>0</v>
      </c>
      <c r="AO29" s="341">
        <v>0</v>
      </c>
      <c r="AP29" s="341">
        <v>0</v>
      </c>
      <c r="AQ29" s="341">
        <v>0</v>
      </c>
      <c r="AR29" s="341">
        <v>0</v>
      </c>
      <c r="AS29" s="341">
        <v>0</v>
      </c>
      <c r="AT29" s="341">
        <v>0</v>
      </c>
      <c r="AU29" s="341">
        <v>0</v>
      </c>
      <c r="AV29" s="341">
        <v>0</v>
      </c>
      <c r="AW29" s="341">
        <v>0</v>
      </c>
      <c r="AX29" s="341">
        <v>0</v>
      </c>
      <c r="AY29" s="341">
        <v>0</v>
      </c>
      <c r="AZ29" s="341">
        <v>0</v>
      </c>
      <c r="BB29" s="340" t="s">
        <v>396</v>
      </c>
      <c r="BC29" s="340" t="s">
        <v>375</v>
      </c>
    </row>
    <row r="30" spans="1:55" ht="15.75" customHeight="1">
      <c r="A30" s="15"/>
      <c r="B30" s="20"/>
      <c r="C30" s="15"/>
      <c r="D30" s="340" t="s">
        <v>138</v>
      </c>
      <c r="E30" s="340" t="s">
        <v>105</v>
      </c>
      <c r="F30" s="341">
        <v>0</v>
      </c>
      <c r="G30" s="341">
        <v>87.1</v>
      </c>
      <c r="H30" s="341">
        <v>1.87</v>
      </c>
      <c r="I30" s="341">
        <v>10.4</v>
      </c>
      <c r="J30" s="341">
        <v>0.36</v>
      </c>
      <c r="K30" s="341">
        <v>0</v>
      </c>
      <c r="L30" s="341">
        <v>0</v>
      </c>
      <c r="M30" s="341">
        <v>0</v>
      </c>
      <c r="N30" s="341">
        <v>2.7</v>
      </c>
      <c r="O30" s="341">
        <v>73.3</v>
      </c>
      <c r="P30" s="341">
        <v>36.799999999999997</v>
      </c>
      <c r="Q30" s="341">
        <v>0</v>
      </c>
      <c r="R30" s="341">
        <v>8.1</v>
      </c>
      <c r="S30" s="341">
        <v>0.49</v>
      </c>
      <c r="T30" s="341">
        <v>0.27</v>
      </c>
      <c r="U30" s="341">
        <v>0.19</v>
      </c>
      <c r="V30" s="341">
        <v>1.8</v>
      </c>
      <c r="W30" s="341">
        <v>0.17</v>
      </c>
      <c r="X30" s="341">
        <v>0.67</v>
      </c>
      <c r="Y30" s="341">
        <v>0.48</v>
      </c>
      <c r="Z30" s="341">
        <v>0</v>
      </c>
      <c r="AA30" s="341">
        <v>8</v>
      </c>
      <c r="AB30" s="341">
        <v>0</v>
      </c>
      <c r="AC30" s="341">
        <v>224</v>
      </c>
      <c r="AD30" s="341">
        <v>62</v>
      </c>
      <c r="AE30" s="341">
        <v>0</v>
      </c>
      <c r="AF30" s="341">
        <v>32</v>
      </c>
      <c r="AG30" s="341">
        <v>0</v>
      </c>
      <c r="AH30" s="341">
        <v>0</v>
      </c>
      <c r="AI30" s="341">
        <v>0</v>
      </c>
      <c r="AJ30" s="341">
        <v>0</v>
      </c>
      <c r="AK30" s="341">
        <v>0</v>
      </c>
      <c r="AL30" s="341">
        <v>0</v>
      </c>
      <c r="AM30" s="341">
        <v>0</v>
      </c>
      <c r="AN30" s="341">
        <v>0</v>
      </c>
      <c r="AO30" s="341">
        <v>0</v>
      </c>
      <c r="AP30" s="341">
        <v>0</v>
      </c>
      <c r="AQ30" s="341">
        <v>0</v>
      </c>
      <c r="AR30" s="341">
        <v>0</v>
      </c>
      <c r="AS30" s="341">
        <v>0</v>
      </c>
      <c r="AT30" s="341">
        <v>0</v>
      </c>
      <c r="AU30" s="341">
        <v>0</v>
      </c>
      <c r="AV30" s="341">
        <v>0</v>
      </c>
      <c r="AW30" s="341">
        <v>0</v>
      </c>
      <c r="AX30" s="341">
        <v>0</v>
      </c>
      <c r="AY30" s="341">
        <v>0</v>
      </c>
      <c r="AZ30" s="341">
        <v>0</v>
      </c>
      <c r="BB30" s="340" t="s">
        <v>397</v>
      </c>
      <c r="BC30" s="340" t="s">
        <v>375</v>
      </c>
    </row>
    <row r="31" spans="1:55" ht="15.75" customHeight="1">
      <c r="A31" s="15"/>
      <c r="B31" s="20"/>
      <c r="C31" s="15"/>
      <c r="D31" s="340" t="s">
        <v>139</v>
      </c>
      <c r="E31" s="340" t="s">
        <v>105</v>
      </c>
      <c r="F31" s="341">
        <v>0</v>
      </c>
      <c r="G31" s="341">
        <v>87.3</v>
      </c>
      <c r="H31" s="341">
        <v>1.86</v>
      </c>
      <c r="I31" s="341">
        <v>13.7</v>
      </c>
      <c r="J31" s="341">
        <v>0.48</v>
      </c>
      <c r="K31" s="341">
        <v>0</v>
      </c>
      <c r="L31" s="341">
        <v>0</v>
      </c>
      <c r="M31" s="341">
        <v>0</v>
      </c>
      <c r="N31" s="341">
        <v>2.7</v>
      </c>
      <c r="O31" s="341">
        <v>76.900000000000006</v>
      </c>
      <c r="P31" s="341">
        <v>36.200000000000003</v>
      </c>
      <c r="Q31" s="341">
        <v>0</v>
      </c>
      <c r="R31" s="341">
        <v>6.5</v>
      </c>
      <c r="S31" s="341">
        <v>0.39</v>
      </c>
      <c r="T31" s="341">
        <v>0.22</v>
      </c>
      <c r="U31" s="341">
        <v>0.15</v>
      </c>
      <c r="V31" s="341">
        <v>1.4</v>
      </c>
      <c r="W31" s="341">
        <v>0.14000000000000001</v>
      </c>
      <c r="X31" s="341">
        <v>0.54</v>
      </c>
      <c r="Y31" s="341">
        <v>0.38</v>
      </c>
      <c r="Z31" s="341">
        <v>0</v>
      </c>
      <c r="AA31" s="341">
        <v>8</v>
      </c>
      <c r="AB31" s="341">
        <v>0</v>
      </c>
      <c r="AC31" s="341">
        <v>224</v>
      </c>
      <c r="AD31" s="341">
        <v>62</v>
      </c>
      <c r="AE31" s="341">
        <v>0</v>
      </c>
      <c r="AF31" s="341">
        <v>32</v>
      </c>
      <c r="AG31" s="341">
        <v>0</v>
      </c>
      <c r="AH31" s="341">
        <v>0</v>
      </c>
      <c r="AI31" s="341">
        <v>0</v>
      </c>
      <c r="AJ31" s="341">
        <v>0</v>
      </c>
      <c r="AK31" s="341">
        <v>0</v>
      </c>
      <c r="AL31" s="341">
        <v>0</v>
      </c>
      <c r="AM31" s="341">
        <v>0</v>
      </c>
      <c r="AN31" s="341">
        <v>0</v>
      </c>
      <c r="AO31" s="341">
        <v>0</v>
      </c>
      <c r="AP31" s="341">
        <v>0</v>
      </c>
      <c r="AQ31" s="341">
        <v>0</v>
      </c>
      <c r="AR31" s="341">
        <v>0</v>
      </c>
      <c r="AS31" s="341">
        <v>0</v>
      </c>
      <c r="AT31" s="341">
        <v>0</v>
      </c>
      <c r="AU31" s="341">
        <v>0</v>
      </c>
      <c r="AV31" s="341">
        <v>0</v>
      </c>
      <c r="AW31" s="341">
        <v>0</v>
      </c>
      <c r="AX31" s="341">
        <v>0</v>
      </c>
      <c r="AY31" s="341">
        <v>0</v>
      </c>
      <c r="AZ31" s="341">
        <v>0</v>
      </c>
      <c r="BB31" s="340" t="s">
        <v>398</v>
      </c>
      <c r="BC31" s="340" t="s">
        <v>375</v>
      </c>
    </row>
    <row r="32" spans="1:55" ht="15.75" customHeight="1">
      <c r="A32" s="15"/>
      <c r="B32" s="20"/>
      <c r="C32" s="15"/>
      <c r="D32" s="340" t="s">
        <v>140</v>
      </c>
      <c r="E32" s="340" t="s">
        <v>105</v>
      </c>
      <c r="F32" s="341">
        <v>0</v>
      </c>
      <c r="G32" s="341">
        <v>84</v>
      </c>
      <c r="H32" s="341">
        <v>2.36</v>
      </c>
      <c r="I32" s="341">
        <v>18</v>
      </c>
      <c r="J32" s="341">
        <v>0.63</v>
      </c>
      <c r="K32" s="341">
        <v>0</v>
      </c>
      <c r="L32" s="341">
        <v>0</v>
      </c>
      <c r="M32" s="341">
        <v>0</v>
      </c>
      <c r="N32" s="341">
        <v>3.3</v>
      </c>
      <c r="O32" s="341">
        <v>49.6</v>
      </c>
      <c r="P32" s="341">
        <v>31.4</v>
      </c>
      <c r="Q32" s="341">
        <v>0</v>
      </c>
      <c r="R32" s="341">
        <v>9.1999999999999993</v>
      </c>
      <c r="S32" s="341">
        <v>0.72</v>
      </c>
      <c r="T32" s="341">
        <v>0.34</v>
      </c>
      <c r="U32" s="341">
        <v>0.23</v>
      </c>
      <c r="V32" s="341">
        <v>2.57</v>
      </c>
      <c r="W32" s="341">
        <v>0.03</v>
      </c>
      <c r="X32" s="341">
        <v>0.42</v>
      </c>
      <c r="Y32" s="341">
        <v>0.24</v>
      </c>
      <c r="Z32" s="341">
        <v>0</v>
      </c>
      <c r="AA32" s="341">
        <v>9</v>
      </c>
      <c r="AB32" s="341">
        <v>0</v>
      </c>
      <c r="AC32" s="341">
        <v>199</v>
      </c>
      <c r="AD32" s="341">
        <v>84</v>
      </c>
      <c r="AE32" s="341">
        <v>0.06</v>
      </c>
      <c r="AF32" s="341">
        <v>27</v>
      </c>
      <c r="AG32" s="341">
        <v>0</v>
      </c>
      <c r="AH32" s="341">
        <v>0</v>
      </c>
      <c r="AI32" s="341">
        <v>0</v>
      </c>
      <c r="AJ32" s="341">
        <v>0</v>
      </c>
      <c r="AK32" s="341">
        <v>0</v>
      </c>
      <c r="AL32" s="341">
        <v>0</v>
      </c>
      <c r="AM32" s="341">
        <v>0</v>
      </c>
      <c r="AN32" s="341">
        <v>0</v>
      </c>
      <c r="AO32" s="341">
        <v>0</v>
      </c>
      <c r="AP32" s="341">
        <v>0</v>
      </c>
      <c r="AQ32" s="341">
        <v>0</v>
      </c>
      <c r="AR32" s="341">
        <v>0</v>
      </c>
      <c r="AS32" s="341">
        <v>0</v>
      </c>
      <c r="AT32" s="341">
        <v>0</v>
      </c>
      <c r="AU32" s="341">
        <v>0</v>
      </c>
      <c r="AV32" s="341">
        <v>0</v>
      </c>
      <c r="AW32" s="341">
        <v>0</v>
      </c>
      <c r="AX32" s="341">
        <v>0</v>
      </c>
      <c r="AY32" s="341">
        <v>0</v>
      </c>
      <c r="AZ32" s="341">
        <v>0</v>
      </c>
      <c r="BB32" s="340" t="s">
        <v>399</v>
      </c>
      <c r="BC32" s="340" t="s">
        <v>375</v>
      </c>
    </row>
    <row r="33" spans="1:55" ht="15.75" customHeight="1">
      <c r="A33" s="15"/>
      <c r="B33" s="20"/>
      <c r="C33" s="15"/>
      <c r="D33" s="340" t="s">
        <v>141</v>
      </c>
      <c r="E33" s="340" t="s">
        <v>105</v>
      </c>
      <c r="F33" s="341">
        <v>0</v>
      </c>
      <c r="G33" s="341">
        <v>83.9</v>
      </c>
      <c r="H33" s="341">
        <v>2.4300000000000002</v>
      </c>
      <c r="I33" s="341">
        <v>20.8</v>
      </c>
      <c r="J33" s="341">
        <v>1.06</v>
      </c>
      <c r="K33" s="341">
        <v>0</v>
      </c>
      <c r="L33" s="341">
        <v>0</v>
      </c>
      <c r="M33" s="341">
        <v>0</v>
      </c>
      <c r="N33" s="341">
        <v>2</v>
      </c>
      <c r="O33" s="341">
        <v>42.9</v>
      </c>
      <c r="P33" s="341">
        <v>33.4</v>
      </c>
      <c r="Q33" s="341">
        <v>0</v>
      </c>
      <c r="R33" s="341">
        <v>9.4</v>
      </c>
      <c r="S33" s="341">
        <v>1.37</v>
      </c>
      <c r="T33" s="341">
        <v>0.3</v>
      </c>
      <c r="U33" s="341">
        <v>0.3</v>
      </c>
      <c r="V33" s="341">
        <v>2.4500000000000002</v>
      </c>
      <c r="W33" s="341">
        <v>0.02</v>
      </c>
      <c r="X33" s="341">
        <v>0.61</v>
      </c>
      <c r="Y33" s="341">
        <v>0.31</v>
      </c>
      <c r="Z33" s="341">
        <v>0.65</v>
      </c>
      <c r="AA33" s="341">
        <v>9</v>
      </c>
      <c r="AB33" s="341">
        <v>0</v>
      </c>
      <c r="AC33" s="341">
        <v>207</v>
      </c>
      <c r="AD33" s="341">
        <v>46</v>
      </c>
      <c r="AE33" s="341">
        <v>0.2</v>
      </c>
      <c r="AF33" s="341">
        <v>24</v>
      </c>
      <c r="AG33" s="341">
        <v>0</v>
      </c>
      <c r="AH33" s="341">
        <v>0</v>
      </c>
      <c r="AI33" s="341">
        <v>0</v>
      </c>
      <c r="AJ33" s="341">
        <v>0</v>
      </c>
      <c r="AK33" s="341">
        <v>0</v>
      </c>
      <c r="AL33" s="341">
        <v>0</v>
      </c>
      <c r="AM33" s="341">
        <v>0</v>
      </c>
      <c r="AN33" s="341">
        <v>0</v>
      </c>
      <c r="AO33" s="341">
        <v>0</v>
      </c>
      <c r="AP33" s="341">
        <v>0</v>
      </c>
      <c r="AQ33" s="341">
        <v>0</v>
      </c>
      <c r="AR33" s="341">
        <v>0</v>
      </c>
      <c r="AS33" s="341">
        <v>0</v>
      </c>
      <c r="AT33" s="341">
        <v>0</v>
      </c>
      <c r="AU33" s="341">
        <v>0</v>
      </c>
      <c r="AV33" s="341">
        <v>0</v>
      </c>
      <c r="AW33" s="341">
        <v>0</v>
      </c>
      <c r="AX33" s="341">
        <v>0</v>
      </c>
      <c r="AY33" s="341">
        <v>0</v>
      </c>
      <c r="AZ33" s="341">
        <v>0</v>
      </c>
      <c r="BB33" s="340" t="s">
        <v>400</v>
      </c>
      <c r="BC33" s="340" t="s">
        <v>375</v>
      </c>
    </row>
    <row r="34" spans="1:55" ht="15.75" customHeight="1">
      <c r="A34" s="15"/>
      <c r="B34" s="20"/>
      <c r="C34" s="15"/>
      <c r="D34" s="340" t="s">
        <v>142</v>
      </c>
      <c r="E34" s="340" t="s">
        <v>105</v>
      </c>
      <c r="F34" s="341">
        <v>0</v>
      </c>
      <c r="G34" s="341">
        <v>86.1</v>
      </c>
      <c r="H34" s="341">
        <v>2.14</v>
      </c>
      <c r="I34" s="341">
        <v>9.4</v>
      </c>
      <c r="J34" s="341">
        <v>0.4</v>
      </c>
      <c r="K34" s="341">
        <v>0</v>
      </c>
      <c r="L34" s="341">
        <v>0</v>
      </c>
      <c r="M34" s="341">
        <v>0</v>
      </c>
      <c r="N34" s="341">
        <v>1.7</v>
      </c>
      <c r="O34" s="341">
        <v>61.1</v>
      </c>
      <c r="P34" s="341">
        <v>38.1</v>
      </c>
      <c r="Q34" s="341">
        <v>0</v>
      </c>
      <c r="R34" s="341">
        <v>6.7</v>
      </c>
      <c r="S34" s="341">
        <v>0.31</v>
      </c>
      <c r="T34" s="341">
        <v>0.2</v>
      </c>
      <c r="U34" s="341">
        <v>0.13</v>
      </c>
      <c r="V34" s="341">
        <v>1.71</v>
      </c>
      <c r="W34" s="341">
        <v>0.06</v>
      </c>
      <c r="X34" s="341">
        <v>0.38</v>
      </c>
      <c r="Y34" s="341">
        <v>0.13</v>
      </c>
      <c r="Z34" s="341">
        <v>0</v>
      </c>
      <c r="AA34" s="341">
        <v>8</v>
      </c>
      <c r="AB34" s="341">
        <v>0</v>
      </c>
      <c r="AC34" s="341">
        <v>319</v>
      </c>
      <c r="AD34" s="341">
        <v>62</v>
      </c>
      <c r="AE34" s="341">
        <v>0</v>
      </c>
      <c r="AF34" s="341">
        <v>25</v>
      </c>
      <c r="AG34" s="341">
        <v>0</v>
      </c>
      <c r="AH34" s="341">
        <v>0</v>
      </c>
      <c r="AI34" s="341">
        <v>0</v>
      </c>
      <c r="AJ34" s="341">
        <v>0</v>
      </c>
      <c r="AK34" s="341">
        <v>0</v>
      </c>
      <c r="AL34" s="341">
        <v>0</v>
      </c>
      <c r="AM34" s="341">
        <v>0</v>
      </c>
      <c r="AN34" s="341">
        <v>0</v>
      </c>
      <c r="AO34" s="341">
        <v>0</v>
      </c>
      <c r="AP34" s="341">
        <v>0</v>
      </c>
      <c r="AQ34" s="341">
        <v>0</v>
      </c>
      <c r="AR34" s="341">
        <v>0</v>
      </c>
      <c r="AS34" s="341">
        <v>0</v>
      </c>
      <c r="AT34" s="341">
        <v>0</v>
      </c>
      <c r="AU34" s="341">
        <v>0</v>
      </c>
      <c r="AV34" s="341">
        <v>0</v>
      </c>
      <c r="AW34" s="341">
        <v>0</v>
      </c>
      <c r="AX34" s="341">
        <v>0</v>
      </c>
      <c r="AY34" s="341">
        <v>0</v>
      </c>
      <c r="AZ34" s="341">
        <v>0</v>
      </c>
      <c r="BB34" s="340" t="s">
        <v>401</v>
      </c>
      <c r="BC34" s="340" t="s">
        <v>375</v>
      </c>
    </row>
    <row r="35" spans="1:55" ht="15.75" customHeight="1">
      <c r="A35" s="15"/>
      <c r="B35" s="20"/>
      <c r="C35" s="15"/>
      <c r="D35" s="340" t="s">
        <v>143</v>
      </c>
      <c r="E35" s="340" t="s">
        <v>105</v>
      </c>
      <c r="F35" s="341">
        <v>0</v>
      </c>
      <c r="G35" s="341">
        <v>84.2</v>
      </c>
      <c r="H35" s="341">
        <v>2.62</v>
      </c>
      <c r="I35" s="341">
        <v>20.5</v>
      </c>
      <c r="J35" s="341">
        <v>1.05</v>
      </c>
      <c r="K35" s="341">
        <v>0</v>
      </c>
      <c r="L35" s="341">
        <v>0</v>
      </c>
      <c r="M35" s="341">
        <v>0</v>
      </c>
      <c r="N35" s="341">
        <v>2.1</v>
      </c>
      <c r="O35" s="341">
        <v>36.299999999999997</v>
      </c>
      <c r="P35" s="341">
        <v>28.6</v>
      </c>
      <c r="Q35" s="341">
        <v>0</v>
      </c>
      <c r="R35" s="341">
        <v>9.5</v>
      </c>
      <c r="S35" s="341">
        <v>1.56</v>
      </c>
      <c r="T35" s="341">
        <v>0.31</v>
      </c>
      <c r="U35" s="341">
        <v>0.33</v>
      </c>
      <c r="V35" s="341">
        <v>2.56</v>
      </c>
      <c r="W35" s="341">
        <v>0.03</v>
      </c>
      <c r="X35" s="341">
        <v>0.55000000000000004</v>
      </c>
      <c r="Y35" s="341">
        <v>0.33</v>
      </c>
      <c r="Z35" s="341">
        <v>0.65</v>
      </c>
      <c r="AA35" s="341">
        <v>10</v>
      </c>
      <c r="AB35" s="341">
        <v>0</v>
      </c>
      <c r="AC35" s="341">
        <v>213</v>
      </c>
      <c r="AD35" s="341">
        <v>49</v>
      </c>
      <c r="AE35" s="341">
        <v>0.2</v>
      </c>
      <c r="AF35" s="341">
        <v>26</v>
      </c>
      <c r="AG35" s="341">
        <v>0</v>
      </c>
      <c r="AH35" s="341">
        <v>0</v>
      </c>
      <c r="AI35" s="341">
        <v>0</v>
      </c>
      <c r="AJ35" s="341">
        <v>0</v>
      </c>
      <c r="AK35" s="341">
        <v>0</v>
      </c>
      <c r="AL35" s="341">
        <v>0</v>
      </c>
      <c r="AM35" s="341">
        <v>0</v>
      </c>
      <c r="AN35" s="341">
        <v>0</v>
      </c>
      <c r="AO35" s="341">
        <v>0</v>
      </c>
      <c r="AP35" s="341">
        <v>0</v>
      </c>
      <c r="AQ35" s="341">
        <v>0</v>
      </c>
      <c r="AR35" s="341">
        <v>0</v>
      </c>
      <c r="AS35" s="341">
        <v>0</v>
      </c>
      <c r="AT35" s="341">
        <v>0</v>
      </c>
      <c r="AU35" s="341">
        <v>0</v>
      </c>
      <c r="AV35" s="341">
        <v>0</v>
      </c>
      <c r="AW35" s="341">
        <v>0</v>
      </c>
      <c r="AX35" s="341">
        <v>0</v>
      </c>
      <c r="AY35" s="341">
        <v>0</v>
      </c>
      <c r="AZ35" s="341">
        <v>0</v>
      </c>
    </row>
    <row r="36" spans="1:55" ht="15.75" customHeight="1">
      <c r="A36" s="15"/>
      <c r="B36" s="21"/>
      <c r="C36" s="15"/>
      <c r="D36" s="340" t="s">
        <v>144</v>
      </c>
      <c r="E36" s="340" t="s">
        <v>105</v>
      </c>
      <c r="F36" s="341">
        <v>0</v>
      </c>
      <c r="G36" s="341">
        <v>83.8</v>
      </c>
      <c r="H36" s="341">
        <v>2.21</v>
      </c>
      <c r="I36" s="341">
        <v>17.8</v>
      </c>
      <c r="J36" s="341">
        <v>0.89</v>
      </c>
      <c r="K36" s="341">
        <v>0</v>
      </c>
      <c r="L36" s="341">
        <v>0</v>
      </c>
      <c r="M36" s="341">
        <v>0</v>
      </c>
      <c r="N36" s="341">
        <v>1.6</v>
      </c>
      <c r="O36" s="341">
        <v>50.9</v>
      </c>
      <c r="P36" s="341">
        <v>39.5</v>
      </c>
      <c r="Q36" s="341">
        <v>0</v>
      </c>
      <c r="R36" s="341">
        <v>9.1999999999999993</v>
      </c>
      <c r="S36" s="341">
        <v>1.22</v>
      </c>
      <c r="T36" s="341">
        <v>0.28000000000000003</v>
      </c>
      <c r="U36" s="341">
        <v>0.27</v>
      </c>
      <c r="V36" s="341">
        <v>2.38</v>
      </c>
      <c r="W36" s="341">
        <v>0.02</v>
      </c>
      <c r="X36" s="341">
        <v>0.48</v>
      </c>
      <c r="Y36" s="341">
        <v>0.23</v>
      </c>
      <c r="Z36" s="341">
        <v>0.65</v>
      </c>
      <c r="AA36" s="341">
        <v>9</v>
      </c>
      <c r="AB36" s="341">
        <v>0</v>
      </c>
      <c r="AC36" s="341">
        <v>250</v>
      </c>
      <c r="AD36" s="341">
        <v>44</v>
      </c>
      <c r="AE36" s="341">
        <v>0.2</v>
      </c>
      <c r="AF36" s="341">
        <v>24</v>
      </c>
      <c r="AG36" s="341">
        <v>0</v>
      </c>
      <c r="AH36" s="341">
        <v>0</v>
      </c>
      <c r="AI36" s="341">
        <v>0</v>
      </c>
      <c r="AJ36" s="341">
        <v>0</v>
      </c>
      <c r="AK36" s="341">
        <v>0</v>
      </c>
      <c r="AL36" s="341">
        <v>0</v>
      </c>
      <c r="AM36" s="341">
        <v>0</v>
      </c>
      <c r="AN36" s="341">
        <v>0</v>
      </c>
      <c r="AO36" s="341">
        <v>0</v>
      </c>
      <c r="AP36" s="341">
        <v>0</v>
      </c>
      <c r="AQ36" s="341">
        <v>0</v>
      </c>
      <c r="AR36" s="341">
        <v>0</v>
      </c>
      <c r="AS36" s="341">
        <v>0</v>
      </c>
      <c r="AT36" s="341">
        <v>0</v>
      </c>
      <c r="AU36" s="341">
        <v>0</v>
      </c>
      <c r="AV36" s="341">
        <v>0</v>
      </c>
      <c r="AW36" s="341">
        <v>0</v>
      </c>
      <c r="AX36" s="341">
        <v>0</v>
      </c>
      <c r="AY36" s="341">
        <v>0</v>
      </c>
      <c r="AZ36" s="341">
        <v>0</v>
      </c>
    </row>
    <row r="37" spans="1:55" ht="15.75" customHeight="1">
      <c r="A37" s="15"/>
      <c r="B37" s="21"/>
      <c r="C37" s="15"/>
      <c r="D37" s="340" t="s">
        <v>145</v>
      </c>
      <c r="E37" s="340" t="s">
        <v>105</v>
      </c>
      <c r="F37" s="341">
        <v>0</v>
      </c>
      <c r="G37" s="341">
        <v>88</v>
      </c>
      <c r="H37" s="341">
        <v>1.99</v>
      </c>
      <c r="I37" s="341">
        <v>11.2</v>
      </c>
      <c r="J37" s="341">
        <v>0.16</v>
      </c>
      <c r="K37" s="341">
        <v>0.09</v>
      </c>
      <c r="L37" s="341">
        <v>0.13</v>
      </c>
      <c r="M37" s="341">
        <v>0.06</v>
      </c>
      <c r="N37" s="341">
        <v>2.76</v>
      </c>
      <c r="O37" s="341">
        <v>68.8</v>
      </c>
      <c r="P37" s="341">
        <v>38</v>
      </c>
      <c r="Q37" s="341">
        <v>0</v>
      </c>
      <c r="R37" s="341">
        <v>6.5</v>
      </c>
      <c r="S37" s="341">
        <v>0.39</v>
      </c>
      <c r="T37" s="341">
        <v>0.22</v>
      </c>
      <c r="U37" s="341">
        <v>0.15</v>
      </c>
      <c r="V37" s="341">
        <v>1.4</v>
      </c>
      <c r="W37" s="341">
        <v>0.14000000000000001</v>
      </c>
      <c r="X37" s="341">
        <v>0.54</v>
      </c>
      <c r="Y37" s="341">
        <v>0.38</v>
      </c>
      <c r="Z37" s="341">
        <v>0</v>
      </c>
      <c r="AA37" s="341">
        <v>8</v>
      </c>
      <c r="AB37" s="341">
        <v>0</v>
      </c>
      <c r="AC37" s="341">
        <v>224</v>
      </c>
      <c r="AD37" s="341">
        <v>62</v>
      </c>
      <c r="AE37" s="341">
        <v>0</v>
      </c>
      <c r="AF37" s="341">
        <v>32</v>
      </c>
      <c r="AG37" s="341">
        <v>0</v>
      </c>
      <c r="AH37" s="341">
        <v>0</v>
      </c>
      <c r="AI37" s="341">
        <v>0</v>
      </c>
      <c r="AJ37" s="341">
        <v>0</v>
      </c>
      <c r="AK37" s="341">
        <v>0</v>
      </c>
      <c r="AL37" s="341">
        <v>0</v>
      </c>
      <c r="AM37" s="341">
        <v>0</v>
      </c>
      <c r="AN37" s="341">
        <v>0</v>
      </c>
      <c r="AO37" s="341">
        <v>0</v>
      </c>
      <c r="AP37" s="341">
        <v>0</v>
      </c>
      <c r="AQ37" s="341">
        <v>0</v>
      </c>
      <c r="AR37" s="341">
        <v>0</v>
      </c>
      <c r="AS37" s="341">
        <v>0</v>
      </c>
      <c r="AT37" s="341">
        <v>0</v>
      </c>
      <c r="AU37" s="341">
        <v>0</v>
      </c>
      <c r="AV37" s="341">
        <v>0</v>
      </c>
      <c r="AW37" s="341">
        <v>0</v>
      </c>
      <c r="AX37" s="341">
        <v>0</v>
      </c>
      <c r="AY37" s="341">
        <v>0</v>
      </c>
      <c r="AZ37" s="341">
        <v>0</v>
      </c>
    </row>
    <row r="38" spans="1:55" ht="15.75" customHeight="1">
      <c r="A38" s="15"/>
      <c r="B38" s="21"/>
      <c r="C38" s="15"/>
      <c r="D38" s="340" t="s">
        <v>261</v>
      </c>
      <c r="E38" s="340" t="s">
        <v>105</v>
      </c>
      <c r="F38" s="341">
        <v>0</v>
      </c>
      <c r="G38" s="341">
        <v>22</v>
      </c>
      <c r="H38" s="341">
        <v>1.99</v>
      </c>
      <c r="I38" s="341">
        <v>11.2</v>
      </c>
      <c r="J38" s="341">
        <v>0.16</v>
      </c>
      <c r="K38" s="341">
        <v>0.09</v>
      </c>
      <c r="L38" s="341">
        <v>0.13</v>
      </c>
      <c r="M38" s="341">
        <v>0.06</v>
      </c>
      <c r="N38" s="341">
        <v>2.76</v>
      </c>
      <c r="O38" s="341">
        <v>68.8</v>
      </c>
      <c r="P38" s="341">
        <v>38</v>
      </c>
      <c r="Q38" s="341">
        <v>0</v>
      </c>
      <c r="R38" s="341">
        <v>6.5</v>
      </c>
      <c r="S38" s="341">
        <v>0.39</v>
      </c>
      <c r="T38" s="341">
        <v>0.22</v>
      </c>
      <c r="U38" s="341">
        <v>0.15</v>
      </c>
      <c r="V38" s="341">
        <v>1.4</v>
      </c>
      <c r="W38" s="341">
        <v>0.14000000000000001</v>
      </c>
      <c r="X38" s="341">
        <v>0.54</v>
      </c>
      <c r="Y38" s="341">
        <v>0.38</v>
      </c>
      <c r="Z38" s="341">
        <v>0</v>
      </c>
      <c r="AA38" s="341">
        <v>8</v>
      </c>
      <c r="AB38" s="341">
        <v>0</v>
      </c>
      <c r="AC38" s="341">
        <v>224</v>
      </c>
      <c r="AD38" s="341">
        <v>62</v>
      </c>
      <c r="AE38" s="341">
        <v>0</v>
      </c>
      <c r="AF38" s="341">
        <v>32</v>
      </c>
      <c r="AG38" s="341">
        <v>0</v>
      </c>
      <c r="AH38" s="341">
        <v>0</v>
      </c>
      <c r="AI38" s="341">
        <v>0</v>
      </c>
      <c r="AJ38" s="341">
        <v>0</v>
      </c>
      <c r="AK38" s="341">
        <v>0</v>
      </c>
      <c r="AL38" s="341">
        <v>0</v>
      </c>
      <c r="AM38" s="341">
        <v>0</v>
      </c>
      <c r="AN38" s="341">
        <v>0</v>
      </c>
      <c r="AO38" s="341">
        <v>0</v>
      </c>
      <c r="AP38" s="341">
        <v>0</v>
      </c>
      <c r="AQ38" s="341">
        <v>0</v>
      </c>
      <c r="AR38" s="341">
        <v>0</v>
      </c>
      <c r="AS38" s="341">
        <v>0</v>
      </c>
      <c r="AT38" s="341">
        <v>0</v>
      </c>
      <c r="AU38" s="341">
        <v>0</v>
      </c>
      <c r="AV38" s="341">
        <v>0</v>
      </c>
      <c r="AW38" s="341">
        <v>0</v>
      </c>
      <c r="AX38" s="341">
        <v>0</v>
      </c>
      <c r="AY38" s="341">
        <v>0</v>
      </c>
      <c r="AZ38" s="341">
        <v>0</v>
      </c>
    </row>
    <row r="39" spans="1:55" ht="15.75" customHeight="1">
      <c r="A39" s="15"/>
      <c r="B39" s="21"/>
      <c r="C39" s="15"/>
      <c r="D39" s="340" t="s">
        <v>146</v>
      </c>
      <c r="E39" s="340" t="s">
        <v>124</v>
      </c>
      <c r="F39" s="341">
        <v>0</v>
      </c>
      <c r="G39" s="341">
        <v>99</v>
      </c>
      <c r="H39" s="341">
        <v>0</v>
      </c>
      <c r="I39" s="341">
        <v>0</v>
      </c>
      <c r="J39" s="341">
        <v>0</v>
      </c>
      <c r="K39" s="341">
        <v>0</v>
      </c>
      <c r="L39" s="341">
        <v>0</v>
      </c>
      <c r="M39" s="341">
        <v>0</v>
      </c>
      <c r="N39" s="341">
        <v>0</v>
      </c>
      <c r="O39" s="341">
        <v>0</v>
      </c>
      <c r="P39" s="341">
        <v>0</v>
      </c>
      <c r="Q39" s="341">
        <v>0</v>
      </c>
      <c r="R39" s="341">
        <v>99</v>
      </c>
      <c r="S39" s="341">
        <v>22.5</v>
      </c>
      <c r="T39" s="341">
        <v>18.5</v>
      </c>
      <c r="U39" s="341">
        <v>0</v>
      </c>
      <c r="V39" s="341">
        <v>0</v>
      </c>
      <c r="W39" s="341">
        <v>0</v>
      </c>
      <c r="X39" s="341">
        <v>0</v>
      </c>
      <c r="Y39" s="341">
        <v>0</v>
      </c>
      <c r="Z39" s="341">
        <v>0</v>
      </c>
      <c r="AA39" s="341">
        <v>0</v>
      </c>
      <c r="AB39" s="341">
        <v>0</v>
      </c>
      <c r="AC39" s="341">
        <v>0</v>
      </c>
      <c r="AD39" s="341">
        <v>0</v>
      </c>
      <c r="AE39" s="341">
        <v>0</v>
      </c>
      <c r="AF39" s="341">
        <v>0</v>
      </c>
      <c r="AG39" s="341">
        <v>0</v>
      </c>
      <c r="AH39" s="341">
        <v>0</v>
      </c>
      <c r="AI39" s="341">
        <v>0</v>
      </c>
      <c r="AJ39" s="341">
        <v>0</v>
      </c>
      <c r="AK39" s="341">
        <v>0</v>
      </c>
      <c r="AL39" s="341">
        <v>0</v>
      </c>
      <c r="AM39" s="341">
        <v>0</v>
      </c>
      <c r="AN39" s="341">
        <v>0</v>
      </c>
      <c r="AO39" s="341">
        <v>0</v>
      </c>
      <c r="AP39" s="341">
        <v>0</v>
      </c>
      <c r="AQ39" s="341">
        <v>0</v>
      </c>
      <c r="AR39" s="341">
        <v>0</v>
      </c>
      <c r="AS39" s="341">
        <v>0</v>
      </c>
      <c r="AT39" s="341">
        <v>0</v>
      </c>
      <c r="AU39" s="341">
        <v>0</v>
      </c>
      <c r="AV39" s="341">
        <v>0</v>
      </c>
      <c r="AW39" s="341">
        <v>0</v>
      </c>
      <c r="AX39" s="341">
        <v>0</v>
      </c>
      <c r="AY39" s="341">
        <v>0</v>
      </c>
      <c r="AZ39" s="341">
        <v>0</v>
      </c>
    </row>
    <row r="40" spans="1:55" ht="15.75" customHeight="1">
      <c r="A40" s="15"/>
      <c r="B40" s="22"/>
      <c r="C40" s="15"/>
      <c r="D40" s="340" t="s">
        <v>147</v>
      </c>
      <c r="E40" s="340" t="s">
        <v>105</v>
      </c>
      <c r="F40" s="341">
        <v>0</v>
      </c>
      <c r="G40" s="341">
        <v>83.8</v>
      </c>
      <c r="H40" s="341">
        <v>2.1800000000000002</v>
      </c>
      <c r="I40" s="341">
        <v>13.3</v>
      </c>
      <c r="J40" s="341">
        <v>0.46</v>
      </c>
      <c r="K40" s="341">
        <v>0</v>
      </c>
      <c r="L40" s="341">
        <v>0</v>
      </c>
      <c r="M40" s="341">
        <v>0</v>
      </c>
      <c r="N40" s="341">
        <v>2.5</v>
      </c>
      <c r="O40" s="341">
        <v>57.7</v>
      </c>
      <c r="P40" s="341">
        <v>36.9</v>
      </c>
      <c r="Q40" s="341">
        <v>0</v>
      </c>
      <c r="R40" s="341">
        <v>8.8000000000000007</v>
      </c>
      <c r="S40" s="341">
        <v>0.66</v>
      </c>
      <c r="T40" s="341">
        <v>0.28999999999999998</v>
      </c>
      <c r="U40" s="341">
        <v>0.23</v>
      </c>
      <c r="V40" s="341">
        <v>2.13</v>
      </c>
      <c r="W40" s="341">
        <v>0.08</v>
      </c>
      <c r="X40" s="341">
        <v>0.92</v>
      </c>
      <c r="Y40" s="341">
        <v>0.24</v>
      </c>
      <c r="Z40" s="341">
        <v>0</v>
      </c>
      <c r="AA40" s="341">
        <v>9</v>
      </c>
      <c r="AB40" s="341">
        <v>0</v>
      </c>
      <c r="AC40" s="341">
        <v>194</v>
      </c>
      <c r="AD40" s="341">
        <v>72</v>
      </c>
      <c r="AE40" s="341">
        <v>0.06</v>
      </c>
      <c r="AF40" s="341">
        <v>25</v>
      </c>
      <c r="AG40" s="341">
        <v>0</v>
      </c>
      <c r="AH40" s="341">
        <v>0</v>
      </c>
      <c r="AI40" s="341">
        <v>0</v>
      </c>
      <c r="AJ40" s="341">
        <v>0</v>
      </c>
      <c r="AK40" s="341">
        <v>0</v>
      </c>
      <c r="AL40" s="341">
        <v>0</v>
      </c>
      <c r="AM40" s="341">
        <v>0</v>
      </c>
      <c r="AN40" s="341">
        <v>0</v>
      </c>
      <c r="AO40" s="341">
        <v>0</v>
      </c>
      <c r="AP40" s="341">
        <v>0</v>
      </c>
      <c r="AQ40" s="341">
        <v>0</v>
      </c>
      <c r="AR40" s="341">
        <v>0</v>
      </c>
      <c r="AS40" s="341">
        <v>0</v>
      </c>
      <c r="AT40" s="341">
        <v>0</v>
      </c>
      <c r="AU40" s="341">
        <v>0</v>
      </c>
      <c r="AV40" s="341">
        <v>0</v>
      </c>
      <c r="AW40" s="341">
        <v>0</v>
      </c>
      <c r="AX40" s="341">
        <v>0</v>
      </c>
      <c r="AY40" s="341">
        <v>0</v>
      </c>
      <c r="AZ40" s="341">
        <v>0</v>
      </c>
    </row>
    <row r="41" spans="1:55" ht="15.75" customHeight="1">
      <c r="A41" s="15"/>
      <c r="B41" s="15"/>
      <c r="C41" s="15"/>
      <c r="D41" s="340" t="s">
        <v>148</v>
      </c>
      <c r="E41" s="340" t="s">
        <v>105</v>
      </c>
      <c r="F41" s="341">
        <v>0</v>
      </c>
      <c r="G41" s="341">
        <v>84.4</v>
      </c>
      <c r="H41" s="341">
        <v>2.04</v>
      </c>
      <c r="I41" s="341">
        <v>10.8</v>
      </c>
      <c r="J41" s="341">
        <v>0.38</v>
      </c>
      <c r="K41" s="341">
        <v>0</v>
      </c>
      <c r="L41" s="341">
        <v>0</v>
      </c>
      <c r="M41" s="341">
        <v>0</v>
      </c>
      <c r="N41" s="341">
        <v>2</v>
      </c>
      <c r="O41" s="341">
        <v>69.099999999999994</v>
      </c>
      <c r="P41" s="341">
        <v>41.6</v>
      </c>
      <c r="Q41" s="341">
        <v>0</v>
      </c>
      <c r="R41" s="341">
        <v>7</v>
      </c>
      <c r="S41" s="341">
        <v>0.47</v>
      </c>
      <c r="T41" s="341">
        <v>0.26</v>
      </c>
      <c r="U41" s="341">
        <v>0.18</v>
      </c>
      <c r="V41" s="341">
        <v>1.97</v>
      </c>
      <c r="W41" s="341">
        <v>0.02</v>
      </c>
      <c r="X41" s="341">
        <v>0.66</v>
      </c>
      <c r="Y41" s="341">
        <v>0.17</v>
      </c>
      <c r="Z41" s="341">
        <v>0</v>
      </c>
      <c r="AA41" s="341">
        <v>8</v>
      </c>
      <c r="AB41" s="341">
        <v>0</v>
      </c>
      <c r="AC41" s="341">
        <v>180</v>
      </c>
      <c r="AD41" s="341">
        <v>90</v>
      </c>
      <c r="AE41" s="341">
        <v>0.06</v>
      </c>
      <c r="AF41" s="341">
        <v>25</v>
      </c>
      <c r="AG41" s="341">
        <v>0</v>
      </c>
      <c r="AH41" s="341">
        <v>0</v>
      </c>
      <c r="AI41" s="341">
        <v>0</v>
      </c>
      <c r="AJ41" s="341">
        <v>0</v>
      </c>
      <c r="AK41" s="341">
        <v>0</v>
      </c>
      <c r="AL41" s="341">
        <v>0</v>
      </c>
      <c r="AM41" s="341">
        <v>0</v>
      </c>
      <c r="AN41" s="341">
        <v>0</v>
      </c>
      <c r="AO41" s="341">
        <v>0</v>
      </c>
      <c r="AP41" s="341">
        <v>0</v>
      </c>
      <c r="AQ41" s="341">
        <v>0</v>
      </c>
      <c r="AR41" s="341">
        <v>0</v>
      </c>
      <c r="AS41" s="341">
        <v>0</v>
      </c>
      <c r="AT41" s="341">
        <v>0</v>
      </c>
      <c r="AU41" s="341">
        <v>0</v>
      </c>
      <c r="AV41" s="341">
        <v>0</v>
      </c>
      <c r="AW41" s="341">
        <v>0</v>
      </c>
      <c r="AX41" s="341">
        <v>0</v>
      </c>
      <c r="AY41" s="341">
        <v>0</v>
      </c>
      <c r="AZ41" s="341">
        <v>0</v>
      </c>
    </row>
    <row r="42" spans="1:55" ht="15.75" customHeight="1">
      <c r="A42" s="15"/>
      <c r="B42" s="15"/>
      <c r="C42" s="15"/>
      <c r="D42" s="340" t="s">
        <v>149</v>
      </c>
      <c r="E42" s="340" t="s">
        <v>107</v>
      </c>
      <c r="F42" s="341">
        <v>0</v>
      </c>
      <c r="G42" s="341">
        <v>91</v>
      </c>
      <c r="H42" s="341">
        <v>3.67</v>
      </c>
      <c r="I42" s="341">
        <v>12.4</v>
      </c>
      <c r="J42" s="341">
        <v>0.45</v>
      </c>
      <c r="K42" s="341">
        <v>0</v>
      </c>
      <c r="L42" s="341">
        <v>0</v>
      </c>
      <c r="M42" s="341">
        <v>0</v>
      </c>
      <c r="N42" s="341">
        <v>2.2000000000000002</v>
      </c>
      <c r="O42" s="341">
        <v>20.8</v>
      </c>
      <c r="P42" s="341">
        <v>7.2</v>
      </c>
      <c r="Q42" s="341">
        <v>0</v>
      </c>
      <c r="R42" s="341">
        <v>2.9</v>
      </c>
      <c r="S42" s="341">
        <v>0.06</v>
      </c>
      <c r="T42" s="341">
        <v>0.39</v>
      </c>
      <c r="U42" s="341">
        <v>0.14000000000000001</v>
      </c>
      <c r="V42" s="341">
        <v>0.56000000000000005</v>
      </c>
      <c r="W42" s="341">
        <v>0.02</v>
      </c>
      <c r="X42" s="341">
        <v>0.13</v>
      </c>
      <c r="Y42" s="341">
        <v>0.12</v>
      </c>
      <c r="Z42" s="341">
        <v>0.35</v>
      </c>
      <c r="AA42" s="341">
        <v>6</v>
      </c>
      <c r="AB42" s="341">
        <v>0.05</v>
      </c>
      <c r="AC42" s="341">
        <v>70</v>
      </c>
      <c r="AD42" s="341">
        <v>22</v>
      </c>
      <c r="AE42" s="341">
        <v>0.11</v>
      </c>
      <c r="AF42" s="341">
        <v>38</v>
      </c>
      <c r="AG42" s="341">
        <v>0</v>
      </c>
      <c r="AH42" s="341">
        <v>0</v>
      </c>
      <c r="AI42" s="341">
        <v>0</v>
      </c>
      <c r="AJ42" s="341">
        <v>0</v>
      </c>
      <c r="AK42" s="341">
        <v>0</v>
      </c>
      <c r="AL42" s="341">
        <v>0</v>
      </c>
      <c r="AM42" s="341">
        <v>0</v>
      </c>
      <c r="AN42" s="341">
        <v>0</v>
      </c>
      <c r="AO42" s="341">
        <v>0</v>
      </c>
      <c r="AP42" s="341">
        <v>0</v>
      </c>
      <c r="AQ42" s="341">
        <v>0</v>
      </c>
      <c r="AR42" s="341">
        <v>0</v>
      </c>
      <c r="AS42" s="341">
        <v>0</v>
      </c>
      <c r="AT42" s="341">
        <v>0</v>
      </c>
      <c r="AU42" s="341">
        <v>0</v>
      </c>
      <c r="AV42" s="341">
        <v>0</v>
      </c>
      <c r="AW42" s="341">
        <v>0</v>
      </c>
      <c r="AX42" s="341">
        <v>0</v>
      </c>
      <c r="AY42" s="341">
        <v>0</v>
      </c>
      <c r="AZ42" s="341">
        <v>0</v>
      </c>
    </row>
    <row r="43" spans="1:55" ht="15.75" customHeight="1">
      <c r="A43" s="15"/>
      <c r="B43" s="15"/>
      <c r="C43" s="15"/>
      <c r="D43" s="340" t="s">
        <v>150</v>
      </c>
      <c r="E43" s="340" t="s">
        <v>107</v>
      </c>
      <c r="F43" s="341">
        <v>0</v>
      </c>
      <c r="G43" s="341">
        <v>89.4</v>
      </c>
      <c r="H43" s="341">
        <v>3.83</v>
      </c>
      <c r="I43" s="341">
        <v>14.2</v>
      </c>
      <c r="J43" s="341">
        <v>0.4</v>
      </c>
      <c r="K43" s="341">
        <v>0</v>
      </c>
      <c r="L43" s="341">
        <v>0</v>
      </c>
      <c r="M43" s="341">
        <v>0</v>
      </c>
      <c r="N43" s="341">
        <v>2.2999999999999998</v>
      </c>
      <c r="O43" s="341">
        <v>13.4</v>
      </c>
      <c r="P43" s="341">
        <v>4.4000000000000004</v>
      </c>
      <c r="Q43" s="341">
        <v>0</v>
      </c>
      <c r="R43" s="341">
        <v>2</v>
      </c>
      <c r="S43" s="341">
        <v>0.05</v>
      </c>
      <c r="T43" s="341">
        <v>0.43</v>
      </c>
      <c r="U43" s="341">
        <v>0.15</v>
      </c>
      <c r="V43" s="341">
        <v>0.5</v>
      </c>
      <c r="W43" s="341">
        <v>0.01</v>
      </c>
      <c r="X43" s="341">
        <v>0.11</v>
      </c>
      <c r="Y43" s="341">
        <v>0.15</v>
      </c>
      <c r="Z43" s="341">
        <v>0</v>
      </c>
      <c r="AA43" s="341">
        <v>5</v>
      </c>
      <c r="AB43" s="341">
        <v>0</v>
      </c>
      <c r="AC43" s="341">
        <v>72</v>
      </c>
      <c r="AD43" s="341">
        <v>42</v>
      </c>
      <c r="AE43" s="341">
        <v>0.28000000000000003</v>
      </c>
      <c r="AF43" s="341">
        <v>40</v>
      </c>
      <c r="AG43" s="341">
        <v>0</v>
      </c>
      <c r="AH43" s="341">
        <v>0</v>
      </c>
      <c r="AI43" s="341">
        <v>0</v>
      </c>
      <c r="AJ43" s="341">
        <v>0</v>
      </c>
      <c r="AK43" s="341">
        <v>0</v>
      </c>
      <c r="AL43" s="341">
        <v>0</v>
      </c>
      <c r="AM43" s="341">
        <v>0</v>
      </c>
      <c r="AN43" s="341">
        <v>0</v>
      </c>
      <c r="AO43" s="341">
        <v>0</v>
      </c>
      <c r="AP43" s="341">
        <v>0</v>
      </c>
      <c r="AQ43" s="341">
        <v>0</v>
      </c>
      <c r="AR43" s="341">
        <v>0</v>
      </c>
      <c r="AS43" s="341">
        <v>0</v>
      </c>
      <c r="AT43" s="341">
        <v>0</v>
      </c>
      <c r="AU43" s="341">
        <v>0</v>
      </c>
      <c r="AV43" s="341">
        <v>0</v>
      </c>
      <c r="AW43" s="341">
        <v>0</v>
      </c>
      <c r="AX43" s="341">
        <v>0</v>
      </c>
      <c r="AY43" s="341">
        <v>0</v>
      </c>
      <c r="AZ43" s="341">
        <v>0</v>
      </c>
    </row>
    <row r="44" spans="1:55" ht="15.75" customHeight="1">
      <c r="A44" s="15"/>
      <c r="B44" s="15"/>
      <c r="C44" s="15"/>
      <c r="D44" s="340" t="s">
        <v>151</v>
      </c>
      <c r="E44" s="340" t="s">
        <v>107</v>
      </c>
      <c r="F44" s="341">
        <v>0</v>
      </c>
      <c r="G44" s="341">
        <v>90.7</v>
      </c>
      <c r="H44" s="341">
        <v>2.85</v>
      </c>
      <c r="I44" s="341">
        <v>29.2</v>
      </c>
      <c r="J44" s="341">
        <v>1.19</v>
      </c>
      <c r="K44" s="341">
        <v>0</v>
      </c>
      <c r="L44" s="341">
        <v>0</v>
      </c>
      <c r="M44" s="341">
        <v>0</v>
      </c>
      <c r="N44" s="341">
        <v>5.2</v>
      </c>
      <c r="O44" s="341">
        <v>47.4</v>
      </c>
      <c r="P44" s="341">
        <v>22.2</v>
      </c>
      <c r="Q44" s="341">
        <v>0</v>
      </c>
      <c r="R44" s="341">
        <v>4.3</v>
      </c>
      <c r="S44" s="341">
        <v>0.3</v>
      </c>
      <c r="T44" s="341">
        <v>0.67</v>
      </c>
      <c r="U44" s="341">
        <v>0.26</v>
      </c>
      <c r="V44" s="341">
        <v>0.5</v>
      </c>
      <c r="W44" s="341">
        <v>0.04</v>
      </c>
      <c r="X44" s="341">
        <v>7.0000000000000007E-2</v>
      </c>
      <c r="Y44" s="341">
        <v>0.38</v>
      </c>
      <c r="Z44" s="341">
        <v>0</v>
      </c>
      <c r="AA44" s="341">
        <v>11</v>
      </c>
      <c r="AB44" s="341">
        <v>0</v>
      </c>
      <c r="AC44" s="341">
        <v>224</v>
      </c>
      <c r="AD44" s="341">
        <v>45</v>
      </c>
      <c r="AE44" s="341">
        <v>1.06</v>
      </c>
      <c r="AF44" s="341">
        <v>85</v>
      </c>
      <c r="AG44" s="341">
        <v>0</v>
      </c>
      <c r="AH44" s="341">
        <v>0</v>
      </c>
      <c r="AI44" s="341">
        <v>0</v>
      </c>
      <c r="AJ44" s="341">
        <v>0</v>
      </c>
      <c r="AK44" s="341">
        <v>0</v>
      </c>
      <c r="AL44" s="341">
        <v>0</v>
      </c>
      <c r="AM44" s="341">
        <v>0</v>
      </c>
      <c r="AN44" s="341">
        <v>0</v>
      </c>
      <c r="AO44" s="341">
        <v>0</v>
      </c>
      <c r="AP44" s="341">
        <v>0</v>
      </c>
      <c r="AQ44" s="341">
        <v>0</v>
      </c>
      <c r="AR44" s="341">
        <v>0</v>
      </c>
      <c r="AS44" s="341">
        <v>0</v>
      </c>
      <c r="AT44" s="341">
        <v>0</v>
      </c>
      <c r="AU44" s="341">
        <v>0</v>
      </c>
      <c r="AV44" s="341">
        <v>0</v>
      </c>
      <c r="AW44" s="341">
        <v>0</v>
      </c>
      <c r="AX44" s="341">
        <v>0</v>
      </c>
      <c r="AY44" s="341">
        <v>0</v>
      </c>
      <c r="AZ44" s="341">
        <v>0</v>
      </c>
    </row>
    <row r="45" spans="1:55" ht="15.75" customHeight="1">
      <c r="A45" s="15"/>
      <c r="B45" s="15"/>
      <c r="C45" s="15"/>
      <c r="D45" s="340" t="s">
        <v>152</v>
      </c>
      <c r="E45" s="340" t="s">
        <v>107</v>
      </c>
      <c r="F45" s="341">
        <v>0</v>
      </c>
      <c r="G45" s="341">
        <v>21.8</v>
      </c>
      <c r="H45" s="341">
        <v>2.8</v>
      </c>
      <c r="I45" s="341">
        <v>28.4</v>
      </c>
      <c r="J45" s="341">
        <v>0.97</v>
      </c>
      <c r="K45" s="341">
        <v>0</v>
      </c>
      <c r="L45" s="341">
        <v>0</v>
      </c>
      <c r="M45" s="341">
        <v>0</v>
      </c>
      <c r="N45" s="341">
        <v>5.2</v>
      </c>
      <c r="O45" s="341">
        <v>47.1</v>
      </c>
      <c r="P45" s="341">
        <v>23.1</v>
      </c>
      <c r="Q45" s="341">
        <v>0</v>
      </c>
      <c r="R45" s="341">
        <v>4.9000000000000004</v>
      </c>
      <c r="S45" s="341">
        <v>0.35</v>
      </c>
      <c r="T45" s="341">
        <v>0.59</v>
      </c>
      <c r="U45" s="341">
        <v>0.21</v>
      </c>
      <c r="V45" s="341">
        <v>0.47</v>
      </c>
      <c r="W45" s="341">
        <v>0.01</v>
      </c>
      <c r="X45" s="341">
        <v>0.12</v>
      </c>
      <c r="Y45" s="341">
        <v>0.33</v>
      </c>
      <c r="Z45" s="341">
        <v>0</v>
      </c>
      <c r="AA45" s="341">
        <v>9</v>
      </c>
      <c r="AB45" s="341">
        <v>0</v>
      </c>
      <c r="AC45" s="341">
        <v>247</v>
      </c>
      <c r="AD45" s="341">
        <v>49</v>
      </c>
      <c r="AE45" s="341">
        <v>1.06</v>
      </c>
      <c r="AF45" s="341">
        <v>91</v>
      </c>
      <c r="AG45" s="341">
        <v>0</v>
      </c>
      <c r="AH45" s="341">
        <v>0</v>
      </c>
      <c r="AI45" s="341">
        <v>0</v>
      </c>
      <c r="AJ45" s="341">
        <v>0</v>
      </c>
      <c r="AK45" s="341">
        <v>0</v>
      </c>
      <c r="AL45" s="341">
        <v>0</v>
      </c>
      <c r="AM45" s="341">
        <v>0</v>
      </c>
      <c r="AN45" s="341">
        <v>0</v>
      </c>
      <c r="AO45" s="341">
        <v>0</v>
      </c>
      <c r="AP45" s="341">
        <v>0</v>
      </c>
      <c r="AQ45" s="341">
        <v>0</v>
      </c>
      <c r="AR45" s="341">
        <v>0</v>
      </c>
      <c r="AS45" s="341">
        <v>0</v>
      </c>
      <c r="AT45" s="341">
        <v>0</v>
      </c>
      <c r="AU45" s="341">
        <v>0</v>
      </c>
      <c r="AV45" s="341">
        <v>0</v>
      </c>
      <c r="AW45" s="341">
        <v>0</v>
      </c>
      <c r="AX45" s="341">
        <v>0</v>
      </c>
      <c r="AY45" s="341">
        <v>0</v>
      </c>
      <c r="AZ45" s="341">
        <v>0</v>
      </c>
    </row>
    <row r="46" spans="1:55" ht="15.75" customHeight="1">
      <c r="A46" s="15"/>
      <c r="B46" s="15"/>
      <c r="C46" s="15"/>
      <c r="D46" s="340" t="s">
        <v>153</v>
      </c>
      <c r="E46" s="340" t="s">
        <v>107</v>
      </c>
      <c r="F46" s="341"/>
      <c r="G46" s="341">
        <v>97</v>
      </c>
      <c r="H46" s="341">
        <v>4.0999999999999996</v>
      </c>
      <c r="I46" s="341">
        <v>12</v>
      </c>
      <c r="J46" s="341">
        <v>1</v>
      </c>
      <c r="K46" s="341"/>
      <c r="L46" s="341">
        <v>0.2</v>
      </c>
      <c r="M46" s="341"/>
      <c r="N46" s="341">
        <v>12</v>
      </c>
      <c r="O46" s="341">
        <v>0</v>
      </c>
      <c r="P46" s="341">
        <v>10</v>
      </c>
      <c r="Q46" s="341">
        <v>25</v>
      </c>
      <c r="R46" s="341">
        <v>12</v>
      </c>
      <c r="S46" s="341">
        <v>1.5</v>
      </c>
      <c r="T46" s="341">
        <v>0.6</v>
      </c>
      <c r="U46" s="341">
        <v>0</v>
      </c>
      <c r="V46" s="341">
        <v>0</v>
      </c>
      <c r="W46" s="341">
        <v>0</v>
      </c>
      <c r="X46" s="341">
        <v>0</v>
      </c>
      <c r="Y46" s="341">
        <v>0</v>
      </c>
      <c r="Z46" s="341">
        <v>0</v>
      </c>
      <c r="AA46" s="341">
        <v>0</v>
      </c>
      <c r="AB46" s="341">
        <v>0</v>
      </c>
      <c r="AC46" s="341">
        <v>0</v>
      </c>
      <c r="AD46" s="341">
        <v>0</v>
      </c>
      <c r="AE46" s="341">
        <v>0</v>
      </c>
      <c r="AF46" s="341">
        <v>0</v>
      </c>
      <c r="AG46" s="341">
        <v>0</v>
      </c>
      <c r="AH46" s="341">
        <v>0</v>
      </c>
      <c r="AI46" s="341">
        <v>0</v>
      </c>
      <c r="AJ46" s="341">
        <v>0</v>
      </c>
      <c r="AK46" s="341">
        <v>0</v>
      </c>
      <c r="AL46" s="341">
        <v>0</v>
      </c>
      <c r="AM46" s="341">
        <v>0</v>
      </c>
      <c r="AN46" s="341">
        <v>0</v>
      </c>
      <c r="AO46" s="341">
        <v>0</v>
      </c>
      <c r="AP46" s="341">
        <v>0</v>
      </c>
      <c r="AQ46" s="341">
        <v>0</v>
      </c>
      <c r="AR46" s="341">
        <v>0</v>
      </c>
      <c r="AS46" s="341">
        <v>0</v>
      </c>
      <c r="AT46" s="341">
        <v>0</v>
      </c>
      <c r="AU46" s="341">
        <v>0</v>
      </c>
      <c r="AV46" s="341">
        <v>0</v>
      </c>
      <c r="AW46" s="341">
        <v>0</v>
      </c>
      <c r="AX46" s="341">
        <v>0</v>
      </c>
      <c r="AY46" s="341">
        <v>0</v>
      </c>
      <c r="AZ46" s="341">
        <v>0</v>
      </c>
    </row>
    <row r="47" spans="1:55" ht="15.75" customHeight="1">
      <c r="A47" s="15"/>
      <c r="B47" s="15"/>
      <c r="C47" s="15"/>
      <c r="D47" s="340" t="s">
        <v>154</v>
      </c>
      <c r="E47" s="340" t="s">
        <v>107</v>
      </c>
      <c r="F47" s="341"/>
      <c r="G47" s="341">
        <v>98</v>
      </c>
      <c r="H47" s="341">
        <v>4.2</v>
      </c>
      <c r="I47" s="341">
        <v>12</v>
      </c>
      <c r="J47" s="341">
        <v>6</v>
      </c>
      <c r="K47" s="341"/>
      <c r="L47" s="341">
        <v>1.8</v>
      </c>
      <c r="M47" s="341"/>
      <c r="N47" s="341">
        <v>11</v>
      </c>
      <c r="O47" s="341">
        <v>0</v>
      </c>
      <c r="P47" s="341">
        <v>0</v>
      </c>
      <c r="Q47" s="341">
        <v>0</v>
      </c>
      <c r="R47" s="341">
        <v>0</v>
      </c>
      <c r="S47" s="341">
        <v>14</v>
      </c>
      <c r="T47" s="341">
        <v>6</v>
      </c>
      <c r="U47" s="341">
        <v>0</v>
      </c>
      <c r="V47" s="341">
        <v>0</v>
      </c>
      <c r="W47" s="341">
        <v>0</v>
      </c>
      <c r="X47" s="341">
        <v>0</v>
      </c>
      <c r="Y47" s="341">
        <v>0</v>
      </c>
      <c r="Z47" s="341">
        <v>0</v>
      </c>
      <c r="AA47" s="341">
        <v>0</v>
      </c>
      <c r="AB47" s="341">
        <v>0</v>
      </c>
      <c r="AC47" s="341">
        <v>0</v>
      </c>
      <c r="AD47" s="341">
        <v>0</v>
      </c>
      <c r="AE47" s="341">
        <v>0</v>
      </c>
      <c r="AF47" s="341">
        <v>0</v>
      </c>
      <c r="AG47" s="341">
        <v>0</v>
      </c>
      <c r="AH47" s="341">
        <v>0</v>
      </c>
      <c r="AI47" s="341">
        <v>0</v>
      </c>
      <c r="AJ47" s="341">
        <v>0</v>
      </c>
      <c r="AK47" s="341">
        <v>0</v>
      </c>
      <c r="AL47" s="341">
        <v>0</v>
      </c>
      <c r="AM47" s="341">
        <v>0</v>
      </c>
      <c r="AN47" s="341">
        <v>0</v>
      </c>
      <c r="AO47" s="341">
        <v>0</v>
      </c>
      <c r="AP47" s="341">
        <v>0</v>
      </c>
      <c r="AQ47" s="341">
        <v>0</v>
      </c>
      <c r="AR47" s="341">
        <v>0</v>
      </c>
      <c r="AS47" s="341">
        <v>0</v>
      </c>
      <c r="AT47" s="341">
        <v>0</v>
      </c>
      <c r="AU47" s="341">
        <v>0</v>
      </c>
      <c r="AV47" s="341">
        <v>0</v>
      </c>
      <c r="AW47" s="341">
        <v>0</v>
      </c>
      <c r="AX47" s="341">
        <v>0</v>
      </c>
      <c r="AY47" s="341">
        <v>0</v>
      </c>
      <c r="AZ47" s="341">
        <v>0</v>
      </c>
    </row>
    <row r="48" spans="1:55" ht="15.75" customHeight="1">
      <c r="A48" s="15"/>
      <c r="B48" s="15"/>
      <c r="C48" s="15"/>
      <c r="D48" s="340" t="s">
        <v>155</v>
      </c>
      <c r="E48" s="340" t="s">
        <v>107</v>
      </c>
      <c r="F48" s="341">
        <v>0</v>
      </c>
      <c r="G48" s="341">
        <v>89</v>
      </c>
      <c r="H48" s="341">
        <v>3.2</v>
      </c>
      <c r="I48" s="341">
        <v>18</v>
      </c>
      <c r="J48" s="341">
        <v>1</v>
      </c>
      <c r="K48" s="341">
        <v>0</v>
      </c>
      <c r="L48" s="341">
        <v>0.2</v>
      </c>
      <c r="M48" s="341">
        <v>0</v>
      </c>
      <c r="N48" s="341">
        <v>4</v>
      </c>
      <c r="O48" s="341">
        <v>20</v>
      </c>
      <c r="P48" s="341">
        <v>13</v>
      </c>
      <c r="Q48" s="341">
        <v>35</v>
      </c>
      <c r="R48" s="341">
        <v>12</v>
      </c>
      <c r="S48" s="341">
        <v>1.2</v>
      </c>
      <c r="T48" s="341">
        <v>0.6</v>
      </c>
      <c r="U48" s="341">
        <v>0</v>
      </c>
      <c r="V48" s="341">
        <v>0</v>
      </c>
      <c r="W48" s="341">
        <v>0</v>
      </c>
      <c r="X48" s="341">
        <v>0</v>
      </c>
      <c r="Y48" s="341">
        <v>0</v>
      </c>
      <c r="Z48" s="341">
        <v>0.12</v>
      </c>
      <c r="AA48" s="341">
        <v>24</v>
      </c>
      <c r="AB48" s="341">
        <v>1.5</v>
      </c>
      <c r="AC48" s="341">
        <v>60</v>
      </c>
      <c r="AD48" s="341">
        <v>60</v>
      </c>
      <c r="AE48" s="341">
        <v>0.06</v>
      </c>
      <c r="AF48" s="341">
        <v>72</v>
      </c>
      <c r="AG48" s="341">
        <v>20</v>
      </c>
      <c r="AH48" s="341">
        <v>1650</v>
      </c>
      <c r="AI48" s="341">
        <v>200</v>
      </c>
      <c r="AJ48" s="341">
        <v>4.5999999999999996</v>
      </c>
      <c r="AK48" s="341">
        <v>0</v>
      </c>
      <c r="AL48" s="341">
        <v>0</v>
      </c>
      <c r="AM48" s="341">
        <v>0</v>
      </c>
      <c r="AN48" s="341">
        <v>0</v>
      </c>
      <c r="AO48" s="341">
        <v>0</v>
      </c>
      <c r="AP48" s="341">
        <v>0</v>
      </c>
      <c r="AQ48" s="341">
        <v>0</v>
      </c>
      <c r="AR48" s="341">
        <v>0</v>
      </c>
      <c r="AS48" s="341">
        <v>0</v>
      </c>
      <c r="AT48" s="341">
        <v>0</v>
      </c>
      <c r="AU48" s="341">
        <v>0</v>
      </c>
      <c r="AV48" s="341">
        <v>0</v>
      </c>
      <c r="AW48" s="341">
        <v>0</v>
      </c>
      <c r="AX48" s="341">
        <v>0</v>
      </c>
      <c r="AY48" s="341">
        <v>0</v>
      </c>
      <c r="AZ48" s="341">
        <v>0</v>
      </c>
    </row>
    <row r="49" spans="1:52" ht="15.75" customHeight="1">
      <c r="A49" s="15"/>
      <c r="B49" s="15"/>
      <c r="C49" s="15"/>
      <c r="D49" s="340" t="s">
        <v>156</v>
      </c>
      <c r="E49" s="340" t="s">
        <v>107</v>
      </c>
      <c r="F49" s="341">
        <v>0</v>
      </c>
      <c r="G49" s="341">
        <v>87</v>
      </c>
      <c r="H49" s="341">
        <v>3</v>
      </c>
      <c r="I49" s="341">
        <v>13</v>
      </c>
      <c r="J49" s="341">
        <v>0.5</v>
      </c>
      <c r="K49" s="341">
        <v>0</v>
      </c>
      <c r="L49" s="341">
        <v>0.17</v>
      </c>
      <c r="M49" s="341">
        <v>0</v>
      </c>
      <c r="N49" s="341">
        <v>2</v>
      </c>
      <c r="O49" s="341">
        <v>20</v>
      </c>
      <c r="P49" s="341">
        <v>26</v>
      </c>
      <c r="Q49" s="341">
        <v>45</v>
      </c>
      <c r="R49" s="341">
        <v>12</v>
      </c>
      <c r="S49" s="341">
        <v>1</v>
      </c>
      <c r="T49" s="341">
        <v>0.5</v>
      </c>
      <c r="U49" s="341">
        <v>0</v>
      </c>
      <c r="V49" s="341">
        <v>0</v>
      </c>
      <c r="W49" s="341">
        <v>0</v>
      </c>
      <c r="X49" s="341">
        <v>0</v>
      </c>
      <c r="Y49" s="341">
        <v>0</v>
      </c>
      <c r="Z49" s="341">
        <v>0.12</v>
      </c>
      <c r="AA49" s="341">
        <v>24</v>
      </c>
      <c r="AB49" s="341">
        <v>1.5</v>
      </c>
      <c r="AC49" s="341">
        <v>62</v>
      </c>
      <c r="AD49" s="341">
        <v>62</v>
      </c>
      <c r="AE49" s="341">
        <v>0.06</v>
      </c>
      <c r="AF49" s="341">
        <v>74</v>
      </c>
      <c r="AG49" s="341">
        <v>66</v>
      </c>
      <c r="AH49" s="341">
        <v>660</v>
      </c>
      <c r="AI49" s="341">
        <v>80</v>
      </c>
      <c r="AJ49" s="341">
        <v>2.5</v>
      </c>
      <c r="AK49" s="341">
        <v>1.25</v>
      </c>
      <c r="AL49" s="341">
        <v>0</v>
      </c>
      <c r="AM49" s="341">
        <v>0</v>
      </c>
      <c r="AN49" s="341">
        <v>0</v>
      </c>
      <c r="AO49" s="341">
        <v>0</v>
      </c>
      <c r="AP49" s="341">
        <v>0</v>
      </c>
      <c r="AQ49" s="341">
        <v>0</v>
      </c>
      <c r="AR49" s="341">
        <v>0</v>
      </c>
      <c r="AS49" s="341">
        <v>0</v>
      </c>
      <c r="AT49" s="341">
        <v>0</v>
      </c>
      <c r="AU49" s="341">
        <v>0</v>
      </c>
      <c r="AV49" s="341">
        <v>0</v>
      </c>
      <c r="AW49" s="341">
        <v>0</v>
      </c>
      <c r="AX49" s="341">
        <v>0</v>
      </c>
      <c r="AY49" s="341">
        <v>0</v>
      </c>
      <c r="AZ49" s="341">
        <v>0</v>
      </c>
    </row>
    <row r="50" spans="1:52" ht="15.75" customHeight="1">
      <c r="A50" s="15"/>
      <c r="B50" s="15"/>
      <c r="C50" s="15"/>
      <c r="D50" s="340" t="s">
        <v>157</v>
      </c>
      <c r="E50" s="340" t="s">
        <v>107</v>
      </c>
      <c r="F50" s="341">
        <v>0</v>
      </c>
      <c r="G50" s="341">
        <v>89</v>
      </c>
      <c r="H50" s="341">
        <v>3.2</v>
      </c>
      <c r="I50" s="341">
        <v>15</v>
      </c>
      <c r="J50" s="341">
        <v>0</v>
      </c>
      <c r="K50" s="341">
        <v>0</v>
      </c>
      <c r="L50" s="341">
        <v>0</v>
      </c>
      <c r="M50" s="341">
        <v>0</v>
      </c>
      <c r="N50" s="341">
        <v>3</v>
      </c>
      <c r="O50" s="341">
        <v>20</v>
      </c>
      <c r="P50" s="341">
        <v>0</v>
      </c>
      <c r="Q50" s="341">
        <v>40</v>
      </c>
      <c r="R50" s="341">
        <v>0</v>
      </c>
      <c r="S50" s="341">
        <v>2.5</v>
      </c>
      <c r="T50" s="341">
        <v>0.5</v>
      </c>
      <c r="U50" s="341">
        <v>0</v>
      </c>
      <c r="V50" s="341">
        <v>0</v>
      </c>
      <c r="W50" s="341">
        <v>0</v>
      </c>
      <c r="X50" s="341">
        <v>0</v>
      </c>
      <c r="Y50" s="341">
        <v>0</v>
      </c>
      <c r="Z50" s="341">
        <v>0</v>
      </c>
      <c r="AA50" s="341">
        <v>0</v>
      </c>
      <c r="AB50" s="341">
        <v>0</v>
      </c>
      <c r="AC50" s="341">
        <v>0</v>
      </c>
      <c r="AD50" s="341">
        <v>0</v>
      </c>
      <c r="AE50" s="341">
        <v>0</v>
      </c>
      <c r="AF50" s="341">
        <v>0</v>
      </c>
      <c r="AG50" s="341">
        <v>0</v>
      </c>
      <c r="AH50" s="341">
        <v>0</v>
      </c>
      <c r="AI50" s="341">
        <v>0</v>
      </c>
      <c r="AJ50" s="341">
        <v>0</v>
      </c>
      <c r="AK50" s="341">
        <v>0</v>
      </c>
      <c r="AL50" s="341">
        <v>0</v>
      </c>
      <c r="AM50" s="341">
        <v>0</v>
      </c>
      <c r="AN50" s="341">
        <v>0</v>
      </c>
      <c r="AO50" s="341">
        <v>0</v>
      </c>
      <c r="AP50" s="341">
        <v>0</v>
      </c>
      <c r="AQ50" s="341">
        <v>0</v>
      </c>
      <c r="AR50" s="341">
        <v>0</v>
      </c>
      <c r="AS50" s="341">
        <v>0</v>
      </c>
      <c r="AT50" s="341">
        <v>0</v>
      </c>
      <c r="AU50" s="341">
        <v>0</v>
      </c>
      <c r="AV50" s="341">
        <v>0</v>
      </c>
      <c r="AW50" s="341">
        <v>0</v>
      </c>
      <c r="AX50" s="341">
        <v>0</v>
      </c>
      <c r="AY50" s="341">
        <v>0</v>
      </c>
      <c r="AZ50" s="341">
        <v>0</v>
      </c>
    </row>
    <row r="51" spans="1:52" ht="15.75" customHeight="1">
      <c r="A51" s="15"/>
      <c r="B51" s="15"/>
      <c r="C51" s="15"/>
      <c r="D51" s="340" t="s">
        <v>158</v>
      </c>
      <c r="E51" s="340" t="s">
        <v>107</v>
      </c>
      <c r="F51" s="341">
        <v>0</v>
      </c>
      <c r="G51" s="341">
        <v>87</v>
      </c>
      <c r="H51" s="341">
        <v>3.3</v>
      </c>
      <c r="I51" s="341">
        <v>12</v>
      </c>
      <c r="J51" s="341">
        <v>0.4</v>
      </c>
      <c r="K51" s="341">
        <v>0</v>
      </c>
      <c r="L51" s="341">
        <v>0.2</v>
      </c>
      <c r="M51" s="341">
        <v>0</v>
      </c>
      <c r="N51" s="341">
        <v>3</v>
      </c>
      <c r="O51" s="341">
        <v>20</v>
      </c>
      <c r="P51" s="341">
        <v>13</v>
      </c>
      <c r="Q51" s="341">
        <v>45</v>
      </c>
      <c r="R51" s="341">
        <v>20</v>
      </c>
      <c r="S51" s="341">
        <v>2.5</v>
      </c>
      <c r="T51" s="341">
        <v>0.5</v>
      </c>
      <c r="U51" s="341">
        <v>0</v>
      </c>
      <c r="V51" s="341">
        <v>0</v>
      </c>
      <c r="W51" s="341">
        <v>0.2</v>
      </c>
      <c r="X51" s="341">
        <v>0</v>
      </c>
      <c r="Y51" s="341">
        <v>0</v>
      </c>
      <c r="Z51" s="341">
        <v>0.08</v>
      </c>
      <c r="AA51" s="341">
        <v>16</v>
      </c>
      <c r="AB51" s="341">
        <v>1</v>
      </c>
      <c r="AC51" s="341">
        <v>40</v>
      </c>
      <c r="AD51" s="341">
        <v>0</v>
      </c>
      <c r="AE51" s="341">
        <v>0.4</v>
      </c>
      <c r="AF51" s="341">
        <v>48</v>
      </c>
      <c r="AG51" s="341">
        <v>225</v>
      </c>
      <c r="AH51" s="341">
        <v>500</v>
      </c>
      <c r="AI51" s="341">
        <v>60</v>
      </c>
      <c r="AJ51" s="341">
        <v>0.9</v>
      </c>
      <c r="AK51" s="341">
        <v>0.9</v>
      </c>
      <c r="AL51" s="341">
        <v>0</v>
      </c>
      <c r="AM51" s="341">
        <v>0</v>
      </c>
      <c r="AN51" s="341">
        <v>0</v>
      </c>
      <c r="AO51" s="341">
        <v>0</v>
      </c>
      <c r="AP51" s="341">
        <v>0</v>
      </c>
      <c r="AQ51" s="341">
        <v>0</v>
      </c>
      <c r="AR51" s="341">
        <v>0</v>
      </c>
      <c r="AS51" s="341">
        <v>0</v>
      </c>
      <c r="AT51" s="341">
        <v>0</v>
      </c>
      <c r="AU51" s="341">
        <v>0</v>
      </c>
      <c r="AV51" s="341">
        <v>0</v>
      </c>
      <c r="AW51" s="341">
        <v>0</v>
      </c>
      <c r="AX51" s="341">
        <v>0</v>
      </c>
      <c r="AY51" s="341">
        <v>0</v>
      </c>
      <c r="AZ51" s="341">
        <v>0</v>
      </c>
    </row>
    <row r="52" spans="1:52" ht="15.75" customHeight="1">
      <c r="A52" s="15"/>
      <c r="B52" s="15"/>
      <c r="C52" s="15"/>
      <c r="D52" s="340" t="s">
        <v>159</v>
      </c>
      <c r="E52" s="340" t="s">
        <v>160</v>
      </c>
      <c r="F52" s="341">
        <v>0</v>
      </c>
      <c r="G52" s="341">
        <v>99.8</v>
      </c>
      <c r="H52" s="341">
        <v>9.1199999999999992</v>
      </c>
      <c r="I52" s="341">
        <v>0</v>
      </c>
      <c r="J52" s="341">
        <v>0</v>
      </c>
      <c r="K52" s="341">
        <v>0</v>
      </c>
      <c r="L52" s="341">
        <v>0</v>
      </c>
      <c r="M52" s="341">
        <v>0</v>
      </c>
      <c r="N52" s="341">
        <v>99.2</v>
      </c>
      <c r="O52" s="341">
        <v>0</v>
      </c>
      <c r="P52" s="341">
        <v>0</v>
      </c>
      <c r="Q52" s="341">
        <v>0</v>
      </c>
      <c r="R52" s="341">
        <v>0</v>
      </c>
      <c r="S52" s="341">
        <v>0</v>
      </c>
      <c r="T52" s="341">
        <v>0</v>
      </c>
      <c r="U52" s="341">
        <v>0</v>
      </c>
      <c r="V52" s="341">
        <v>0</v>
      </c>
      <c r="W52" s="341">
        <v>0</v>
      </c>
      <c r="X52" s="341">
        <v>0</v>
      </c>
      <c r="Y52" s="341">
        <v>0</v>
      </c>
      <c r="Z52" s="341">
        <v>0</v>
      </c>
      <c r="AA52" s="341">
        <v>0</v>
      </c>
      <c r="AB52" s="341">
        <v>0</v>
      </c>
      <c r="AC52" s="341">
        <v>0</v>
      </c>
      <c r="AD52" s="341">
        <v>0</v>
      </c>
      <c r="AE52" s="341">
        <v>0</v>
      </c>
      <c r="AF52" s="341">
        <v>0</v>
      </c>
      <c r="AG52" s="341">
        <v>0</v>
      </c>
      <c r="AH52" s="341">
        <v>0</v>
      </c>
      <c r="AI52" s="341">
        <v>0</v>
      </c>
      <c r="AJ52" s="341">
        <v>0</v>
      </c>
      <c r="AK52" s="341">
        <v>0</v>
      </c>
      <c r="AL52" s="341">
        <v>0</v>
      </c>
      <c r="AM52" s="341">
        <v>0</v>
      </c>
      <c r="AN52" s="341">
        <v>0</v>
      </c>
      <c r="AO52" s="341">
        <v>0</v>
      </c>
      <c r="AP52" s="341">
        <v>0</v>
      </c>
      <c r="AQ52" s="341">
        <v>0</v>
      </c>
      <c r="AR52" s="341">
        <v>0</v>
      </c>
      <c r="AS52" s="341">
        <v>0</v>
      </c>
      <c r="AT52" s="341">
        <v>0</v>
      </c>
      <c r="AU52" s="341">
        <v>0</v>
      </c>
      <c r="AV52" s="341">
        <v>0</v>
      </c>
      <c r="AW52" s="341">
        <v>0</v>
      </c>
      <c r="AX52" s="341">
        <v>0</v>
      </c>
      <c r="AY52" s="341">
        <v>0</v>
      </c>
      <c r="AZ52" s="341">
        <v>0</v>
      </c>
    </row>
    <row r="53" spans="1:52" ht="15.75" customHeight="1">
      <c r="A53" s="15"/>
      <c r="B53" s="15"/>
      <c r="C53" s="15"/>
      <c r="D53" s="340" t="s">
        <v>161</v>
      </c>
      <c r="E53" s="340" t="s">
        <v>107</v>
      </c>
      <c r="F53" s="341">
        <v>0</v>
      </c>
      <c r="G53" s="341">
        <v>87</v>
      </c>
      <c r="H53" s="341">
        <v>3.5</v>
      </c>
      <c r="I53" s="341">
        <v>12</v>
      </c>
      <c r="J53" s="341">
        <v>0</v>
      </c>
      <c r="K53" s="341">
        <v>0</v>
      </c>
      <c r="L53" s="341">
        <v>0</v>
      </c>
      <c r="M53" s="341">
        <v>0</v>
      </c>
      <c r="N53" s="341">
        <v>6</v>
      </c>
      <c r="O53" s="341">
        <v>0</v>
      </c>
      <c r="P53" s="341">
        <v>0</v>
      </c>
      <c r="Q53" s="341">
        <v>45</v>
      </c>
      <c r="R53" s="341">
        <v>15</v>
      </c>
      <c r="S53" s="341">
        <v>1</v>
      </c>
      <c r="T53" s="341">
        <v>0.65</v>
      </c>
      <c r="U53" s="341">
        <v>0</v>
      </c>
      <c r="V53" s="341">
        <v>0</v>
      </c>
      <c r="W53" s="341">
        <v>0</v>
      </c>
      <c r="X53" s="341">
        <v>0</v>
      </c>
      <c r="Y53" s="341">
        <v>0</v>
      </c>
      <c r="Z53" s="341">
        <v>0.24</v>
      </c>
      <c r="AA53" s="341">
        <v>12</v>
      </c>
      <c r="AB53" s="341">
        <v>0.72</v>
      </c>
      <c r="AC53" s="341">
        <v>14.84</v>
      </c>
      <c r="AD53" s="341">
        <v>20</v>
      </c>
      <c r="AE53" s="341">
        <v>0.35</v>
      </c>
      <c r="AF53" s="341">
        <v>50</v>
      </c>
      <c r="AG53" s="341">
        <v>8</v>
      </c>
      <c r="AH53" s="341">
        <v>2000</v>
      </c>
      <c r="AI53" s="341">
        <v>80</v>
      </c>
      <c r="AJ53" s="341">
        <v>0</v>
      </c>
      <c r="AK53" s="341">
        <v>0</v>
      </c>
      <c r="AL53" s="341">
        <v>0</v>
      </c>
      <c r="AM53" s="341">
        <v>0</v>
      </c>
      <c r="AN53" s="341">
        <v>0</v>
      </c>
      <c r="AO53" s="341">
        <v>0</v>
      </c>
      <c r="AP53" s="341">
        <v>0</v>
      </c>
      <c r="AQ53" s="341">
        <v>0</v>
      </c>
      <c r="AR53" s="341">
        <v>0</v>
      </c>
      <c r="AS53" s="341">
        <v>0</v>
      </c>
      <c r="AT53" s="341">
        <v>0</v>
      </c>
      <c r="AU53" s="341">
        <v>0</v>
      </c>
      <c r="AV53" s="341">
        <v>0</v>
      </c>
      <c r="AW53" s="341">
        <v>0</v>
      </c>
      <c r="AX53" s="341">
        <v>0</v>
      </c>
      <c r="AY53" s="341">
        <v>0</v>
      </c>
      <c r="AZ53" s="341">
        <v>0</v>
      </c>
    </row>
    <row r="54" spans="1:52" ht="15.75" customHeight="1">
      <c r="A54" s="15"/>
      <c r="B54" s="15"/>
      <c r="C54" s="15"/>
      <c r="D54" s="340" t="s">
        <v>162</v>
      </c>
      <c r="E54" s="340" t="s">
        <v>124</v>
      </c>
      <c r="F54" s="341">
        <v>0</v>
      </c>
      <c r="G54" s="341">
        <v>99</v>
      </c>
      <c r="H54" s="341">
        <v>0</v>
      </c>
      <c r="I54" s="341">
        <v>0</v>
      </c>
      <c r="J54" s="341">
        <v>0</v>
      </c>
      <c r="K54" s="341">
        <v>0</v>
      </c>
      <c r="L54" s="341">
        <v>0</v>
      </c>
      <c r="M54" s="341">
        <v>0</v>
      </c>
      <c r="N54" s="341">
        <v>0</v>
      </c>
      <c r="O54" s="341">
        <v>0</v>
      </c>
      <c r="P54" s="341">
        <v>0</v>
      </c>
      <c r="Q54" s="341">
        <v>0</v>
      </c>
      <c r="R54" s="341">
        <v>99</v>
      </c>
      <c r="S54" s="341">
        <v>0</v>
      </c>
      <c r="T54" s="341">
        <v>0</v>
      </c>
      <c r="U54" s="341">
        <v>0</v>
      </c>
      <c r="V54" s="341">
        <v>0</v>
      </c>
      <c r="W54" s="341">
        <v>0</v>
      </c>
      <c r="X54" s="341">
        <v>0</v>
      </c>
      <c r="Y54" s="341">
        <v>0</v>
      </c>
      <c r="Z54" s="341">
        <v>0</v>
      </c>
      <c r="AA54" s="341">
        <v>0</v>
      </c>
      <c r="AB54" s="341">
        <v>560000</v>
      </c>
      <c r="AC54" s="341">
        <v>0</v>
      </c>
      <c r="AD54" s="341">
        <v>0</v>
      </c>
      <c r="AE54" s="341">
        <v>0</v>
      </c>
      <c r="AF54" s="341">
        <v>0</v>
      </c>
      <c r="AG54" s="341">
        <v>0</v>
      </c>
      <c r="AH54" s="341">
        <v>0</v>
      </c>
      <c r="AI54" s="341">
        <v>0</v>
      </c>
      <c r="AJ54" s="341">
        <v>0</v>
      </c>
      <c r="AK54" s="341">
        <v>0</v>
      </c>
      <c r="AL54" s="341">
        <v>0</v>
      </c>
      <c r="AM54" s="341">
        <v>0</v>
      </c>
      <c r="AN54" s="341">
        <v>0</v>
      </c>
      <c r="AO54" s="341">
        <v>0</v>
      </c>
      <c r="AP54" s="341">
        <v>0</v>
      </c>
      <c r="AQ54" s="341">
        <v>0</v>
      </c>
      <c r="AR54" s="341">
        <v>0</v>
      </c>
      <c r="AS54" s="341">
        <v>0</v>
      </c>
      <c r="AT54" s="341">
        <v>0</v>
      </c>
      <c r="AU54" s="341">
        <v>0</v>
      </c>
      <c r="AV54" s="341">
        <v>0</v>
      </c>
      <c r="AW54" s="341">
        <v>0</v>
      </c>
      <c r="AX54" s="341">
        <v>0</v>
      </c>
      <c r="AY54" s="341">
        <v>0</v>
      </c>
      <c r="AZ54" s="341">
        <v>0</v>
      </c>
    </row>
    <row r="55" spans="1:52" ht="15.75" customHeight="1">
      <c r="A55" s="15"/>
      <c r="B55" s="15"/>
      <c r="C55" s="15"/>
      <c r="D55" s="340" t="s">
        <v>163</v>
      </c>
      <c r="E55" s="340" t="s">
        <v>111</v>
      </c>
      <c r="F55" s="341">
        <v>0</v>
      </c>
      <c r="G55" s="341">
        <v>99</v>
      </c>
      <c r="H55" s="341">
        <v>0</v>
      </c>
      <c r="I55" s="341">
        <v>0</v>
      </c>
      <c r="J55" s="341">
        <v>0</v>
      </c>
      <c r="K55" s="341">
        <v>0</v>
      </c>
      <c r="L55" s="341">
        <v>0</v>
      </c>
      <c r="M55" s="341">
        <v>0</v>
      </c>
      <c r="N55" s="341">
        <v>0</v>
      </c>
      <c r="O55" s="341">
        <v>0</v>
      </c>
      <c r="P55" s="341">
        <v>0</v>
      </c>
      <c r="Q55" s="341">
        <v>0</v>
      </c>
      <c r="R55" s="341">
        <v>99</v>
      </c>
      <c r="S55" s="341">
        <v>0</v>
      </c>
      <c r="T55" s="341">
        <v>0</v>
      </c>
      <c r="U55" s="341">
        <v>0</v>
      </c>
      <c r="V55" s="341">
        <v>0</v>
      </c>
      <c r="W55" s="341">
        <v>0</v>
      </c>
      <c r="X55" s="341">
        <v>0</v>
      </c>
      <c r="Y55" s="341">
        <v>0</v>
      </c>
      <c r="Z55" s="341">
        <v>0</v>
      </c>
      <c r="AA55" s="341">
        <v>0</v>
      </c>
      <c r="AB55" s="341">
        <v>0</v>
      </c>
      <c r="AC55" s="341">
        <v>0</v>
      </c>
      <c r="AD55" s="341">
        <v>0</v>
      </c>
      <c r="AE55" s="341">
        <v>0</v>
      </c>
      <c r="AF55" s="341">
        <v>0</v>
      </c>
      <c r="AG55" s="341">
        <v>0</v>
      </c>
      <c r="AH55" s="341">
        <v>0</v>
      </c>
      <c r="AI55" s="341">
        <v>0</v>
      </c>
      <c r="AJ55" s="341">
        <v>0</v>
      </c>
      <c r="AK55" s="341">
        <v>0</v>
      </c>
      <c r="AL55" s="341">
        <v>10000</v>
      </c>
      <c r="AM55" s="341">
        <v>0</v>
      </c>
      <c r="AN55" s="341">
        <v>0</v>
      </c>
      <c r="AO55" s="341">
        <v>0</v>
      </c>
      <c r="AP55" s="341">
        <v>0</v>
      </c>
      <c r="AQ55" s="341">
        <v>0</v>
      </c>
      <c r="AR55" s="341">
        <v>0</v>
      </c>
      <c r="AS55" s="341">
        <v>0</v>
      </c>
      <c r="AT55" s="341">
        <v>0</v>
      </c>
      <c r="AU55" s="341">
        <v>0</v>
      </c>
      <c r="AV55" s="341">
        <v>0</v>
      </c>
      <c r="AW55" s="341">
        <v>0</v>
      </c>
      <c r="AX55" s="341">
        <v>0</v>
      </c>
      <c r="AY55" s="341">
        <v>0</v>
      </c>
      <c r="AZ55" s="341">
        <v>0</v>
      </c>
    </row>
    <row r="56" spans="1:52" ht="15.75" customHeight="1">
      <c r="A56" s="15"/>
      <c r="B56" s="15"/>
      <c r="C56" s="15"/>
      <c r="D56" s="340" t="s">
        <v>164</v>
      </c>
      <c r="E56" s="340" t="s">
        <v>165</v>
      </c>
      <c r="F56" s="341">
        <v>0</v>
      </c>
      <c r="G56" s="341">
        <v>99</v>
      </c>
      <c r="H56" s="341">
        <v>0</v>
      </c>
      <c r="I56" s="341">
        <v>0</v>
      </c>
      <c r="J56" s="341">
        <v>99</v>
      </c>
      <c r="K56" s="341">
        <v>0</v>
      </c>
      <c r="L56" s="341">
        <v>0</v>
      </c>
      <c r="M56" s="341">
        <v>0</v>
      </c>
      <c r="N56" s="341">
        <v>0</v>
      </c>
      <c r="O56" s="341">
        <v>0</v>
      </c>
      <c r="P56" s="341">
        <v>0</v>
      </c>
      <c r="Q56" s="341">
        <v>0</v>
      </c>
      <c r="R56" s="341">
        <v>99</v>
      </c>
      <c r="S56" s="341">
        <v>0</v>
      </c>
      <c r="T56" s="341">
        <v>0</v>
      </c>
      <c r="U56" s="341">
        <v>0</v>
      </c>
      <c r="V56" s="341">
        <v>0</v>
      </c>
      <c r="W56" s="341">
        <v>0</v>
      </c>
      <c r="X56" s="341">
        <v>0</v>
      </c>
      <c r="Y56" s="341">
        <v>0</v>
      </c>
      <c r="Z56" s="341">
        <v>0</v>
      </c>
      <c r="AA56" s="341">
        <v>0</v>
      </c>
      <c r="AB56" s="341">
        <v>0</v>
      </c>
      <c r="AC56" s="341">
        <v>0</v>
      </c>
      <c r="AD56" s="341">
        <v>0</v>
      </c>
      <c r="AE56" s="341">
        <v>0</v>
      </c>
      <c r="AF56" s="341">
        <v>0</v>
      </c>
      <c r="AG56" s="341">
        <v>0</v>
      </c>
      <c r="AH56" s="341">
        <v>0</v>
      </c>
      <c r="AI56" s="341">
        <v>0</v>
      </c>
      <c r="AJ56" s="341">
        <v>0</v>
      </c>
      <c r="AK56" s="341">
        <v>0</v>
      </c>
      <c r="AL56" s="341">
        <v>0</v>
      </c>
      <c r="AM56" s="341">
        <v>0</v>
      </c>
      <c r="AN56" s="341">
        <v>0</v>
      </c>
      <c r="AO56" s="341">
        <v>0</v>
      </c>
      <c r="AP56" s="341">
        <v>0</v>
      </c>
      <c r="AQ56" s="341">
        <v>0</v>
      </c>
      <c r="AR56" s="341">
        <v>0</v>
      </c>
      <c r="AS56" s="341">
        <v>0</v>
      </c>
      <c r="AT56" s="341">
        <v>0</v>
      </c>
      <c r="AU56" s="341">
        <v>0</v>
      </c>
      <c r="AV56" s="341">
        <v>0</v>
      </c>
      <c r="AW56" s="341">
        <v>0</v>
      </c>
      <c r="AX56" s="341">
        <v>0</v>
      </c>
      <c r="AY56" s="341">
        <v>0</v>
      </c>
      <c r="AZ56" s="341">
        <v>0</v>
      </c>
    </row>
    <row r="57" spans="1:52" ht="15.75" customHeight="1">
      <c r="A57" s="15"/>
      <c r="B57" s="15"/>
      <c r="C57" s="15"/>
      <c r="D57" s="340" t="s">
        <v>166</v>
      </c>
      <c r="E57" s="340" t="s">
        <v>111</v>
      </c>
      <c r="F57" s="341">
        <v>0</v>
      </c>
      <c r="G57" s="341">
        <v>99</v>
      </c>
      <c r="H57" s="341">
        <v>0</v>
      </c>
      <c r="I57" s="341">
        <v>0</v>
      </c>
      <c r="J57" s="341">
        <v>0</v>
      </c>
      <c r="K57" s="341">
        <v>0</v>
      </c>
      <c r="L57" s="341">
        <v>0</v>
      </c>
      <c r="M57" s="341">
        <v>0</v>
      </c>
      <c r="N57" s="341">
        <v>0</v>
      </c>
      <c r="O57" s="341">
        <v>0</v>
      </c>
      <c r="P57" s="341">
        <v>0</v>
      </c>
      <c r="Q57" s="341">
        <v>0</v>
      </c>
      <c r="R57" s="341">
        <v>99</v>
      </c>
      <c r="S57" s="341">
        <v>32</v>
      </c>
      <c r="T57" s="341">
        <v>0</v>
      </c>
      <c r="U57" s="341">
        <v>0</v>
      </c>
      <c r="V57" s="341">
        <v>0</v>
      </c>
      <c r="W57" s="341">
        <v>0</v>
      </c>
      <c r="X57" s="341">
        <v>0</v>
      </c>
      <c r="Y57" s="341">
        <v>0</v>
      </c>
      <c r="Z57" s="341">
        <v>0</v>
      </c>
      <c r="AA57" s="341">
        <v>0</v>
      </c>
      <c r="AB57" s="341">
        <v>0</v>
      </c>
      <c r="AC57" s="341">
        <v>0</v>
      </c>
      <c r="AD57" s="341">
        <v>0</v>
      </c>
      <c r="AE57" s="341">
        <v>0</v>
      </c>
      <c r="AF57" s="341">
        <v>0</v>
      </c>
      <c r="AG57" s="341">
        <v>0</v>
      </c>
      <c r="AH57" s="341">
        <v>0</v>
      </c>
      <c r="AI57" s="341">
        <v>0</v>
      </c>
      <c r="AJ57" s="341">
        <v>0</v>
      </c>
      <c r="AK57" s="341">
        <v>0</v>
      </c>
      <c r="AL57" s="341">
        <v>0</v>
      </c>
      <c r="AM57" s="341">
        <v>0</v>
      </c>
      <c r="AN57" s="341">
        <v>0</v>
      </c>
      <c r="AO57" s="341">
        <v>0</v>
      </c>
      <c r="AP57" s="341">
        <v>0</v>
      </c>
      <c r="AQ57" s="341">
        <v>0</v>
      </c>
      <c r="AR57" s="341">
        <v>0</v>
      </c>
      <c r="AS57" s="341">
        <v>0</v>
      </c>
      <c r="AT57" s="341">
        <v>0</v>
      </c>
      <c r="AU57" s="341">
        <v>0</v>
      </c>
      <c r="AV57" s="341">
        <v>0</v>
      </c>
      <c r="AW57" s="341">
        <v>0</v>
      </c>
      <c r="AX57" s="341">
        <v>0</v>
      </c>
      <c r="AY57" s="341">
        <v>0</v>
      </c>
      <c r="AZ57" s="341">
        <v>0</v>
      </c>
    </row>
    <row r="58" spans="1:52" ht="15.75" customHeight="1">
      <c r="A58" s="15"/>
      <c r="B58" s="15"/>
      <c r="C58" s="15"/>
      <c r="D58" s="340" t="s">
        <v>167</v>
      </c>
      <c r="E58" s="340" t="s">
        <v>107</v>
      </c>
      <c r="F58" s="341">
        <v>0</v>
      </c>
      <c r="G58" s="341">
        <v>77.900000000000006</v>
      </c>
      <c r="H58" s="341">
        <v>4.0599999999999996</v>
      </c>
      <c r="I58" s="341">
        <v>8.5</v>
      </c>
      <c r="J58" s="341">
        <v>0.09</v>
      </c>
      <c r="K58" s="341">
        <v>0</v>
      </c>
      <c r="L58" s="341">
        <v>0</v>
      </c>
      <c r="M58" s="341">
        <v>0</v>
      </c>
      <c r="N58" s="341">
        <v>0.2</v>
      </c>
      <c r="O58" s="341">
        <v>0.1</v>
      </c>
      <c r="P58" s="341">
        <v>0.1</v>
      </c>
      <c r="Q58" s="341">
        <v>0</v>
      </c>
      <c r="R58" s="341">
        <v>11.4</v>
      </c>
      <c r="S58" s="341">
        <v>0.15</v>
      </c>
      <c r="T58" s="341">
        <v>0.03</v>
      </c>
      <c r="U58" s="341">
        <v>0.28999999999999998</v>
      </c>
      <c r="V58" s="341">
        <v>6.06</v>
      </c>
      <c r="W58" s="341">
        <v>1.48</v>
      </c>
      <c r="X58" s="341">
        <v>0</v>
      </c>
      <c r="Y58" s="341">
        <v>0.6</v>
      </c>
      <c r="Z58" s="341">
        <v>0</v>
      </c>
      <c r="AA58" s="341">
        <v>22</v>
      </c>
      <c r="AB58" s="341">
        <v>0</v>
      </c>
      <c r="AC58" s="341">
        <v>87</v>
      </c>
      <c r="AD58" s="341">
        <v>66</v>
      </c>
      <c r="AE58" s="341">
        <v>0</v>
      </c>
      <c r="AF58" s="341">
        <v>18</v>
      </c>
      <c r="AG58" s="341">
        <v>0</v>
      </c>
      <c r="AH58" s="341">
        <v>0</v>
      </c>
      <c r="AI58" s="341">
        <v>0</v>
      </c>
      <c r="AJ58" s="341">
        <v>0</v>
      </c>
      <c r="AK58" s="341">
        <v>0</v>
      </c>
      <c r="AL58" s="341">
        <v>0</v>
      </c>
      <c r="AM58" s="341">
        <v>0</v>
      </c>
      <c r="AN58" s="341">
        <v>0</v>
      </c>
      <c r="AO58" s="341">
        <v>0</v>
      </c>
      <c r="AP58" s="341">
        <v>0</v>
      </c>
      <c r="AQ58" s="341">
        <v>0</v>
      </c>
      <c r="AR58" s="341">
        <v>0</v>
      </c>
      <c r="AS58" s="341">
        <v>0</v>
      </c>
      <c r="AT58" s="341">
        <v>0</v>
      </c>
      <c r="AU58" s="341">
        <v>0</v>
      </c>
      <c r="AV58" s="341">
        <v>0</v>
      </c>
      <c r="AW58" s="341">
        <v>0</v>
      </c>
      <c r="AX58" s="341">
        <v>0</v>
      </c>
      <c r="AY58" s="341">
        <v>0</v>
      </c>
      <c r="AZ58" s="341">
        <v>0</v>
      </c>
    </row>
    <row r="59" spans="1:52" ht="15.75" customHeight="1">
      <c r="A59" s="15"/>
      <c r="B59" s="15"/>
      <c r="C59" s="15"/>
      <c r="D59" s="340" t="s">
        <v>168</v>
      </c>
      <c r="E59" s="340" t="s">
        <v>107</v>
      </c>
      <c r="F59" s="341">
        <v>0</v>
      </c>
      <c r="G59" s="341">
        <v>74.3</v>
      </c>
      <c r="H59" s="341">
        <v>4.0599999999999996</v>
      </c>
      <c r="I59" s="341">
        <v>5.8</v>
      </c>
      <c r="J59" s="341">
        <v>0.06</v>
      </c>
      <c r="K59" s="341">
        <v>0</v>
      </c>
      <c r="L59" s="341">
        <v>0</v>
      </c>
      <c r="M59" s="341">
        <v>0</v>
      </c>
      <c r="N59" s="341">
        <v>0.2</v>
      </c>
      <c r="O59" s="341">
        <v>0.4</v>
      </c>
      <c r="P59" s="341">
        <v>0.2</v>
      </c>
      <c r="Q59" s="341">
        <v>0</v>
      </c>
      <c r="R59" s="341">
        <v>13.3</v>
      </c>
      <c r="S59" s="341">
        <v>1</v>
      </c>
      <c r="T59" s="341">
        <v>0.1</v>
      </c>
      <c r="U59" s="341">
        <v>0.42</v>
      </c>
      <c r="V59" s="341">
        <v>4.01</v>
      </c>
      <c r="W59" s="341">
        <v>0.22</v>
      </c>
      <c r="X59" s="341">
        <v>0</v>
      </c>
      <c r="Y59" s="341">
        <v>0.47</v>
      </c>
      <c r="Z59" s="341">
        <v>0</v>
      </c>
      <c r="AA59" s="341">
        <v>66</v>
      </c>
      <c r="AB59" s="341">
        <v>2.1</v>
      </c>
      <c r="AC59" s="341">
        <v>263</v>
      </c>
      <c r="AD59" s="341">
        <v>59</v>
      </c>
      <c r="AE59" s="341">
        <v>0</v>
      </c>
      <c r="AF59" s="341">
        <v>21</v>
      </c>
      <c r="AG59" s="341">
        <v>0</v>
      </c>
      <c r="AH59" s="341">
        <v>0</v>
      </c>
      <c r="AI59" s="341">
        <v>0</v>
      </c>
      <c r="AJ59" s="341">
        <v>0</v>
      </c>
      <c r="AK59" s="341">
        <v>0</v>
      </c>
      <c r="AL59" s="341">
        <v>0</v>
      </c>
      <c r="AM59" s="341">
        <v>0</v>
      </c>
      <c r="AN59" s="341">
        <v>0</v>
      </c>
      <c r="AO59" s="341">
        <v>0</v>
      </c>
      <c r="AP59" s="341">
        <v>0</v>
      </c>
      <c r="AQ59" s="341">
        <v>0</v>
      </c>
      <c r="AR59" s="341">
        <v>0</v>
      </c>
      <c r="AS59" s="341">
        <v>0</v>
      </c>
      <c r="AT59" s="341">
        <v>0</v>
      </c>
      <c r="AU59" s="341">
        <v>0</v>
      </c>
      <c r="AV59" s="341">
        <v>0</v>
      </c>
      <c r="AW59" s="341">
        <v>0</v>
      </c>
      <c r="AX59" s="341">
        <v>0</v>
      </c>
      <c r="AY59" s="341">
        <v>0</v>
      </c>
      <c r="AZ59" s="341">
        <v>0</v>
      </c>
    </row>
    <row r="60" spans="1:52" ht="15.75" customHeight="1">
      <c r="A60" s="15"/>
      <c r="B60" s="15"/>
      <c r="C60" s="15"/>
      <c r="D60" s="340" t="s">
        <v>169</v>
      </c>
      <c r="E60" s="340" t="s">
        <v>165</v>
      </c>
      <c r="F60" s="341">
        <v>0</v>
      </c>
      <c r="G60" s="341">
        <v>99</v>
      </c>
      <c r="H60" s="341">
        <v>0</v>
      </c>
      <c r="I60" s="341">
        <v>0</v>
      </c>
      <c r="J60" s="341">
        <v>0</v>
      </c>
      <c r="K60" s="341">
        <v>0</v>
      </c>
      <c r="L60" s="341">
        <v>99</v>
      </c>
      <c r="M60" s="341">
        <v>0</v>
      </c>
      <c r="N60" s="341">
        <v>0</v>
      </c>
      <c r="O60" s="341">
        <v>0</v>
      </c>
      <c r="P60" s="341">
        <v>0</v>
      </c>
      <c r="Q60" s="341">
        <v>0</v>
      </c>
      <c r="R60" s="341">
        <v>99</v>
      </c>
      <c r="S60" s="341">
        <v>0</v>
      </c>
      <c r="T60" s="341">
        <v>0</v>
      </c>
      <c r="U60" s="341">
        <v>0</v>
      </c>
      <c r="V60" s="341">
        <v>0</v>
      </c>
      <c r="W60" s="341">
        <v>0</v>
      </c>
      <c r="X60" s="341">
        <v>0</v>
      </c>
      <c r="Y60" s="341">
        <v>0</v>
      </c>
      <c r="Z60" s="341">
        <v>0</v>
      </c>
      <c r="AA60" s="341">
        <v>0</v>
      </c>
      <c r="AB60" s="341">
        <v>0</v>
      </c>
      <c r="AC60" s="341">
        <v>0</v>
      </c>
      <c r="AD60" s="341">
        <v>0</v>
      </c>
      <c r="AE60" s="341">
        <v>0</v>
      </c>
      <c r="AF60" s="341">
        <v>0</v>
      </c>
      <c r="AG60" s="341">
        <v>0</v>
      </c>
      <c r="AH60" s="341">
        <v>0</v>
      </c>
      <c r="AI60" s="341">
        <v>0</v>
      </c>
      <c r="AJ60" s="341">
        <v>0</v>
      </c>
      <c r="AK60" s="341">
        <v>0</v>
      </c>
      <c r="AL60" s="341">
        <v>0</v>
      </c>
      <c r="AM60" s="341">
        <v>0</v>
      </c>
      <c r="AN60" s="341">
        <v>0</v>
      </c>
      <c r="AO60" s="341">
        <v>0</v>
      </c>
      <c r="AP60" s="341">
        <v>0</v>
      </c>
      <c r="AQ60" s="341">
        <v>0</v>
      </c>
      <c r="AR60" s="341">
        <v>0</v>
      </c>
      <c r="AS60" s="341">
        <v>0</v>
      </c>
      <c r="AT60" s="341">
        <v>0</v>
      </c>
      <c r="AU60" s="341">
        <v>0</v>
      </c>
      <c r="AV60" s="341">
        <v>0</v>
      </c>
      <c r="AW60" s="341">
        <v>0</v>
      </c>
      <c r="AX60" s="341">
        <v>0</v>
      </c>
      <c r="AY60" s="341">
        <v>0</v>
      </c>
      <c r="AZ60" s="341">
        <v>0</v>
      </c>
    </row>
    <row r="61" spans="1:52" ht="15.75" customHeight="1">
      <c r="A61" s="15"/>
      <c r="B61" s="15"/>
      <c r="C61" s="15"/>
      <c r="D61" s="340" t="s">
        <v>170</v>
      </c>
      <c r="E61" s="340" t="s">
        <v>171</v>
      </c>
      <c r="F61" s="341"/>
      <c r="G61" s="341"/>
      <c r="H61" s="341"/>
      <c r="I61" s="341"/>
      <c r="J61" s="341"/>
      <c r="K61" s="341"/>
      <c r="L61" s="341"/>
      <c r="M61" s="341"/>
      <c r="N61" s="341">
        <v>0</v>
      </c>
      <c r="O61" s="341">
        <v>0</v>
      </c>
      <c r="P61" s="341">
        <v>0</v>
      </c>
      <c r="Q61" s="341">
        <v>0</v>
      </c>
      <c r="R61" s="341">
        <v>0</v>
      </c>
      <c r="S61" s="341">
        <v>0</v>
      </c>
      <c r="T61" s="341">
        <v>0</v>
      </c>
      <c r="U61" s="341">
        <v>0</v>
      </c>
      <c r="V61" s="341">
        <v>0</v>
      </c>
      <c r="W61" s="341">
        <v>0</v>
      </c>
      <c r="X61" s="341">
        <v>0</v>
      </c>
      <c r="Y61" s="341">
        <v>0</v>
      </c>
      <c r="Z61" s="341">
        <v>0</v>
      </c>
      <c r="AA61" s="341">
        <v>0</v>
      </c>
      <c r="AB61" s="341">
        <v>0</v>
      </c>
      <c r="AC61" s="341">
        <v>0</v>
      </c>
      <c r="AD61" s="341">
        <v>0</v>
      </c>
      <c r="AE61" s="341">
        <v>0</v>
      </c>
      <c r="AF61" s="341">
        <v>0</v>
      </c>
      <c r="AG61" s="341">
        <v>0</v>
      </c>
      <c r="AH61" s="341">
        <v>0</v>
      </c>
      <c r="AI61" s="341">
        <v>0</v>
      </c>
      <c r="AJ61" s="341">
        <v>0</v>
      </c>
      <c r="AK61" s="341">
        <v>0</v>
      </c>
      <c r="AL61" s="341">
        <v>0</v>
      </c>
      <c r="AM61" s="341">
        <v>0</v>
      </c>
      <c r="AN61" s="341">
        <v>0</v>
      </c>
      <c r="AO61" s="341">
        <v>9500</v>
      </c>
      <c r="AP61" s="341">
        <v>0</v>
      </c>
      <c r="AQ61" s="341">
        <v>0</v>
      </c>
      <c r="AR61" s="341">
        <v>0</v>
      </c>
      <c r="AS61" s="341">
        <v>0</v>
      </c>
      <c r="AT61" s="341">
        <v>0</v>
      </c>
      <c r="AU61" s="341">
        <v>0</v>
      </c>
      <c r="AV61" s="341">
        <v>0</v>
      </c>
      <c r="AW61" s="341">
        <v>0</v>
      </c>
      <c r="AX61" s="341">
        <v>0</v>
      </c>
      <c r="AY61" s="341">
        <v>0</v>
      </c>
      <c r="AZ61" s="341">
        <v>0</v>
      </c>
    </row>
    <row r="62" spans="1:52" ht="15.75" customHeight="1">
      <c r="A62" s="15"/>
      <c r="B62" s="15"/>
      <c r="C62" s="15"/>
      <c r="D62" s="340" t="s">
        <v>172</v>
      </c>
      <c r="E62" s="340" t="s">
        <v>111</v>
      </c>
      <c r="F62" s="341">
        <v>0</v>
      </c>
      <c r="G62" s="341">
        <v>99</v>
      </c>
      <c r="H62" s="341">
        <v>0</v>
      </c>
      <c r="I62" s="341">
        <v>0</v>
      </c>
      <c r="J62" s="341">
        <v>0</v>
      </c>
      <c r="K62" s="341">
        <v>0</v>
      </c>
      <c r="L62" s="341">
        <v>0</v>
      </c>
      <c r="M62" s="341">
        <v>0</v>
      </c>
      <c r="N62" s="341">
        <v>0</v>
      </c>
      <c r="O62" s="341">
        <v>0</v>
      </c>
      <c r="P62" s="341">
        <v>0</v>
      </c>
      <c r="Q62" s="341">
        <v>0</v>
      </c>
      <c r="R62" s="341">
        <v>0</v>
      </c>
      <c r="S62" s="341">
        <v>0</v>
      </c>
      <c r="T62" s="341">
        <v>0</v>
      </c>
      <c r="U62" s="341">
        <v>0</v>
      </c>
      <c r="V62" s="341">
        <v>0</v>
      </c>
      <c r="W62" s="341">
        <v>0</v>
      </c>
      <c r="X62" s="341">
        <v>0</v>
      </c>
      <c r="Y62" s="341">
        <v>0</v>
      </c>
      <c r="Z62" s="341">
        <v>0</v>
      </c>
      <c r="AA62" s="341">
        <v>0</v>
      </c>
      <c r="AB62" s="341">
        <v>0</v>
      </c>
      <c r="AC62" s="341">
        <v>0</v>
      </c>
      <c r="AD62" s="341">
        <v>0</v>
      </c>
      <c r="AE62" s="341">
        <v>0</v>
      </c>
      <c r="AF62" s="341">
        <v>0</v>
      </c>
      <c r="AG62" s="341">
        <v>0</v>
      </c>
      <c r="AH62" s="341">
        <v>0</v>
      </c>
      <c r="AI62" s="341">
        <v>0</v>
      </c>
      <c r="AJ62" s="341">
        <v>0</v>
      </c>
      <c r="AK62" s="341">
        <v>0</v>
      </c>
      <c r="AL62" s="341">
        <v>0</v>
      </c>
      <c r="AM62" s="341">
        <v>0</v>
      </c>
      <c r="AN62" s="341">
        <v>9800</v>
      </c>
      <c r="AO62" s="341">
        <v>0</v>
      </c>
      <c r="AP62" s="341">
        <v>0</v>
      </c>
      <c r="AQ62" s="341">
        <v>0</v>
      </c>
      <c r="AR62" s="341">
        <v>0</v>
      </c>
      <c r="AS62" s="341">
        <v>0</v>
      </c>
      <c r="AT62" s="341">
        <v>0</v>
      </c>
      <c r="AU62" s="341">
        <v>0</v>
      </c>
      <c r="AV62" s="341">
        <v>0</v>
      </c>
      <c r="AW62" s="341">
        <v>0</v>
      </c>
      <c r="AX62" s="341">
        <v>0</v>
      </c>
      <c r="AY62" s="341">
        <v>0</v>
      </c>
      <c r="AZ62" s="341">
        <v>0</v>
      </c>
    </row>
    <row r="63" spans="1:52" ht="15.75" customHeight="1">
      <c r="A63" s="15"/>
      <c r="B63" s="15"/>
      <c r="C63" s="15"/>
      <c r="D63" s="340" t="s">
        <v>173</v>
      </c>
      <c r="E63" s="340" t="s">
        <v>107</v>
      </c>
      <c r="F63" s="341">
        <v>0</v>
      </c>
      <c r="G63" s="341">
        <v>90.2</v>
      </c>
      <c r="H63" s="341">
        <v>2.99</v>
      </c>
      <c r="I63" s="341">
        <v>29.7</v>
      </c>
      <c r="J63" s="341">
        <v>0.67</v>
      </c>
      <c r="K63" s="341">
        <v>0</v>
      </c>
      <c r="L63" s="341">
        <v>0</v>
      </c>
      <c r="M63" s="341">
        <v>0</v>
      </c>
      <c r="N63" s="341">
        <v>10</v>
      </c>
      <c r="O63" s="341">
        <v>38.799999999999997</v>
      </c>
      <c r="P63" s="341">
        <v>19.7</v>
      </c>
      <c r="Q63" s="341">
        <v>0</v>
      </c>
      <c r="R63" s="341">
        <v>5.2</v>
      </c>
      <c r="S63" s="341">
        <v>0.22</v>
      </c>
      <c r="T63" s="341">
        <v>0.83</v>
      </c>
      <c r="U63" s="341">
        <v>0.33</v>
      </c>
      <c r="V63" s="341">
        <v>1.1000000000000001</v>
      </c>
      <c r="W63" s="341">
        <v>0.3</v>
      </c>
      <c r="X63" s="341">
        <v>0.26</v>
      </c>
      <c r="Y63" s="341">
        <v>0.44</v>
      </c>
      <c r="Z63" s="341">
        <v>0</v>
      </c>
      <c r="AA63" s="341">
        <v>8</v>
      </c>
      <c r="AB63" s="341">
        <v>0</v>
      </c>
      <c r="AC63" s="341">
        <v>178</v>
      </c>
      <c r="AD63" s="341">
        <v>27</v>
      </c>
      <c r="AE63" s="341">
        <v>0.39</v>
      </c>
      <c r="AF63" s="341">
        <v>65</v>
      </c>
      <c r="AG63" s="341">
        <v>0</v>
      </c>
      <c r="AH63" s="341">
        <v>0</v>
      </c>
      <c r="AI63" s="341">
        <v>0</v>
      </c>
      <c r="AJ63" s="341">
        <v>0</v>
      </c>
      <c r="AK63" s="341">
        <v>0</v>
      </c>
      <c r="AL63" s="341">
        <v>0</v>
      </c>
      <c r="AM63" s="341">
        <v>0</v>
      </c>
      <c r="AN63" s="341">
        <v>0</v>
      </c>
      <c r="AO63" s="341">
        <v>0</v>
      </c>
      <c r="AP63" s="341">
        <v>0</v>
      </c>
      <c r="AQ63" s="341">
        <v>0</v>
      </c>
      <c r="AR63" s="341">
        <v>0</v>
      </c>
      <c r="AS63" s="341">
        <v>0</v>
      </c>
      <c r="AT63" s="341">
        <v>0</v>
      </c>
      <c r="AU63" s="341">
        <v>0</v>
      </c>
      <c r="AV63" s="341">
        <v>0</v>
      </c>
      <c r="AW63" s="341">
        <v>0</v>
      </c>
      <c r="AX63" s="341">
        <v>0</v>
      </c>
      <c r="AY63" s="341">
        <v>0</v>
      </c>
      <c r="AZ63" s="341">
        <v>0</v>
      </c>
    </row>
    <row r="64" spans="1:52" ht="15.75" customHeight="1">
      <c r="A64" s="15"/>
      <c r="B64" s="15"/>
      <c r="C64" s="15"/>
      <c r="D64" s="340" t="s">
        <v>174</v>
      </c>
      <c r="E64" s="340" t="s">
        <v>107</v>
      </c>
      <c r="F64" s="341">
        <v>0</v>
      </c>
      <c r="G64" s="341">
        <v>86.4</v>
      </c>
      <c r="H64" s="341">
        <v>3.62</v>
      </c>
      <c r="I64" s="341">
        <v>65</v>
      </c>
      <c r="J64" s="341">
        <v>1.1000000000000001</v>
      </c>
      <c r="K64" s="341">
        <v>0</v>
      </c>
      <c r="L64" s="341">
        <v>0</v>
      </c>
      <c r="M64" s="341">
        <v>0</v>
      </c>
      <c r="N64" s="341">
        <v>2.5</v>
      </c>
      <c r="O64" s="341">
        <v>11.1</v>
      </c>
      <c r="P64" s="341">
        <v>8.1999999999999993</v>
      </c>
      <c r="Q64" s="341">
        <v>0</v>
      </c>
      <c r="R64" s="341">
        <v>3.3</v>
      </c>
      <c r="S64" s="341">
        <v>0.06</v>
      </c>
      <c r="T64" s="341">
        <v>0.6</v>
      </c>
      <c r="U64" s="341">
        <v>0.14000000000000001</v>
      </c>
      <c r="V64" s="341">
        <v>0.46</v>
      </c>
      <c r="W64" s="341">
        <v>0.05</v>
      </c>
      <c r="X64" s="341">
        <v>0.11</v>
      </c>
      <c r="Y64" s="341">
        <v>0.86</v>
      </c>
      <c r="Z64" s="341">
        <v>0</v>
      </c>
      <c r="AA64" s="341">
        <v>4</v>
      </c>
      <c r="AB64" s="341">
        <v>0</v>
      </c>
      <c r="AC64" s="341">
        <v>138</v>
      </c>
      <c r="AD64" s="341">
        <v>15</v>
      </c>
      <c r="AE64" s="341">
        <v>0.34</v>
      </c>
      <c r="AF64" s="341">
        <v>49</v>
      </c>
      <c r="AG64" s="341">
        <v>0</v>
      </c>
      <c r="AH64" s="341">
        <v>0</v>
      </c>
      <c r="AI64" s="341">
        <v>0</v>
      </c>
      <c r="AJ64" s="341">
        <v>0</v>
      </c>
      <c r="AK64" s="341">
        <v>0</v>
      </c>
      <c r="AL64" s="341">
        <v>0</v>
      </c>
      <c r="AM64" s="341">
        <v>0</v>
      </c>
      <c r="AN64" s="341">
        <v>0</v>
      </c>
      <c r="AO64" s="341">
        <v>0</v>
      </c>
      <c r="AP64" s="341">
        <v>0</v>
      </c>
      <c r="AQ64" s="341">
        <v>0</v>
      </c>
      <c r="AR64" s="341">
        <v>0</v>
      </c>
      <c r="AS64" s="341">
        <v>0</v>
      </c>
      <c r="AT64" s="341">
        <v>0</v>
      </c>
      <c r="AU64" s="341">
        <v>0</v>
      </c>
      <c r="AV64" s="341">
        <v>0</v>
      </c>
      <c r="AW64" s="341">
        <v>0</v>
      </c>
      <c r="AX64" s="341">
        <v>0</v>
      </c>
      <c r="AY64" s="341">
        <v>0</v>
      </c>
      <c r="AZ64" s="341">
        <v>0</v>
      </c>
    </row>
    <row r="65" spans="1:52" ht="15.75" customHeight="1">
      <c r="A65" s="15"/>
      <c r="B65" s="15"/>
      <c r="C65" s="15"/>
      <c r="D65" s="340" t="s">
        <v>175</v>
      </c>
      <c r="E65" s="340" t="s">
        <v>107</v>
      </c>
      <c r="F65" s="341">
        <v>0</v>
      </c>
      <c r="G65" s="341">
        <v>89.4</v>
      </c>
      <c r="H65" s="341">
        <v>3.4</v>
      </c>
      <c r="I65" s="341">
        <v>23.8</v>
      </c>
      <c r="J65" s="341">
        <v>0.65</v>
      </c>
      <c r="K65" s="341">
        <v>0</v>
      </c>
      <c r="L65" s="341">
        <v>0</v>
      </c>
      <c r="M65" s="341">
        <v>0</v>
      </c>
      <c r="N65" s="341">
        <v>3.5</v>
      </c>
      <c r="O65" s="341">
        <v>35.5</v>
      </c>
      <c r="P65" s="341">
        <v>12.1</v>
      </c>
      <c r="Q65" s="341">
        <v>0</v>
      </c>
      <c r="R65" s="341">
        <v>6.8</v>
      </c>
      <c r="S65" s="341">
        <v>7.0000000000000007E-2</v>
      </c>
      <c r="T65" s="341">
        <v>1</v>
      </c>
      <c r="U65" s="341">
        <v>0.42</v>
      </c>
      <c r="V65" s="341">
        <v>1.46</v>
      </c>
      <c r="W65" s="341">
        <v>0.13</v>
      </c>
      <c r="X65" s="341">
        <v>0.2</v>
      </c>
      <c r="Y65" s="341">
        <v>0.44</v>
      </c>
      <c r="Z65" s="341">
        <v>0</v>
      </c>
      <c r="AA65" s="341">
        <v>6</v>
      </c>
      <c r="AB65" s="341">
        <v>0</v>
      </c>
      <c r="AC65" s="341">
        <v>196</v>
      </c>
      <c r="AD65" s="341">
        <v>23</v>
      </c>
      <c r="AE65" s="341">
        <v>0.19</v>
      </c>
      <c r="AF65" s="341">
        <v>75</v>
      </c>
      <c r="AG65" s="341">
        <v>0</v>
      </c>
      <c r="AH65" s="341">
        <v>0</v>
      </c>
      <c r="AI65" s="341">
        <v>0</v>
      </c>
      <c r="AJ65" s="341">
        <v>0</v>
      </c>
      <c r="AK65" s="341">
        <v>0</v>
      </c>
      <c r="AL65" s="341">
        <v>0</v>
      </c>
      <c r="AM65" s="341">
        <v>0</v>
      </c>
      <c r="AN65" s="341">
        <v>0</v>
      </c>
      <c r="AO65" s="341">
        <v>0</v>
      </c>
      <c r="AP65" s="341">
        <v>0</v>
      </c>
      <c r="AQ65" s="341">
        <v>0</v>
      </c>
      <c r="AR65" s="341">
        <v>0</v>
      </c>
      <c r="AS65" s="341">
        <v>0</v>
      </c>
      <c r="AT65" s="341">
        <v>0</v>
      </c>
      <c r="AU65" s="341">
        <v>0</v>
      </c>
      <c r="AV65" s="341">
        <v>0</v>
      </c>
      <c r="AW65" s="341">
        <v>0</v>
      </c>
      <c r="AX65" s="341">
        <v>0</v>
      </c>
      <c r="AY65" s="341">
        <v>0</v>
      </c>
      <c r="AZ65" s="341">
        <v>0</v>
      </c>
    </row>
    <row r="66" spans="1:52" ht="15.75" customHeight="1">
      <c r="A66" s="15"/>
      <c r="B66" s="15"/>
      <c r="C66" s="15"/>
      <c r="D66" s="340" t="s">
        <v>176</v>
      </c>
      <c r="E66" s="340" t="s">
        <v>107</v>
      </c>
      <c r="F66" s="341">
        <v>0</v>
      </c>
      <c r="G66" s="341">
        <v>88.1</v>
      </c>
      <c r="H66" s="341">
        <v>3.88</v>
      </c>
      <c r="I66" s="341">
        <v>9.4</v>
      </c>
      <c r="J66" s="341">
        <v>0.28999999999999998</v>
      </c>
      <c r="K66" s="341">
        <v>0</v>
      </c>
      <c r="L66" s="341">
        <v>0</v>
      </c>
      <c r="M66" s="341">
        <v>0</v>
      </c>
      <c r="N66" s="341">
        <v>4.2</v>
      </c>
      <c r="O66" s="341">
        <v>9.5</v>
      </c>
      <c r="P66" s="341">
        <v>3.4</v>
      </c>
      <c r="Q66" s="341">
        <v>0</v>
      </c>
      <c r="R66" s="341">
        <v>1.5</v>
      </c>
      <c r="S66" s="341">
        <v>0.04</v>
      </c>
      <c r="T66" s="341">
        <v>0.3</v>
      </c>
      <c r="U66" s="341">
        <v>0.12</v>
      </c>
      <c r="V66" s="341">
        <v>0.42</v>
      </c>
      <c r="W66" s="341">
        <v>0.02</v>
      </c>
      <c r="X66" s="341">
        <v>0.08</v>
      </c>
      <c r="Y66" s="341">
        <v>0.1</v>
      </c>
      <c r="Z66" s="341">
        <v>0</v>
      </c>
      <c r="AA66" s="341">
        <v>3</v>
      </c>
      <c r="AB66" s="341">
        <v>0</v>
      </c>
      <c r="AC66" s="341">
        <v>54</v>
      </c>
      <c r="AD66" s="341">
        <v>11</v>
      </c>
      <c r="AE66" s="341">
        <v>7.0000000000000007E-2</v>
      </c>
      <c r="AF66" s="341">
        <v>27</v>
      </c>
      <c r="AG66" s="341">
        <v>0</v>
      </c>
      <c r="AH66" s="341">
        <v>0</v>
      </c>
      <c r="AI66" s="341">
        <v>0</v>
      </c>
      <c r="AJ66" s="341">
        <v>0</v>
      </c>
      <c r="AK66" s="341">
        <v>0</v>
      </c>
      <c r="AL66" s="341">
        <v>0</v>
      </c>
      <c r="AM66" s="341">
        <v>0</v>
      </c>
      <c r="AN66" s="341">
        <v>0</v>
      </c>
      <c r="AO66" s="341">
        <v>0</v>
      </c>
      <c r="AP66" s="341">
        <v>0</v>
      </c>
      <c r="AQ66" s="341">
        <v>0</v>
      </c>
      <c r="AR66" s="341">
        <v>0</v>
      </c>
      <c r="AS66" s="341">
        <v>0</v>
      </c>
      <c r="AT66" s="341">
        <v>0</v>
      </c>
      <c r="AU66" s="341">
        <v>0</v>
      </c>
      <c r="AV66" s="341">
        <v>0</v>
      </c>
      <c r="AW66" s="341">
        <v>0</v>
      </c>
      <c r="AX66" s="341">
        <v>0</v>
      </c>
      <c r="AY66" s="341">
        <v>0</v>
      </c>
      <c r="AZ66" s="341">
        <v>0</v>
      </c>
    </row>
    <row r="67" spans="1:52" ht="15.75" customHeight="1">
      <c r="A67" s="15"/>
      <c r="B67" s="15"/>
      <c r="C67" s="15"/>
      <c r="D67" s="340" t="s">
        <v>177</v>
      </c>
      <c r="E67" s="340" t="s">
        <v>107</v>
      </c>
      <c r="F67" s="341">
        <v>0</v>
      </c>
      <c r="G67" s="341">
        <v>88.1</v>
      </c>
      <c r="H67" s="341">
        <v>3.88</v>
      </c>
      <c r="I67" s="341">
        <v>9.1</v>
      </c>
      <c r="J67" s="341">
        <v>0.26</v>
      </c>
      <c r="K67" s="341">
        <v>0</v>
      </c>
      <c r="L67" s="341">
        <v>0</v>
      </c>
      <c r="M67" s="341">
        <v>0</v>
      </c>
      <c r="N67" s="341">
        <v>4.2</v>
      </c>
      <c r="O67" s="341">
        <v>9.5</v>
      </c>
      <c r="P67" s="341">
        <v>3.4</v>
      </c>
      <c r="Q67" s="341">
        <v>0</v>
      </c>
      <c r="R67" s="341">
        <v>1.5</v>
      </c>
      <c r="S67" s="341">
        <v>0.04</v>
      </c>
      <c r="T67" s="341">
        <v>0.3</v>
      </c>
      <c r="U67" s="341">
        <v>0.12</v>
      </c>
      <c r="V67" s="341">
        <v>0.42</v>
      </c>
      <c r="W67" s="341">
        <v>0.02</v>
      </c>
      <c r="X67" s="341">
        <v>0.08</v>
      </c>
      <c r="Y67" s="341">
        <v>0.1</v>
      </c>
      <c r="Z67" s="341">
        <v>0</v>
      </c>
      <c r="AA67" s="341">
        <v>3</v>
      </c>
      <c r="AB67" s="341">
        <v>0</v>
      </c>
      <c r="AC67" s="341">
        <v>54</v>
      </c>
      <c r="AD67" s="341">
        <v>11</v>
      </c>
      <c r="AE67" s="341">
        <v>7.0000000000000007E-2</v>
      </c>
      <c r="AF67" s="341">
        <v>27</v>
      </c>
      <c r="AG67" s="341">
        <v>0</v>
      </c>
      <c r="AH67" s="341">
        <v>0</v>
      </c>
      <c r="AI67" s="341">
        <v>0</v>
      </c>
      <c r="AJ67" s="341">
        <v>0</v>
      </c>
      <c r="AK67" s="341">
        <v>0</v>
      </c>
      <c r="AL67" s="341">
        <v>0</v>
      </c>
      <c r="AM67" s="341">
        <v>0</v>
      </c>
      <c r="AN67" s="341">
        <v>0</v>
      </c>
      <c r="AO67" s="341">
        <v>0</v>
      </c>
      <c r="AP67" s="341">
        <v>0</v>
      </c>
      <c r="AQ67" s="341">
        <v>0</v>
      </c>
      <c r="AR67" s="341">
        <v>0</v>
      </c>
      <c r="AS67" s="341">
        <v>0</v>
      </c>
      <c r="AT67" s="341">
        <v>0</v>
      </c>
      <c r="AU67" s="341">
        <v>0</v>
      </c>
      <c r="AV67" s="341">
        <v>0</v>
      </c>
      <c r="AW67" s="341">
        <v>0</v>
      </c>
      <c r="AX67" s="341">
        <v>0</v>
      </c>
      <c r="AY67" s="341">
        <v>0</v>
      </c>
      <c r="AZ67" s="341">
        <v>0</v>
      </c>
    </row>
    <row r="68" spans="1:52" ht="15.75" customHeight="1">
      <c r="A68" s="15"/>
      <c r="B68" s="15"/>
      <c r="C68" s="15"/>
      <c r="D68" s="340" t="s">
        <v>178</v>
      </c>
      <c r="E68" s="340" t="s">
        <v>107</v>
      </c>
      <c r="F68" s="341">
        <v>0</v>
      </c>
      <c r="G68" s="341">
        <v>88.1</v>
      </c>
      <c r="H68" s="341">
        <v>3.88</v>
      </c>
      <c r="I68" s="341">
        <v>9.4</v>
      </c>
      <c r="J68" s="341">
        <v>0.27</v>
      </c>
      <c r="K68" s="341">
        <v>0</v>
      </c>
      <c r="L68" s="341">
        <v>0</v>
      </c>
      <c r="M68" s="341">
        <v>0</v>
      </c>
      <c r="N68" s="341">
        <v>4.2</v>
      </c>
      <c r="O68" s="341">
        <v>9.5</v>
      </c>
      <c r="P68" s="341">
        <v>3.4</v>
      </c>
      <c r="Q68" s="341">
        <v>0</v>
      </c>
      <c r="R68" s="341">
        <v>1.5</v>
      </c>
      <c r="S68" s="341">
        <v>0.04</v>
      </c>
      <c r="T68" s="341">
        <v>0.3</v>
      </c>
      <c r="U68" s="341">
        <v>0.12</v>
      </c>
      <c r="V68" s="341">
        <v>0.42</v>
      </c>
      <c r="W68" s="341">
        <v>0.02</v>
      </c>
      <c r="X68" s="341">
        <v>0.08</v>
      </c>
      <c r="Y68" s="341">
        <v>0.1</v>
      </c>
      <c r="Z68" s="341">
        <v>0</v>
      </c>
      <c r="AA68" s="341">
        <v>3</v>
      </c>
      <c r="AB68" s="341">
        <v>0</v>
      </c>
      <c r="AC68" s="341">
        <v>54</v>
      </c>
      <c r="AD68" s="341">
        <v>11</v>
      </c>
      <c r="AE68" s="341">
        <v>7.0000000000000007E-2</v>
      </c>
      <c r="AF68" s="341">
        <v>27</v>
      </c>
      <c r="AG68" s="341">
        <v>0</v>
      </c>
      <c r="AH68" s="341">
        <v>0</v>
      </c>
      <c r="AI68" s="341">
        <v>0</v>
      </c>
      <c r="AJ68" s="341">
        <v>0</v>
      </c>
      <c r="AK68" s="341">
        <v>0</v>
      </c>
      <c r="AL68" s="341">
        <v>0</v>
      </c>
      <c r="AM68" s="341">
        <v>0</v>
      </c>
      <c r="AN68" s="341">
        <v>0</v>
      </c>
      <c r="AO68" s="341">
        <v>0</v>
      </c>
      <c r="AP68" s="341">
        <v>0</v>
      </c>
      <c r="AQ68" s="341">
        <v>0</v>
      </c>
      <c r="AR68" s="341">
        <v>0</v>
      </c>
      <c r="AS68" s="341">
        <v>0</v>
      </c>
      <c r="AT68" s="341">
        <v>0</v>
      </c>
      <c r="AU68" s="341">
        <v>0</v>
      </c>
      <c r="AV68" s="341">
        <v>0</v>
      </c>
      <c r="AW68" s="341">
        <v>0</v>
      </c>
      <c r="AX68" s="341">
        <v>0</v>
      </c>
      <c r="AY68" s="341">
        <v>0</v>
      </c>
      <c r="AZ68" s="341">
        <v>0</v>
      </c>
    </row>
    <row r="69" spans="1:52" ht="15.75" customHeight="1">
      <c r="A69" s="15"/>
      <c r="B69" s="15"/>
      <c r="C69" s="15"/>
      <c r="D69" s="340" t="s">
        <v>179</v>
      </c>
      <c r="E69" s="340" t="s">
        <v>107</v>
      </c>
      <c r="F69" s="341">
        <v>0</v>
      </c>
      <c r="G69" s="341">
        <v>89.2</v>
      </c>
      <c r="H69" s="341">
        <v>3.63</v>
      </c>
      <c r="I69" s="341">
        <v>8.6</v>
      </c>
      <c r="J69" s="341">
        <v>0.22</v>
      </c>
      <c r="K69" s="341">
        <v>0</v>
      </c>
      <c r="L69" s="341">
        <v>0</v>
      </c>
      <c r="M69" s="341">
        <v>0</v>
      </c>
      <c r="N69" s="341">
        <v>3.9</v>
      </c>
      <c r="O69" s="341">
        <v>21.5</v>
      </c>
      <c r="P69" s="341">
        <v>8</v>
      </c>
      <c r="Q69" s="341">
        <v>0</v>
      </c>
      <c r="R69" s="341">
        <v>1.7</v>
      </c>
      <c r="S69" s="341">
        <v>0.06</v>
      </c>
      <c r="T69" s="341">
        <v>0.28999999999999998</v>
      </c>
      <c r="U69" s="341">
        <v>0.13</v>
      </c>
      <c r="V69" s="341">
        <v>0.49</v>
      </c>
      <c r="W69" s="341">
        <v>0.03</v>
      </c>
      <c r="X69" s="341">
        <v>7.0000000000000007E-2</v>
      </c>
      <c r="Y69" s="341">
        <v>0.1</v>
      </c>
      <c r="Z69" s="341">
        <v>0</v>
      </c>
      <c r="AA69" s="341">
        <v>3</v>
      </c>
      <c r="AB69" s="341">
        <v>0</v>
      </c>
      <c r="AC69" s="341">
        <v>91</v>
      </c>
      <c r="AD69" s="341">
        <v>10</v>
      </c>
      <c r="AE69" s="341">
        <v>7.0000000000000007E-2</v>
      </c>
      <c r="AF69" s="341">
        <v>27</v>
      </c>
      <c r="AG69" s="341">
        <v>0</v>
      </c>
      <c r="AH69" s="341">
        <v>0</v>
      </c>
      <c r="AI69" s="341">
        <v>0</v>
      </c>
      <c r="AJ69" s="341">
        <v>0</v>
      </c>
      <c r="AK69" s="341">
        <v>0</v>
      </c>
      <c r="AL69" s="341">
        <v>0</v>
      </c>
      <c r="AM69" s="341">
        <v>0</v>
      </c>
      <c r="AN69" s="341">
        <v>0</v>
      </c>
      <c r="AO69" s="341">
        <v>0</v>
      </c>
      <c r="AP69" s="341">
        <v>0</v>
      </c>
      <c r="AQ69" s="341">
        <v>0</v>
      </c>
      <c r="AR69" s="341">
        <v>0</v>
      </c>
      <c r="AS69" s="341">
        <v>0</v>
      </c>
      <c r="AT69" s="341">
        <v>0</v>
      </c>
      <c r="AU69" s="341">
        <v>0</v>
      </c>
      <c r="AV69" s="341">
        <v>0</v>
      </c>
      <c r="AW69" s="341">
        <v>0</v>
      </c>
      <c r="AX69" s="341">
        <v>0</v>
      </c>
      <c r="AY69" s="341">
        <v>0</v>
      </c>
      <c r="AZ69" s="341">
        <v>0</v>
      </c>
    </row>
    <row r="70" spans="1:52" ht="15.75" customHeight="1">
      <c r="A70" s="15"/>
      <c r="B70" s="15"/>
      <c r="C70" s="15"/>
      <c r="D70" s="340" t="s">
        <v>180</v>
      </c>
      <c r="E70" s="340" t="s">
        <v>105</v>
      </c>
      <c r="F70" s="341">
        <v>0</v>
      </c>
      <c r="G70" s="341">
        <v>23.5</v>
      </c>
      <c r="H70" s="341">
        <v>2.4500000000000002</v>
      </c>
      <c r="I70" s="341">
        <v>9.6999999999999993</v>
      </c>
      <c r="J70" s="341">
        <v>0.25</v>
      </c>
      <c r="K70" s="341">
        <v>0</v>
      </c>
      <c r="L70" s="341">
        <v>0</v>
      </c>
      <c r="M70" s="341">
        <v>0</v>
      </c>
      <c r="N70" s="341">
        <v>2.5</v>
      </c>
      <c r="O70" s="341">
        <v>54.1</v>
      </c>
      <c r="P70" s="341">
        <v>34.1</v>
      </c>
      <c r="Q70" s="341">
        <v>0</v>
      </c>
      <c r="R70" s="341">
        <v>4.8</v>
      </c>
      <c r="S70" s="341">
        <v>0.28999999999999998</v>
      </c>
      <c r="T70" s="341">
        <v>0.24</v>
      </c>
      <c r="U70" s="341">
        <v>0.19</v>
      </c>
      <c r="V70" s="341">
        <v>1.3</v>
      </c>
      <c r="W70" s="341">
        <v>0.01</v>
      </c>
      <c r="X70" s="341">
        <v>0.3</v>
      </c>
      <c r="Y70" s="341">
        <v>0.14000000000000001</v>
      </c>
      <c r="Z70" s="341">
        <v>0</v>
      </c>
      <c r="AA70" s="341">
        <v>6.2</v>
      </c>
      <c r="AB70" s="341">
        <v>0</v>
      </c>
      <c r="AC70" s="341">
        <v>157</v>
      </c>
      <c r="AD70" s="341">
        <v>46</v>
      </c>
      <c r="AE70" s="341">
        <v>0.04</v>
      </c>
      <c r="AF70" s="341">
        <v>29</v>
      </c>
      <c r="AG70" s="341">
        <v>0</v>
      </c>
      <c r="AH70" s="341">
        <v>0</v>
      </c>
      <c r="AI70" s="341">
        <v>0</v>
      </c>
      <c r="AJ70" s="341">
        <v>0</v>
      </c>
      <c r="AK70" s="341">
        <v>0</v>
      </c>
      <c r="AL70" s="341">
        <v>0</v>
      </c>
      <c r="AM70" s="341">
        <v>0</v>
      </c>
      <c r="AN70" s="341">
        <v>0</v>
      </c>
      <c r="AO70" s="341">
        <v>0</v>
      </c>
      <c r="AP70" s="341">
        <v>0</v>
      </c>
      <c r="AQ70" s="341">
        <v>0</v>
      </c>
      <c r="AR70" s="341">
        <v>0</v>
      </c>
      <c r="AS70" s="341">
        <v>0</v>
      </c>
      <c r="AT70" s="341">
        <v>0</v>
      </c>
      <c r="AU70" s="341">
        <v>0</v>
      </c>
      <c r="AV70" s="341">
        <v>0</v>
      </c>
      <c r="AW70" s="341">
        <v>0</v>
      </c>
      <c r="AX70" s="341">
        <v>0</v>
      </c>
      <c r="AY70" s="341">
        <v>0</v>
      </c>
      <c r="AZ70" s="341">
        <v>0</v>
      </c>
    </row>
    <row r="71" spans="1:52" ht="15.75" customHeight="1">
      <c r="A71" s="15"/>
      <c r="B71" s="15"/>
      <c r="C71" s="15"/>
      <c r="D71" s="340" t="s">
        <v>181</v>
      </c>
      <c r="E71" s="340" t="s">
        <v>105</v>
      </c>
      <c r="F71" s="341">
        <v>0</v>
      </c>
      <c r="G71" s="341">
        <v>44.2</v>
      </c>
      <c r="H71" s="341">
        <v>2.78</v>
      </c>
      <c r="I71" s="341">
        <v>8.5</v>
      </c>
      <c r="J71" s="341">
        <v>0.21</v>
      </c>
      <c r="K71" s="341">
        <v>0</v>
      </c>
      <c r="L71" s="341">
        <v>0</v>
      </c>
      <c r="M71" s="341">
        <v>0</v>
      </c>
      <c r="N71" s="341">
        <v>3.2</v>
      </c>
      <c r="O71" s="341">
        <v>44.5</v>
      </c>
      <c r="P71" s="341">
        <v>27.5</v>
      </c>
      <c r="Q71" s="341">
        <v>0</v>
      </c>
      <c r="R71" s="341">
        <v>4</v>
      </c>
      <c r="S71" s="341">
        <v>0.26</v>
      </c>
      <c r="T71" s="341">
        <v>0.25</v>
      </c>
      <c r="U71" s="341">
        <v>0.16</v>
      </c>
      <c r="V71" s="341">
        <v>1.1000000000000001</v>
      </c>
      <c r="W71" s="341">
        <v>0.01</v>
      </c>
      <c r="X71" s="341">
        <v>0.17</v>
      </c>
      <c r="Y71" s="341">
        <v>0.1</v>
      </c>
      <c r="Z71" s="341">
        <v>0</v>
      </c>
      <c r="AA71" s="341">
        <v>5.5</v>
      </c>
      <c r="AB71" s="341">
        <v>0</v>
      </c>
      <c r="AC71" s="341">
        <v>92</v>
      </c>
      <c r="AD71" s="341">
        <v>36</v>
      </c>
      <c r="AE71" s="341">
        <v>0.04</v>
      </c>
      <c r="AF71" s="341">
        <v>23</v>
      </c>
      <c r="AG71" s="341">
        <v>0</v>
      </c>
      <c r="AH71" s="341">
        <v>0</v>
      </c>
      <c r="AI71" s="341">
        <v>0</v>
      </c>
      <c r="AJ71" s="341">
        <v>0</v>
      </c>
      <c r="AK71" s="341">
        <v>0</v>
      </c>
      <c r="AL71" s="341">
        <v>0</v>
      </c>
      <c r="AM71" s="341">
        <v>0</v>
      </c>
      <c r="AN71" s="341">
        <v>0</v>
      </c>
      <c r="AO71" s="341">
        <v>0</v>
      </c>
      <c r="AP71" s="341">
        <v>0</v>
      </c>
      <c r="AQ71" s="341">
        <v>0</v>
      </c>
      <c r="AR71" s="341">
        <v>0</v>
      </c>
      <c r="AS71" s="341">
        <v>0</v>
      </c>
      <c r="AT71" s="341">
        <v>0</v>
      </c>
      <c r="AU71" s="341">
        <v>0</v>
      </c>
      <c r="AV71" s="341">
        <v>0</v>
      </c>
      <c r="AW71" s="341">
        <v>0</v>
      </c>
      <c r="AX71" s="341">
        <v>0</v>
      </c>
      <c r="AY71" s="341">
        <v>0</v>
      </c>
      <c r="AZ71" s="341">
        <v>0</v>
      </c>
    </row>
    <row r="72" spans="1:52" ht="15.75" customHeight="1">
      <c r="A72" s="15"/>
      <c r="B72" s="15"/>
      <c r="C72" s="15"/>
      <c r="D72" s="340" t="s">
        <v>182</v>
      </c>
      <c r="E72" s="340" t="s">
        <v>105</v>
      </c>
      <c r="F72" s="341">
        <v>0</v>
      </c>
      <c r="G72" s="341">
        <v>35.1</v>
      </c>
      <c r="H72" s="341">
        <v>2.75</v>
      </c>
      <c r="I72" s="341">
        <v>8.8000000000000007</v>
      </c>
      <c r="J72" s="341">
        <v>0.22</v>
      </c>
      <c r="K72" s="341">
        <v>0</v>
      </c>
      <c r="L72" s="341">
        <v>0</v>
      </c>
      <c r="M72" s="341">
        <v>0</v>
      </c>
      <c r="N72" s="341">
        <v>3.2</v>
      </c>
      <c r="O72" s="341">
        <v>45</v>
      </c>
      <c r="P72" s="341">
        <v>28.1</v>
      </c>
      <c r="Q72" s="341">
        <v>0</v>
      </c>
      <c r="R72" s="341">
        <v>4.3</v>
      </c>
      <c r="S72" s="341">
        <v>0.28000000000000003</v>
      </c>
      <c r="T72" s="341">
        <v>0.26</v>
      </c>
      <c r="U72" s="341">
        <v>0.17</v>
      </c>
      <c r="V72" s="341">
        <v>1.2</v>
      </c>
      <c r="W72" s="341">
        <v>0.01</v>
      </c>
      <c r="X72" s="341">
        <v>0.28999999999999998</v>
      </c>
      <c r="Y72" s="341">
        <v>0.14000000000000001</v>
      </c>
      <c r="Z72" s="341">
        <v>0</v>
      </c>
      <c r="AA72" s="341">
        <v>5.7</v>
      </c>
      <c r="AB72" s="341">
        <v>0</v>
      </c>
      <c r="AC72" s="341">
        <v>104</v>
      </c>
      <c r="AD72" s="341">
        <v>36</v>
      </c>
      <c r="AE72" s="341">
        <v>0.04</v>
      </c>
      <c r="AF72" s="341">
        <v>24</v>
      </c>
      <c r="AG72" s="341">
        <v>0</v>
      </c>
      <c r="AH72" s="341">
        <v>0</v>
      </c>
      <c r="AI72" s="341">
        <v>0</v>
      </c>
      <c r="AJ72" s="341">
        <v>0</v>
      </c>
      <c r="AK72" s="341">
        <v>0</v>
      </c>
      <c r="AL72" s="341">
        <v>0</v>
      </c>
      <c r="AM72" s="341">
        <v>0</v>
      </c>
      <c r="AN72" s="341">
        <v>0</v>
      </c>
      <c r="AO72" s="341">
        <v>0</v>
      </c>
      <c r="AP72" s="341">
        <v>0</v>
      </c>
      <c r="AQ72" s="341">
        <v>0</v>
      </c>
      <c r="AR72" s="341">
        <v>0</v>
      </c>
      <c r="AS72" s="341">
        <v>0</v>
      </c>
      <c r="AT72" s="341">
        <v>0</v>
      </c>
      <c r="AU72" s="341">
        <v>0</v>
      </c>
      <c r="AV72" s="341">
        <v>0</v>
      </c>
      <c r="AW72" s="341">
        <v>0</v>
      </c>
      <c r="AX72" s="341">
        <v>0</v>
      </c>
      <c r="AY72" s="341">
        <v>0</v>
      </c>
      <c r="AZ72" s="341">
        <v>0</v>
      </c>
    </row>
    <row r="73" spans="1:52" ht="15.75" customHeight="1">
      <c r="A73" s="15"/>
      <c r="B73" s="15"/>
      <c r="C73" s="15"/>
      <c r="D73" s="340" t="s">
        <v>183</v>
      </c>
      <c r="E73" s="340" t="s">
        <v>105</v>
      </c>
      <c r="F73" s="341">
        <v>0</v>
      </c>
      <c r="G73" s="341">
        <v>90.8</v>
      </c>
      <c r="H73" s="341">
        <v>1.76</v>
      </c>
      <c r="I73" s="341">
        <v>3</v>
      </c>
      <c r="J73" s="341">
        <v>0.08</v>
      </c>
      <c r="K73" s="341">
        <v>0</v>
      </c>
      <c r="L73" s="341">
        <v>0</v>
      </c>
      <c r="M73" s="341">
        <v>0</v>
      </c>
      <c r="N73" s="341">
        <v>0.6</v>
      </c>
      <c r="O73" s="341">
        <v>86.2</v>
      </c>
      <c r="P73" s="341">
        <v>42.2</v>
      </c>
      <c r="Q73" s="341">
        <v>0</v>
      </c>
      <c r="R73" s="341">
        <v>2.2000000000000002</v>
      </c>
      <c r="S73" s="341">
        <v>0.1</v>
      </c>
      <c r="T73" s="341">
        <v>0.06</v>
      </c>
      <c r="U73" s="341">
        <v>0.06</v>
      </c>
      <c r="V73" s="341">
        <v>0.9</v>
      </c>
      <c r="W73" s="341">
        <v>0.04</v>
      </c>
      <c r="X73" s="341">
        <v>0</v>
      </c>
      <c r="Y73" s="341">
        <v>7.0000000000000007E-2</v>
      </c>
      <c r="Z73" s="341">
        <v>0</v>
      </c>
      <c r="AA73" s="341">
        <v>6</v>
      </c>
      <c r="AB73" s="341">
        <v>0</v>
      </c>
      <c r="AC73" s="341">
        <v>254</v>
      </c>
      <c r="AD73" s="341">
        <v>5</v>
      </c>
      <c r="AE73" s="341">
        <v>0.08</v>
      </c>
      <c r="AF73" s="341">
        <v>11</v>
      </c>
      <c r="AG73" s="341">
        <v>0</v>
      </c>
      <c r="AH73" s="341">
        <v>0</v>
      </c>
      <c r="AI73" s="341">
        <v>0</v>
      </c>
      <c r="AJ73" s="341">
        <v>0</v>
      </c>
      <c r="AK73" s="341">
        <v>0</v>
      </c>
      <c r="AL73" s="341">
        <v>0</v>
      </c>
      <c r="AM73" s="341">
        <v>0</v>
      </c>
      <c r="AN73" s="341">
        <v>0</v>
      </c>
      <c r="AO73" s="341">
        <v>0</v>
      </c>
      <c r="AP73" s="341">
        <v>0</v>
      </c>
      <c r="AQ73" s="341">
        <v>0</v>
      </c>
      <c r="AR73" s="341">
        <v>0</v>
      </c>
      <c r="AS73" s="341">
        <v>0</v>
      </c>
      <c r="AT73" s="341">
        <v>0</v>
      </c>
      <c r="AU73" s="341">
        <v>0</v>
      </c>
      <c r="AV73" s="341">
        <v>0</v>
      </c>
      <c r="AW73" s="341">
        <v>0</v>
      </c>
      <c r="AX73" s="341">
        <v>0</v>
      </c>
      <c r="AY73" s="341">
        <v>0</v>
      </c>
      <c r="AZ73" s="341">
        <v>0</v>
      </c>
    </row>
    <row r="74" spans="1:52" ht="15.75" customHeight="1">
      <c r="A74" s="15"/>
      <c r="B74" s="15"/>
      <c r="C74" s="15"/>
      <c r="D74" s="340" t="s">
        <v>184</v>
      </c>
      <c r="E74" s="340" t="s">
        <v>107</v>
      </c>
      <c r="F74" s="341">
        <v>0</v>
      </c>
      <c r="G74" s="341">
        <v>88.5</v>
      </c>
      <c r="H74" s="341">
        <v>3.73</v>
      </c>
      <c r="I74" s="341">
        <v>11.9</v>
      </c>
      <c r="J74" s="341">
        <v>0.44</v>
      </c>
      <c r="K74" s="341">
        <v>0</v>
      </c>
      <c r="L74" s="341">
        <v>0</v>
      </c>
      <c r="M74" s="341">
        <v>0</v>
      </c>
      <c r="N74" s="341">
        <v>4.2</v>
      </c>
      <c r="O74" s="341">
        <v>21.1</v>
      </c>
      <c r="P74" s="341">
        <v>6.2</v>
      </c>
      <c r="Q74" s="341">
        <v>0</v>
      </c>
      <c r="R74" s="341">
        <v>2.7</v>
      </c>
      <c r="S74" s="341">
        <v>0.03</v>
      </c>
      <c r="T74" s="341">
        <v>0.65</v>
      </c>
      <c r="U74" s="341">
        <v>0.26</v>
      </c>
      <c r="V74" s="341">
        <v>0.82</v>
      </c>
      <c r="W74" s="341">
        <v>0.01</v>
      </c>
      <c r="X74" s="341">
        <v>0.1</v>
      </c>
      <c r="Y74" s="341">
        <v>0.12</v>
      </c>
      <c r="Z74" s="341">
        <v>0</v>
      </c>
      <c r="AA74" s="341">
        <v>3</v>
      </c>
      <c r="AB74" s="341">
        <v>0</v>
      </c>
      <c r="AC74" s="341">
        <v>87</v>
      </c>
      <c r="AD74" s="341">
        <v>14</v>
      </c>
      <c r="AE74" s="341">
        <v>0.1</v>
      </c>
      <c r="AF74" s="341">
        <v>49</v>
      </c>
      <c r="AG74" s="341">
        <v>0</v>
      </c>
      <c r="AH74" s="341">
        <v>0</v>
      </c>
      <c r="AI74" s="341">
        <v>0</v>
      </c>
      <c r="AJ74" s="341">
        <v>0</v>
      </c>
      <c r="AK74" s="341">
        <v>0</v>
      </c>
      <c r="AL74" s="341">
        <v>0</v>
      </c>
      <c r="AM74" s="341">
        <v>0</v>
      </c>
      <c r="AN74" s="341">
        <v>0</v>
      </c>
      <c r="AO74" s="341">
        <v>0</v>
      </c>
      <c r="AP74" s="341">
        <v>0</v>
      </c>
      <c r="AQ74" s="341">
        <v>0</v>
      </c>
      <c r="AR74" s="341">
        <v>0</v>
      </c>
      <c r="AS74" s="341">
        <v>0</v>
      </c>
      <c r="AT74" s="341">
        <v>0</v>
      </c>
      <c r="AU74" s="341">
        <v>0</v>
      </c>
      <c r="AV74" s="341">
        <v>0</v>
      </c>
      <c r="AW74" s="341">
        <v>0</v>
      </c>
      <c r="AX74" s="341">
        <v>0</v>
      </c>
      <c r="AY74" s="341">
        <v>0</v>
      </c>
      <c r="AZ74" s="341">
        <v>0</v>
      </c>
    </row>
    <row r="75" spans="1:52" ht="15.75" customHeight="1">
      <c r="A75" s="15"/>
      <c r="B75" s="15"/>
      <c r="C75" s="15"/>
      <c r="D75" s="340" t="s">
        <v>185</v>
      </c>
      <c r="E75" s="340" t="s">
        <v>105</v>
      </c>
      <c r="F75" s="341">
        <v>0</v>
      </c>
      <c r="G75" s="341">
        <v>83.1</v>
      </c>
      <c r="H75" s="341">
        <v>2.46</v>
      </c>
      <c r="I75" s="341">
        <v>19.7</v>
      </c>
      <c r="J75" s="341">
        <v>0.85</v>
      </c>
      <c r="K75" s="341">
        <v>0</v>
      </c>
      <c r="L75" s="341">
        <v>0</v>
      </c>
      <c r="M75" s="341">
        <v>0</v>
      </c>
      <c r="N75" s="341">
        <v>2.5</v>
      </c>
      <c r="O75" s="341">
        <v>45.4</v>
      </c>
      <c r="P75" s="341">
        <v>30.8</v>
      </c>
      <c r="Q75" s="341">
        <v>0</v>
      </c>
      <c r="R75" s="341">
        <v>8.8000000000000007</v>
      </c>
      <c r="S75" s="341">
        <v>1.2</v>
      </c>
      <c r="T75" s="341">
        <v>0.31</v>
      </c>
      <c r="U75" s="341">
        <v>0.28999999999999998</v>
      </c>
      <c r="V75" s="341">
        <v>3.06</v>
      </c>
      <c r="W75" s="341">
        <v>7.0000000000000007E-2</v>
      </c>
      <c r="X75" s="341">
        <v>0.5</v>
      </c>
      <c r="Y75" s="341">
        <v>0.27</v>
      </c>
      <c r="Z75" s="341">
        <v>0</v>
      </c>
      <c r="AA75" s="341">
        <v>10</v>
      </c>
      <c r="AB75" s="341">
        <v>0</v>
      </c>
      <c r="AC75" s="341">
        <v>160</v>
      </c>
      <c r="AD75" s="341">
        <v>59</v>
      </c>
      <c r="AE75" s="341">
        <v>0.12</v>
      </c>
      <c r="AF75" s="341">
        <v>24</v>
      </c>
      <c r="AG75" s="341">
        <v>0</v>
      </c>
      <c r="AH75" s="341">
        <v>0</v>
      </c>
      <c r="AI75" s="341">
        <v>0</v>
      </c>
      <c r="AJ75" s="341">
        <v>0</v>
      </c>
      <c r="AK75" s="341">
        <v>0</v>
      </c>
      <c r="AL75" s="341">
        <v>0</v>
      </c>
      <c r="AM75" s="341">
        <v>0</v>
      </c>
      <c r="AN75" s="341">
        <v>0</v>
      </c>
      <c r="AO75" s="341">
        <v>0</v>
      </c>
      <c r="AP75" s="341">
        <v>0</v>
      </c>
      <c r="AQ75" s="341">
        <v>0</v>
      </c>
      <c r="AR75" s="341">
        <v>0</v>
      </c>
      <c r="AS75" s="341">
        <v>0</v>
      </c>
      <c r="AT75" s="341">
        <v>0</v>
      </c>
      <c r="AU75" s="341">
        <v>0</v>
      </c>
      <c r="AV75" s="341">
        <v>0</v>
      </c>
      <c r="AW75" s="341">
        <v>0</v>
      </c>
      <c r="AX75" s="341">
        <v>0</v>
      </c>
      <c r="AY75" s="341">
        <v>0</v>
      </c>
      <c r="AZ75" s="341">
        <v>0</v>
      </c>
    </row>
    <row r="76" spans="1:52" ht="15.75" customHeight="1">
      <c r="A76" s="15"/>
      <c r="B76" s="15"/>
      <c r="C76" s="15"/>
      <c r="D76" s="340" t="s">
        <v>186</v>
      </c>
      <c r="E76" s="340" t="s">
        <v>105</v>
      </c>
      <c r="F76" s="341">
        <v>0</v>
      </c>
      <c r="G76" s="341">
        <v>89.7</v>
      </c>
      <c r="H76" s="341">
        <v>2.11</v>
      </c>
      <c r="I76" s="341">
        <v>18.2</v>
      </c>
      <c r="J76" s="341">
        <v>0.77</v>
      </c>
      <c r="K76" s="341">
        <v>0</v>
      </c>
      <c r="L76" s="341">
        <v>0</v>
      </c>
      <c r="M76" s="341">
        <v>0</v>
      </c>
      <c r="N76" s="341">
        <v>2</v>
      </c>
      <c r="O76" s="341">
        <v>56</v>
      </c>
      <c r="P76" s="341">
        <v>40.1</v>
      </c>
      <c r="Q76" s="341">
        <v>0</v>
      </c>
      <c r="R76" s="341">
        <v>9.9</v>
      </c>
      <c r="S76" s="341">
        <v>0.97</v>
      </c>
      <c r="T76" s="341">
        <v>0.37</v>
      </c>
      <c r="U76" s="341">
        <v>0.26</v>
      </c>
      <c r="V76" s="341">
        <v>2.2400000000000002</v>
      </c>
      <c r="W76" s="341">
        <v>0.01</v>
      </c>
      <c r="X76" s="341">
        <v>0.93</v>
      </c>
      <c r="Y76" s="341">
        <v>0.28000000000000003</v>
      </c>
      <c r="Z76" s="341">
        <v>0</v>
      </c>
      <c r="AA76" s="341">
        <v>9</v>
      </c>
      <c r="AB76" s="341">
        <v>0</v>
      </c>
      <c r="AC76" s="341">
        <v>403</v>
      </c>
      <c r="AD76" s="341">
        <v>75</v>
      </c>
      <c r="AE76" s="341">
        <v>0.12</v>
      </c>
      <c r="AF76" s="341">
        <v>27</v>
      </c>
      <c r="AG76" s="341">
        <v>0</v>
      </c>
      <c r="AH76" s="341">
        <v>0</v>
      </c>
      <c r="AI76" s="341">
        <v>0</v>
      </c>
      <c r="AJ76" s="341">
        <v>0</v>
      </c>
      <c r="AK76" s="341">
        <v>0</v>
      </c>
      <c r="AL76" s="341">
        <v>0</v>
      </c>
      <c r="AM76" s="341">
        <v>0</v>
      </c>
      <c r="AN76" s="341">
        <v>0</v>
      </c>
      <c r="AO76" s="341">
        <v>0</v>
      </c>
      <c r="AP76" s="341">
        <v>0</v>
      </c>
      <c r="AQ76" s="341">
        <v>0</v>
      </c>
      <c r="AR76" s="341">
        <v>0</v>
      </c>
      <c r="AS76" s="341">
        <v>0</v>
      </c>
      <c r="AT76" s="341">
        <v>0</v>
      </c>
      <c r="AU76" s="341">
        <v>0</v>
      </c>
      <c r="AV76" s="341">
        <v>0</v>
      </c>
      <c r="AW76" s="341">
        <v>0</v>
      </c>
      <c r="AX76" s="341">
        <v>0</v>
      </c>
      <c r="AY76" s="341">
        <v>0</v>
      </c>
      <c r="AZ76" s="341">
        <v>0</v>
      </c>
    </row>
    <row r="77" spans="1:52" ht="15.75" customHeight="1">
      <c r="A77" s="15"/>
      <c r="B77" s="15"/>
      <c r="C77" s="15"/>
      <c r="D77" s="340" t="s">
        <v>187</v>
      </c>
      <c r="E77" s="340" t="s">
        <v>105</v>
      </c>
      <c r="F77" s="341">
        <v>0</v>
      </c>
      <c r="G77" s="341">
        <v>85.3</v>
      </c>
      <c r="H77" s="341">
        <v>2.2999999999999998</v>
      </c>
      <c r="I77" s="341">
        <v>18.399999999999999</v>
      </c>
      <c r="J77" s="341">
        <v>0.79</v>
      </c>
      <c r="K77" s="341">
        <v>0</v>
      </c>
      <c r="L77" s="341">
        <v>0</v>
      </c>
      <c r="M77" s="341">
        <v>0</v>
      </c>
      <c r="N77" s="341">
        <v>2.2999999999999998</v>
      </c>
      <c r="O77" s="341">
        <v>50.8</v>
      </c>
      <c r="P77" s="341">
        <v>35.799999999999997</v>
      </c>
      <c r="Q77" s="341">
        <v>0</v>
      </c>
      <c r="R77" s="341">
        <v>9.3000000000000007</v>
      </c>
      <c r="S77" s="341">
        <v>1.04</v>
      </c>
      <c r="T77" s="341">
        <v>0.32</v>
      </c>
      <c r="U77" s="341">
        <v>0.25</v>
      </c>
      <c r="V77" s="341">
        <v>2.59</v>
      </c>
      <c r="W77" s="341">
        <v>0.03</v>
      </c>
      <c r="X77" s="341">
        <v>0.8</v>
      </c>
      <c r="Y77" s="341">
        <v>0.24</v>
      </c>
      <c r="Z77" s="341">
        <v>0</v>
      </c>
      <c r="AA77" s="341">
        <v>9</v>
      </c>
      <c r="AB77" s="341">
        <v>0</v>
      </c>
      <c r="AC77" s="341">
        <v>197</v>
      </c>
      <c r="AD77" s="341">
        <v>59</v>
      </c>
      <c r="AE77" s="341">
        <v>0.12</v>
      </c>
      <c r="AF77" s="341">
        <v>25</v>
      </c>
      <c r="AG77" s="341">
        <v>0</v>
      </c>
      <c r="AH77" s="341">
        <v>0</v>
      </c>
      <c r="AI77" s="341">
        <v>0</v>
      </c>
      <c r="AJ77" s="341">
        <v>0</v>
      </c>
      <c r="AK77" s="341">
        <v>0</v>
      </c>
      <c r="AL77" s="341">
        <v>0</v>
      </c>
      <c r="AM77" s="341">
        <v>0</v>
      </c>
      <c r="AN77" s="341">
        <v>0</v>
      </c>
      <c r="AO77" s="341">
        <v>0</v>
      </c>
      <c r="AP77" s="341">
        <v>0</v>
      </c>
      <c r="AQ77" s="341">
        <v>0</v>
      </c>
      <c r="AR77" s="341">
        <v>0</v>
      </c>
      <c r="AS77" s="341">
        <v>0</v>
      </c>
      <c r="AT77" s="341">
        <v>0</v>
      </c>
      <c r="AU77" s="341">
        <v>0</v>
      </c>
      <c r="AV77" s="341">
        <v>0</v>
      </c>
      <c r="AW77" s="341">
        <v>0</v>
      </c>
      <c r="AX77" s="341">
        <v>0</v>
      </c>
      <c r="AY77" s="341">
        <v>0</v>
      </c>
      <c r="AZ77" s="341">
        <v>0</v>
      </c>
    </row>
    <row r="78" spans="1:52" ht="15.75" customHeight="1">
      <c r="A78" s="15"/>
      <c r="B78" s="15"/>
      <c r="C78" s="15"/>
      <c r="D78" s="340" t="s">
        <v>188</v>
      </c>
      <c r="E78" s="340" t="s">
        <v>105</v>
      </c>
      <c r="F78" s="341">
        <v>0</v>
      </c>
      <c r="G78" s="341">
        <v>45.9</v>
      </c>
      <c r="H78" s="341">
        <v>2.39</v>
      </c>
      <c r="I78" s="341">
        <v>20.3</v>
      </c>
      <c r="J78" s="341">
        <v>0.78</v>
      </c>
      <c r="K78" s="341">
        <v>0</v>
      </c>
      <c r="L78" s="341">
        <v>0</v>
      </c>
      <c r="M78" s="341">
        <v>0</v>
      </c>
      <c r="N78" s="341">
        <v>2.2999999999999998</v>
      </c>
      <c r="O78" s="341">
        <v>45.3</v>
      </c>
      <c r="P78" s="341">
        <v>30.8</v>
      </c>
      <c r="Q78" s="341">
        <v>0</v>
      </c>
      <c r="R78" s="341">
        <v>9.8000000000000007</v>
      </c>
      <c r="S78" s="341">
        <v>1.08</v>
      </c>
      <c r="T78" s="341">
        <v>0.35</v>
      </c>
      <c r="U78" s="341">
        <v>0.28000000000000003</v>
      </c>
      <c r="V78" s="341">
        <v>2.89</v>
      </c>
      <c r="W78" s="341">
        <v>0.01</v>
      </c>
      <c r="X78" s="341">
        <v>1.77</v>
      </c>
      <c r="Y78" s="341">
        <v>0.16</v>
      </c>
      <c r="Z78" s="341">
        <v>0</v>
      </c>
      <c r="AA78" s="341">
        <v>9</v>
      </c>
      <c r="AB78" s="341">
        <v>0</v>
      </c>
      <c r="AC78" s="341">
        <v>328</v>
      </c>
      <c r="AD78" s="341">
        <v>71</v>
      </c>
      <c r="AE78" s="341">
        <v>0.14000000000000001</v>
      </c>
      <c r="AF78" s="341">
        <v>29</v>
      </c>
      <c r="AG78" s="341">
        <v>0</v>
      </c>
      <c r="AH78" s="341">
        <v>0</v>
      </c>
      <c r="AI78" s="341">
        <v>0</v>
      </c>
      <c r="AJ78" s="341">
        <v>0</v>
      </c>
      <c r="AK78" s="341">
        <v>0</v>
      </c>
      <c r="AL78" s="341">
        <v>0</v>
      </c>
      <c r="AM78" s="341">
        <v>0</v>
      </c>
      <c r="AN78" s="341">
        <v>0</v>
      </c>
      <c r="AO78" s="341">
        <v>0</v>
      </c>
      <c r="AP78" s="341">
        <v>0</v>
      </c>
      <c r="AQ78" s="341">
        <v>0</v>
      </c>
      <c r="AR78" s="341">
        <v>0</v>
      </c>
      <c r="AS78" s="341">
        <v>0</v>
      </c>
      <c r="AT78" s="341">
        <v>0</v>
      </c>
      <c r="AU78" s="341">
        <v>0</v>
      </c>
      <c r="AV78" s="341">
        <v>0</v>
      </c>
      <c r="AW78" s="341">
        <v>0</v>
      </c>
      <c r="AX78" s="341">
        <v>0</v>
      </c>
      <c r="AY78" s="341">
        <v>0</v>
      </c>
      <c r="AZ78" s="341">
        <v>0</v>
      </c>
    </row>
    <row r="79" spans="1:52" ht="15.75" customHeight="1">
      <c r="A79" s="15"/>
      <c r="B79" s="15"/>
      <c r="C79" s="15"/>
      <c r="D79" s="340" t="s">
        <v>189</v>
      </c>
      <c r="E79" s="340" t="s">
        <v>105</v>
      </c>
      <c r="F79" s="341">
        <v>0</v>
      </c>
      <c r="G79" s="341">
        <v>42.8</v>
      </c>
      <c r="H79" s="341">
        <v>2.0699999999999998</v>
      </c>
      <c r="I79" s="341">
        <v>17.399999999999999</v>
      </c>
      <c r="J79" s="341">
        <v>0.67</v>
      </c>
      <c r="K79" s="341">
        <v>0</v>
      </c>
      <c r="L79" s="341">
        <v>0</v>
      </c>
      <c r="M79" s="341">
        <v>0</v>
      </c>
      <c r="N79" s="341">
        <v>2.2999999999999998</v>
      </c>
      <c r="O79" s="341">
        <v>57.4</v>
      </c>
      <c r="P79" s="341">
        <v>42.1</v>
      </c>
      <c r="Q79" s="341">
        <v>0</v>
      </c>
      <c r="R79" s="341">
        <v>9.6</v>
      </c>
      <c r="S79" s="341">
        <v>1.06</v>
      </c>
      <c r="T79" s="341">
        <v>0.33</v>
      </c>
      <c r="U79" s="341">
        <v>0.24</v>
      </c>
      <c r="V79" s="341">
        <v>2.7</v>
      </c>
      <c r="W79" s="341">
        <v>0.02</v>
      </c>
      <c r="X79" s="341">
        <v>0.52</v>
      </c>
      <c r="Y79" s="341">
        <v>0.31</v>
      </c>
      <c r="Z79" s="341">
        <v>0</v>
      </c>
      <c r="AA79" s="341">
        <v>9</v>
      </c>
      <c r="AB79" s="341">
        <v>0</v>
      </c>
      <c r="AC79" s="341">
        <v>262</v>
      </c>
      <c r="AD79" s="341">
        <v>72</v>
      </c>
      <c r="AE79" s="341">
        <v>0.14000000000000001</v>
      </c>
      <c r="AF79" s="341">
        <v>30</v>
      </c>
      <c r="AG79" s="341">
        <v>0</v>
      </c>
      <c r="AH79" s="341">
        <v>0</v>
      </c>
      <c r="AI79" s="341">
        <v>0</v>
      </c>
      <c r="AJ79" s="341">
        <v>0</v>
      </c>
      <c r="AK79" s="341">
        <v>0</v>
      </c>
      <c r="AL79" s="341">
        <v>0</v>
      </c>
      <c r="AM79" s="341">
        <v>0</v>
      </c>
      <c r="AN79" s="341">
        <v>0</v>
      </c>
      <c r="AO79" s="341">
        <v>0</v>
      </c>
      <c r="AP79" s="341">
        <v>0</v>
      </c>
      <c r="AQ79" s="341">
        <v>0</v>
      </c>
      <c r="AR79" s="341">
        <v>0</v>
      </c>
      <c r="AS79" s="341">
        <v>0</v>
      </c>
      <c r="AT79" s="341">
        <v>0</v>
      </c>
      <c r="AU79" s="341">
        <v>0</v>
      </c>
      <c r="AV79" s="341">
        <v>0</v>
      </c>
      <c r="AW79" s="341">
        <v>0</v>
      </c>
      <c r="AX79" s="341">
        <v>0</v>
      </c>
      <c r="AY79" s="341">
        <v>0</v>
      </c>
      <c r="AZ79" s="341">
        <v>0</v>
      </c>
    </row>
    <row r="80" spans="1:52" ht="15.75" customHeight="1">
      <c r="A80" s="29"/>
      <c r="B80" s="29"/>
      <c r="C80" s="29"/>
      <c r="D80" s="340" t="s">
        <v>190</v>
      </c>
      <c r="E80" s="340" t="s">
        <v>105</v>
      </c>
      <c r="F80" s="341">
        <v>0</v>
      </c>
      <c r="G80" s="341">
        <v>44.1</v>
      </c>
      <c r="H80" s="341">
        <v>2.25</v>
      </c>
      <c r="I80" s="341">
        <v>19.100000000000001</v>
      </c>
      <c r="J80" s="341">
        <v>0.74</v>
      </c>
      <c r="K80" s="341">
        <v>0</v>
      </c>
      <c r="L80" s="341">
        <v>0</v>
      </c>
      <c r="M80" s="341">
        <v>0</v>
      </c>
      <c r="N80" s="341">
        <v>2.5</v>
      </c>
      <c r="O80" s="341">
        <v>50.4</v>
      </c>
      <c r="P80" s="341">
        <v>35.4</v>
      </c>
      <c r="Q80" s="341">
        <v>0</v>
      </c>
      <c r="R80" s="341">
        <v>10.1</v>
      </c>
      <c r="S80" s="341">
        <v>1.0900000000000001</v>
      </c>
      <c r="T80" s="341">
        <v>0.35</v>
      </c>
      <c r="U80" s="341">
        <v>0.27</v>
      </c>
      <c r="V80" s="341">
        <v>2.8</v>
      </c>
      <c r="W80" s="341">
        <v>0.01</v>
      </c>
      <c r="X80" s="341">
        <v>1.1000000000000001</v>
      </c>
      <c r="Y80" s="341">
        <v>0.26</v>
      </c>
      <c r="Z80" s="341">
        <v>0</v>
      </c>
      <c r="AA80" s="341">
        <v>9</v>
      </c>
      <c r="AB80" s="341">
        <v>0</v>
      </c>
      <c r="AC80" s="341">
        <v>252</v>
      </c>
      <c r="AD80" s="341">
        <v>71</v>
      </c>
      <c r="AE80" s="341">
        <v>0.14000000000000001</v>
      </c>
      <c r="AF80" s="341">
        <v>31</v>
      </c>
      <c r="AG80" s="341">
        <v>0</v>
      </c>
      <c r="AH80" s="341">
        <v>0</v>
      </c>
      <c r="AI80" s="341">
        <v>0</v>
      </c>
      <c r="AJ80" s="341">
        <v>0</v>
      </c>
      <c r="AK80" s="341">
        <v>0</v>
      </c>
      <c r="AL80" s="341">
        <v>0</v>
      </c>
      <c r="AM80" s="341">
        <v>0</v>
      </c>
      <c r="AN80" s="341">
        <v>0</v>
      </c>
      <c r="AO80" s="341">
        <v>0</v>
      </c>
      <c r="AP80" s="341">
        <v>0</v>
      </c>
      <c r="AQ80" s="341">
        <v>0</v>
      </c>
      <c r="AR80" s="341">
        <v>0</v>
      </c>
      <c r="AS80" s="341">
        <v>0</v>
      </c>
      <c r="AT80" s="341">
        <v>0</v>
      </c>
      <c r="AU80" s="341">
        <v>0</v>
      </c>
      <c r="AV80" s="341">
        <v>0</v>
      </c>
      <c r="AW80" s="341">
        <v>0</v>
      </c>
      <c r="AX80" s="341">
        <v>0</v>
      </c>
      <c r="AY80" s="341">
        <v>0</v>
      </c>
      <c r="AZ80" s="341">
        <v>0</v>
      </c>
    </row>
    <row r="81" spans="1:52" ht="15.75" customHeight="1">
      <c r="A81" s="29"/>
      <c r="B81" s="29"/>
      <c r="C81" s="29"/>
      <c r="D81" s="340" t="s">
        <v>191</v>
      </c>
      <c r="E81" s="340" t="s">
        <v>105</v>
      </c>
      <c r="F81" s="341">
        <v>0</v>
      </c>
      <c r="G81" s="341">
        <v>28</v>
      </c>
      <c r="H81" s="341">
        <v>1.77</v>
      </c>
      <c r="I81" s="341">
        <v>12.6</v>
      </c>
      <c r="J81" s="341">
        <v>0</v>
      </c>
      <c r="K81" s="341">
        <v>0</v>
      </c>
      <c r="L81" s="341">
        <v>0</v>
      </c>
      <c r="M81" s="341">
        <v>0</v>
      </c>
      <c r="N81" s="341">
        <v>2.8</v>
      </c>
      <c r="O81" s="341">
        <v>65.8</v>
      </c>
      <c r="P81" s="341">
        <v>0</v>
      </c>
      <c r="Q81" s="341">
        <v>0.9</v>
      </c>
      <c r="R81" s="341">
        <v>10.8</v>
      </c>
      <c r="S81" s="341">
        <v>0.24</v>
      </c>
      <c r="T81" s="341">
        <v>0.48</v>
      </c>
      <c r="U81" s="341">
        <v>0.19</v>
      </c>
      <c r="V81" s="341">
        <v>3.28</v>
      </c>
      <c r="W81" s="341">
        <v>0</v>
      </c>
      <c r="X81" s="341">
        <v>1.1599999999999999</v>
      </c>
      <c r="Y81" s="341">
        <v>0.19</v>
      </c>
      <c r="Z81" s="341">
        <v>0</v>
      </c>
      <c r="AA81" s="341">
        <v>0</v>
      </c>
      <c r="AB81" s="341">
        <v>0</v>
      </c>
      <c r="AC81" s="341">
        <v>0</v>
      </c>
      <c r="AD81" s="341">
        <v>0</v>
      </c>
      <c r="AE81" s="341">
        <v>0</v>
      </c>
      <c r="AF81" s="341">
        <v>0</v>
      </c>
      <c r="AG81" s="341">
        <v>0</v>
      </c>
      <c r="AH81" s="341">
        <v>0</v>
      </c>
      <c r="AI81" s="341">
        <v>0</v>
      </c>
      <c r="AJ81" s="341">
        <v>0</v>
      </c>
      <c r="AK81" s="341">
        <v>0</v>
      </c>
      <c r="AL81" s="341">
        <v>0</v>
      </c>
      <c r="AM81" s="341">
        <v>0</v>
      </c>
      <c r="AN81" s="341">
        <v>0</v>
      </c>
      <c r="AO81" s="341">
        <v>0</v>
      </c>
      <c r="AP81" s="341">
        <v>0</v>
      </c>
      <c r="AQ81" s="341">
        <v>0</v>
      </c>
      <c r="AR81" s="341">
        <v>0</v>
      </c>
      <c r="AS81" s="341">
        <v>0</v>
      </c>
      <c r="AT81" s="341">
        <v>0</v>
      </c>
      <c r="AU81" s="341">
        <v>0</v>
      </c>
      <c r="AV81" s="341">
        <v>0</v>
      </c>
      <c r="AW81" s="341">
        <v>0</v>
      </c>
      <c r="AX81" s="341">
        <v>0</v>
      </c>
      <c r="AY81" s="341">
        <v>0</v>
      </c>
      <c r="AZ81" s="341">
        <v>0</v>
      </c>
    </row>
    <row r="82" spans="1:52" ht="15.75" customHeight="1">
      <c r="A82" s="29"/>
      <c r="B82" s="29"/>
      <c r="C82" s="29"/>
      <c r="D82" s="340" t="s">
        <v>192</v>
      </c>
      <c r="E82" s="340" t="s">
        <v>160</v>
      </c>
      <c r="F82" s="341">
        <v>0</v>
      </c>
      <c r="G82" s="341">
        <v>100</v>
      </c>
      <c r="H82" s="341">
        <v>9.19</v>
      </c>
      <c r="I82" s="341">
        <v>0</v>
      </c>
      <c r="J82" s="341">
        <v>0</v>
      </c>
      <c r="K82" s="341">
        <v>0</v>
      </c>
      <c r="L82" s="341">
        <v>0</v>
      </c>
      <c r="M82" s="341">
        <v>0</v>
      </c>
      <c r="N82" s="341">
        <v>99.9</v>
      </c>
      <c r="O82" s="341">
        <v>0</v>
      </c>
      <c r="P82" s="341">
        <v>0</v>
      </c>
      <c r="Q82" s="341">
        <v>0</v>
      </c>
      <c r="R82" s="341">
        <v>0</v>
      </c>
      <c r="S82" s="341">
        <v>0</v>
      </c>
      <c r="T82" s="341">
        <v>0</v>
      </c>
      <c r="U82" s="341">
        <v>0</v>
      </c>
      <c r="V82" s="341">
        <v>0</v>
      </c>
      <c r="W82" s="341">
        <v>0</v>
      </c>
      <c r="X82" s="341">
        <v>0</v>
      </c>
      <c r="Y82" s="341">
        <v>0</v>
      </c>
      <c r="Z82" s="341">
        <v>0</v>
      </c>
      <c r="AA82" s="341">
        <v>0</v>
      </c>
      <c r="AB82" s="341">
        <v>0</v>
      </c>
      <c r="AC82" s="341">
        <v>0</v>
      </c>
      <c r="AD82" s="341">
        <v>0</v>
      </c>
      <c r="AE82" s="341">
        <v>0</v>
      </c>
      <c r="AF82" s="341">
        <v>0</v>
      </c>
      <c r="AG82" s="341">
        <v>0</v>
      </c>
      <c r="AH82" s="341">
        <v>0</v>
      </c>
      <c r="AI82" s="341">
        <v>0</v>
      </c>
      <c r="AJ82" s="341">
        <v>0</v>
      </c>
      <c r="AK82" s="341">
        <v>0</v>
      </c>
      <c r="AL82" s="341">
        <v>0</v>
      </c>
      <c r="AM82" s="341">
        <v>0</v>
      </c>
      <c r="AN82" s="341">
        <v>0</v>
      </c>
      <c r="AO82" s="341">
        <v>0</v>
      </c>
      <c r="AP82" s="341">
        <v>0</v>
      </c>
      <c r="AQ82" s="341">
        <v>0</v>
      </c>
      <c r="AR82" s="341">
        <v>0</v>
      </c>
      <c r="AS82" s="341">
        <v>0</v>
      </c>
      <c r="AT82" s="341">
        <v>0</v>
      </c>
      <c r="AU82" s="341">
        <v>0</v>
      </c>
      <c r="AV82" s="341">
        <v>0</v>
      </c>
      <c r="AW82" s="341">
        <v>0</v>
      </c>
      <c r="AX82" s="341">
        <v>0</v>
      </c>
      <c r="AY82" s="341">
        <v>0</v>
      </c>
      <c r="AZ82" s="341">
        <v>0</v>
      </c>
    </row>
    <row r="83" spans="1:52" ht="15.75" customHeight="1">
      <c r="A83" s="29"/>
      <c r="B83" s="29"/>
      <c r="C83" s="29"/>
      <c r="D83" s="340" t="s">
        <v>193</v>
      </c>
      <c r="E83" s="340" t="s">
        <v>120</v>
      </c>
      <c r="F83" s="341"/>
      <c r="G83" s="341">
        <v>97</v>
      </c>
      <c r="H83" s="341"/>
      <c r="I83" s="341">
        <v>37.4</v>
      </c>
      <c r="J83" s="341">
        <v>6.27</v>
      </c>
      <c r="K83" s="341">
        <v>0</v>
      </c>
      <c r="L83" s="341">
        <v>3.4</v>
      </c>
      <c r="M83" s="341">
        <v>1.1000000000000001</v>
      </c>
      <c r="N83" s="341">
        <v>0</v>
      </c>
      <c r="O83" s="341">
        <v>0</v>
      </c>
      <c r="P83" s="341">
        <v>0</v>
      </c>
      <c r="Q83" s="341">
        <v>0</v>
      </c>
      <c r="R83" s="341">
        <v>0</v>
      </c>
      <c r="S83" s="341">
        <v>0</v>
      </c>
      <c r="T83" s="341">
        <v>0</v>
      </c>
      <c r="U83" s="341">
        <v>0</v>
      </c>
      <c r="V83" s="341">
        <v>0</v>
      </c>
      <c r="W83" s="341">
        <v>0</v>
      </c>
      <c r="X83" s="341">
        <v>0</v>
      </c>
      <c r="Y83" s="341">
        <v>0</v>
      </c>
      <c r="Z83" s="341">
        <v>0</v>
      </c>
      <c r="AA83" s="341">
        <v>0</v>
      </c>
      <c r="AB83" s="341">
        <v>0</v>
      </c>
      <c r="AC83" s="341">
        <v>0</v>
      </c>
      <c r="AD83" s="341">
        <v>0</v>
      </c>
      <c r="AE83" s="341">
        <v>0</v>
      </c>
      <c r="AF83" s="341">
        <v>0</v>
      </c>
      <c r="AG83" s="341">
        <v>0</v>
      </c>
      <c r="AH83" s="341">
        <v>0</v>
      </c>
      <c r="AI83" s="341">
        <v>0</v>
      </c>
      <c r="AJ83" s="341">
        <v>0</v>
      </c>
      <c r="AK83" s="341">
        <v>0</v>
      </c>
      <c r="AL83" s="341">
        <v>0</v>
      </c>
      <c r="AM83" s="341">
        <v>0</v>
      </c>
      <c r="AN83" s="341">
        <v>0</v>
      </c>
      <c r="AO83" s="341">
        <v>0</v>
      </c>
      <c r="AP83" s="341">
        <v>0</v>
      </c>
      <c r="AQ83" s="341">
        <v>0</v>
      </c>
      <c r="AR83" s="341">
        <v>0</v>
      </c>
      <c r="AS83" s="341">
        <v>0</v>
      </c>
      <c r="AT83" s="341">
        <v>0</v>
      </c>
      <c r="AU83" s="341">
        <v>0</v>
      </c>
      <c r="AV83" s="341">
        <v>0</v>
      </c>
      <c r="AW83" s="341">
        <v>0</v>
      </c>
      <c r="AX83" s="341">
        <v>0</v>
      </c>
      <c r="AY83" s="341">
        <v>0</v>
      </c>
      <c r="AZ83" s="341">
        <v>0</v>
      </c>
    </row>
    <row r="84" spans="1:52" ht="15.75" customHeight="1">
      <c r="A84" s="29"/>
      <c r="B84" s="29"/>
      <c r="C84" s="29"/>
      <c r="D84" s="340" t="s">
        <v>194</v>
      </c>
      <c r="E84" s="340" t="s">
        <v>124</v>
      </c>
      <c r="F84" s="341">
        <v>0</v>
      </c>
      <c r="G84" s="341">
        <v>99</v>
      </c>
      <c r="H84" s="341">
        <v>0</v>
      </c>
      <c r="I84" s="341">
        <v>0</v>
      </c>
      <c r="J84" s="341">
        <v>0</v>
      </c>
      <c r="K84" s="341">
        <v>0</v>
      </c>
      <c r="L84" s="341">
        <v>0</v>
      </c>
      <c r="M84" s="341">
        <v>0</v>
      </c>
      <c r="N84" s="341">
        <v>0</v>
      </c>
      <c r="O84" s="341">
        <v>0</v>
      </c>
      <c r="P84" s="341">
        <v>0</v>
      </c>
      <c r="Q84" s="341">
        <v>0</v>
      </c>
      <c r="R84" s="341">
        <v>99</v>
      </c>
      <c r="S84" s="341">
        <v>0</v>
      </c>
      <c r="T84" s="341">
        <v>0</v>
      </c>
      <c r="U84" s="341">
        <v>55</v>
      </c>
      <c r="V84" s="341">
        <v>0</v>
      </c>
      <c r="W84" s="341">
        <v>0</v>
      </c>
      <c r="X84" s="341">
        <v>0</v>
      </c>
      <c r="Y84" s="341">
        <v>0</v>
      </c>
      <c r="Z84" s="341">
        <v>0</v>
      </c>
      <c r="AA84" s="341">
        <v>0</v>
      </c>
      <c r="AB84" s="341">
        <v>0</v>
      </c>
      <c r="AC84" s="341">
        <v>0</v>
      </c>
      <c r="AD84" s="341">
        <v>0</v>
      </c>
      <c r="AE84" s="341">
        <v>0</v>
      </c>
      <c r="AF84" s="341">
        <v>0</v>
      </c>
      <c r="AG84" s="341">
        <v>0</v>
      </c>
      <c r="AH84" s="341">
        <v>0</v>
      </c>
      <c r="AI84" s="341">
        <v>0</v>
      </c>
      <c r="AJ84" s="341">
        <v>0</v>
      </c>
      <c r="AK84" s="341">
        <v>0</v>
      </c>
      <c r="AL84" s="341">
        <v>0</v>
      </c>
      <c r="AM84" s="341">
        <v>0</v>
      </c>
      <c r="AN84" s="341">
        <v>0</v>
      </c>
      <c r="AO84" s="341">
        <v>0</v>
      </c>
      <c r="AP84" s="341">
        <v>0</v>
      </c>
      <c r="AQ84" s="341">
        <v>0</v>
      </c>
      <c r="AR84" s="341">
        <v>0</v>
      </c>
      <c r="AS84" s="341">
        <v>0</v>
      </c>
      <c r="AT84" s="341">
        <v>0</v>
      </c>
      <c r="AU84" s="341">
        <v>0</v>
      </c>
      <c r="AV84" s="341">
        <v>0</v>
      </c>
      <c r="AW84" s="341">
        <v>0</v>
      </c>
      <c r="AX84" s="341">
        <v>0</v>
      </c>
      <c r="AY84" s="341">
        <v>0</v>
      </c>
      <c r="AZ84" s="341">
        <v>0</v>
      </c>
    </row>
    <row r="85" spans="1:52" ht="15.75" customHeight="1">
      <c r="A85" s="29"/>
      <c r="B85" s="29"/>
      <c r="C85" s="29"/>
      <c r="D85" s="340" t="s">
        <v>195</v>
      </c>
      <c r="E85" s="340" t="s">
        <v>124</v>
      </c>
      <c r="F85" s="341">
        <v>0</v>
      </c>
      <c r="G85" s="341">
        <v>99</v>
      </c>
      <c r="H85" s="341">
        <v>0</v>
      </c>
      <c r="I85" s="341">
        <v>0</v>
      </c>
      <c r="J85" s="341">
        <v>0</v>
      </c>
      <c r="K85" s="341">
        <v>0</v>
      </c>
      <c r="L85" s="341">
        <v>0</v>
      </c>
      <c r="M85" s="341">
        <v>0</v>
      </c>
      <c r="N85" s="341">
        <v>0</v>
      </c>
      <c r="O85" s="341">
        <v>0</v>
      </c>
      <c r="P85" s="341">
        <v>0</v>
      </c>
      <c r="Q85" s="341">
        <v>0</v>
      </c>
      <c r="R85" s="341">
        <v>99</v>
      </c>
      <c r="S85" s="341">
        <v>0</v>
      </c>
      <c r="T85" s="341">
        <v>0</v>
      </c>
      <c r="U85" s="341">
        <v>0</v>
      </c>
      <c r="V85" s="341">
        <v>0</v>
      </c>
      <c r="W85" s="341">
        <v>0</v>
      </c>
      <c r="X85" s="341">
        <v>0</v>
      </c>
      <c r="Y85" s="341">
        <v>0</v>
      </c>
      <c r="Z85" s="341">
        <v>0</v>
      </c>
      <c r="AA85" s="341">
        <v>0</v>
      </c>
      <c r="AB85" s="341">
        <v>0</v>
      </c>
      <c r="AC85" s="341">
        <v>0</v>
      </c>
      <c r="AD85" s="341">
        <v>0</v>
      </c>
      <c r="AE85" s="341">
        <v>0</v>
      </c>
      <c r="AF85" s="341">
        <v>790000</v>
      </c>
      <c r="AG85" s="341">
        <v>0</v>
      </c>
      <c r="AH85" s="341">
        <v>0</v>
      </c>
      <c r="AI85" s="341">
        <v>0</v>
      </c>
      <c r="AJ85" s="341">
        <v>0</v>
      </c>
      <c r="AK85" s="341">
        <v>0</v>
      </c>
      <c r="AL85" s="341">
        <v>0</v>
      </c>
      <c r="AM85" s="341">
        <v>0</v>
      </c>
      <c r="AN85" s="341">
        <v>0</v>
      </c>
      <c r="AO85" s="341">
        <v>0</v>
      </c>
      <c r="AP85" s="341">
        <v>0</v>
      </c>
      <c r="AQ85" s="341">
        <v>0</v>
      </c>
      <c r="AR85" s="341">
        <v>0</v>
      </c>
      <c r="AS85" s="341">
        <v>0</v>
      </c>
      <c r="AT85" s="341">
        <v>0</v>
      </c>
      <c r="AU85" s="341">
        <v>0</v>
      </c>
      <c r="AV85" s="341">
        <v>0</v>
      </c>
      <c r="AW85" s="341">
        <v>0</v>
      </c>
      <c r="AX85" s="341">
        <v>0</v>
      </c>
      <c r="AY85" s="341">
        <v>0</v>
      </c>
      <c r="AZ85" s="341">
        <v>0</v>
      </c>
    </row>
    <row r="86" spans="1:52" ht="15.75" customHeight="1">
      <c r="A86" s="29"/>
      <c r="B86" s="29"/>
      <c r="C86" s="29"/>
      <c r="D86" s="340" t="s">
        <v>196</v>
      </c>
      <c r="E86" s="340" t="s">
        <v>107</v>
      </c>
      <c r="F86" s="341">
        <v>0</v>
      </c>
      <c r="G86" s="341">
        <v>68.3</v>
      </c>
      <c r="H86" s="341">
        <v>3.9</v>
      </c>
      <c r="I86" s="341">
        <v>15</v>
      </c>
      <c r="J86" s="341">
        <v>0.44</v>
      </c>
      <c r="K86" s="341">
        <v>0</v>
      </c>
      <c r="L86" s="341">
        <v>0</v>
      </c>
      <c r="M86" s="341">
        <v>0</v>
      </c>
      <c r="N86" s="341">
        <v>2.2000000000000002</v>
      </c>
      <c r="O86" s="341">
        <v>8.9</v>
      </c>
      <c r="P86" s="341">
        <v>3.1</v>
      </c>
      <c r="Q86" s="341">
        <v>0</v>
      </c>
      <c r="R86" s="341">
        <v>2.8</v>
      </c>
      <c r="S86" s="341">
        <v>0.14000000000000001</v>
      </c>
      <c r="T86" s="341">
        <v>0.2</v>
      </c>
      <c r="U86" s="341">
        <v>0.05</v>
      </c>
      <c r="V86" s="341">
        <v>0.23</v>
      </c>
      <c r="W86" s="341">
        <v>0.85</v>
      </c>
      <c r="X86" s="341">
        <v>0.94</v>
      </c>
      <c r="Y86" s="341">
        <v>0.17</v>
      </c>
      <c r="Z86" s="341">
        <v>0</v>
      </c>
      <c r="AA86" s="341">
        <v>4</v>
      </c>
      <c r="AB86" s="341">
        <v>0</v>
      </c>
      <c r="AC86" s="341">
        <v>140</v>
      </c>
      <c r="AD86" s="341">
        <v>10</v>
      </c>
      <c r="AE86" s="341">
        <v>0</v>
      </c>
      <c r="AF86" s="341">
        <v>16</v>
      </c>
      <c r="AG86" s="341">
        <v>0</v>
      </c>
      <c r="AH86" s="341">
        <v>0</v>
      </c>
      <c r="AI86" s="341">
        <v>0</v>
      </c>
      <c r="AJ86" s="341">
        <v>0</v>
      </c>
      <c r="AK86" s="341">
        <v>0</v>
      </c>
      <c r="AL86" s="341">
        <v>0</v>
      </c>
      <c r="AM86" s="341">
        <v>0</v>
      </c>
      <c r="AN86" s="341">
        <v>0</v>
      </c>
      <c r="AO86" s="341">
        <v>0</v>
      </c>
      <c r="AP86" s="341">
        <v>0</v>
      </c>
      <c r="AQ86" s="341">
        <v>0</v>
      </c>
      <c r="AR86" s="341">
        <v>0</v>
      </c>
      <c r="AS86" s="341">
        <v>0</v>
      </c>
      <c r="AT86" s="341">
        <v>0</v>
      </c>
      <c r="AU86" s="341">
        <v>0</v>
      </c>
      <c r="AV86" s="341">
        <v>0</v>
      </c>
      <c r="AW86" s="341">
        <v>0</v>
      </c>
      <c r="AX86" s="341">
        <v>0</v>
      </c>
      <c r="AY86" s="341">
        <v>0</v>
      </c>
      <c r="AZ86" s="341">
        <v>0</v>
      </c>
    </row>
    <row r="87" spans="1:52" ht="15.75" customHeight="1">
      <c r="A87" s="29"/>
      <c r="B87" s="29"/>
      <c r="C87" s="29"/>
      <c r="D87" s="340" t="s">
        <v>197</v>
      </c>
      <c r="E87" s="340" t="s">
        <v>105</v>
      </c>
      <c r="F87" s="341">
        <v>0</v>
      </c>
      <c r="G87" s="341">
        <v>20.100000000000001</v>
      </c>
      <c r="H87" s="341">
        <v>2.39</v>
      </c>
      <c r="I87" s="341">
        <v>26.5</v>
      </c>
      <c r="J87" s="341">
        <v>0.92</v>
      </c>
      <c r="K87" s="341">
        <v>0</v>
      </c>
      <c r="L87" s="341">
        <v>0</v>
      </c>
      <c r="M87" s="341">
        <v>0</v>
      </c>
      <c r="N87" s="341">
        <v>2.7</v>
      </c>
      <c r="O87" s="341">
        <v>45.8</v>
      </c>
      <c r="P87" s="341">
        <v>25</v>
      </c>
      <c r="Q87" s="341">
        <v>0</v>
      </c>
      <c r="R87" s="341">
        <v>9.8000000000000007</v>
      </c>
      <c r="S87" s="341">
        <v>0.56000000000000005</v>
      </c>
      <c r="T87" s="341">
        <v>0.44</v>
      </c>
      <c r="U87" s="341">
        <v>0.2</v>
      </c>
      <c r="V87" s="341">
        <v>3.36</v>
      </c>
      <c r="W87" s="341">
        <v>0.02</v>
      </c>
      <c r="X87" s="341">
        <v>0.56000000000000005</v>
      </c>
      <c r="Y87" s="341">
        <v>0.2</v>
      </c>
      <c r="Z87" s="341">
        <v>0</v>
      </c>
      <c r="AA87" s="341">
        <v>10</v>
      </c>
      <c r="AB87" s="341">
        <v>0</v>
      </c>
      <c r="AC87" s="341">
        <v>275</v>
      </c>
      <c r="AD87" s="341">
        <v>75</v>
      </c>
      <c r="AE87" s="341">
        <v>0</v>
      </c>
      <c r="AF87" s="341">
        <v>36</v>
      </c>
      <c r="AG87" s="341">
        <v>0</v>
      </c>
      <c r="AH87" s="341">
        <v>0</v>
      </c>
      <c r="AI87" s="341">
        <v>0</v>
      </c>
      <c r="AJ87" s="341">
        <v>0</v>
      </c>
      <c r="AK87" s="341">
        <v>0</v>
      </c>
      <c r="AL87" s="341">
        <v>0</v>
      </c>
      <c r="AM87" s="341">
        <v>0</v>
      </c>
      <c r="AN87" s="341">
        <v>0</v>
      </c>
      <c r="AO87" s="341">
        <v>0</v>
      </c>
      <c r="AP87" s="341">
        <v>0</v>
      </c>
      <c r="AQ87" s="341">
        <v>0</v>
      </c>
      <c r="AR87" s="341">
        <v>0</v>
      </c>
      <c r="AS87" s="341">
        <v>0</v>
      </c>
      <c r="AT87" s="341">
        <v>0</v>
      </c>
      <c r="AU87" s="341">
        <v>0</v>
      </c>
      <c r="AV87" s="341">
        <v>0</v>
      </c>
      <c r="AW87" s="341">
        <v>0</v>
      </c>
      <c r="AX87" s="341">
        <v>0</v>
      </c>
      <c r="AY87" s="341">
        <v>0</v>
      </c>
      <c r="AZ87" s="341">
        <v>0</v>
      </c>
    </row>
    <row r="88" spans="1:52" ht="15.75" customHeight="1">
      <c r="A88" s="29"/>
      <c r="B88" s="29"/>
      <c r="C88" s="29"/>
      <c r="D88" s="340" t="s">
        <v>198</v>
      </c>
      <c r="E88" s="340" t="s">
        <v>105</v>
      </c>
      <c r="F88" s="341">
        <v>0</v>
      </c>
      <c r="G88" s="341">
        <v>21.4</v>
      </c>
      <c r="H88" s="341">
        <v>2.71</v>
      </c>
      <c r="I88" s="341">
        <v>26.5</v>
      </c>
      <c r="J88" s="341">
        <v>1.37</v>
      </c>
      <c r="K88" s="341">
        <v>0</v>
      </c>
      <c r="L88" s="341">
        <v>0</v>
      </c>
      <c r="M88" s="341">
        <v>0</v>
      </c>
      <c r="N88" s="341">
        <v>3.7</v>
      </c>
      <c r="O88" s="341">
        <v>33.1</v>
      </c>
      <c r="P88" s="341">
        <v>23.9</v>
      </c>
      <c r="Q88" s="341">
        <v>0</v>
      </c>
      <c r="R88" s="341">
        <v>10</v>
      </c>
      <c r="S88" s="341">
        <v>1.31</v>
      </c>
      <c r="T88" s="341">
        <v>0.37</v>
      </c>
      <c r="U88" s="341">
        <v>0.28000000000000003</v>
      </c>
      <c r="V88" s="341">
        <v>3.21</v>
      </c>
      <c r="W88" s="341">
        <v>0.01</v>
      </c>
      <c r="X88" s="341">
        <v>0.6</v>
      </c>
      <c r="Y88" s="341">
        <v>0.31</v>
      </c>
      <c r="Z88" s="341">
        <v>0.44</v>
      </c>
      <c r="AA88" s="341">
        <v>10</v>
      </c>
      <c r="AB88" s="341">
        <v>0</v>
      </c>
      <c r="AC88" s="341">
        <v>215</v>
      </c>
      <c r="AD88" s="341">
        <v>54</v>
      </c>
      <c r="AE88" s="341">
        <v>0.2</v>
      </c>
      <c r="AF88" s="341">
        <v>33</v>
      </c>
      <c r="AG88" s="341">
        <v>0</v>
      </c>
      <c r="AH88" s="341">
        <v>0</v>
      </c>
      <c r="AI88" s="341">
        <v>0</v>
      </c>
      <c r="AJ88" s="341">
        <v>0</v>
      </c>
      <c r="AK88" s="341">
        <v>0</v>
      </c>
      <c r="AL88" s="341">
        <v>0</v>
      </c>
      <c r="AM88" s="341">
        <v>0</v>
      </c>
      <c r="AN88" s="341">
        <v>0</v>
      </c>
      <c r="AO88" s="341">
        <v>0</v>
      </c>
      <c r="AP88" s="341">
        <v>0</v>
      </c>
      <c r="AQ88" s="341">
        <v>0</v>
      </c>
      <c r="AR88" s="341">
        <v>0</v>
      </c>
      <c r="AS88" s="341">
        <v>0</v>
      </c>
      <c r="AT88" s="341">
        <v>0</v>
      </c>
      <c r="AU88" s="341">
        <v>0</v>
      </c>
      <c r="AV88" s="341">
        <v>0</v>
      </c>
      <c r="AW88" s="341">
        <v>0</v>
      </c>
      <c r="AX88" s="341">
        <v>0</v>
      </c>
      <c r="AY88" s="341">
        <v>0</v>
      </c>
      <c r="AZ88" s="341">
        <v>0</v>
      </c>
    </row>
    <row r="89" spans="1:52" ht="15.75" customHeight="1">
      <c r="A89" s="29"/>
      <c r="B89" s="29"/>
      <c r="C89" s="29"/>
      <c r="D89" s="340" t="s">
        <v>199</v>
      </c>
      <c r="E89" s="340" t="s">
        <v>107</v>
      </c>
      <c r="F89" s="341">
        <v>0</v>
      </c>
      <c r="G89" s="341">
        <v>85.8</v>
      </c>
      <c r="H89" s="341">
        <v>2.85</v>
      </c>
      <c r="I89" s="341">
        <v>6.9</v>
      </c>
      <c r="J89" s="341">
        <v>0.18</v>
      </c>
      <c r="K89" s="341">
        <v>0</v>
      </c>
      <c r="L89" s="341">
        <v>0</v>
      </c>
      <c r="M89" s="341">
        <v>0</v>
      </c>
      <c r="N89" s="341">
        <v>4.9000000000000004</v>
      </c>
      <c r="O89" s="341">
        <v>24.2</v>
      </c>
      <c r="P89" s="341">
        <v>22.2</v>
      </c>
      <c r="Q89" s="341">
        <v>0</v>
      </c>
      <c r="R89" s="341">
        <v>7.2</v>
      </c>
      <c r="S89" s="341">
        <v>1.92</v>
      </c>
      <c r="T89" s="341">
        <v>0.12</v>
      </c>
      <c r="U89" s="341">
        <v>0.12</v>
      </c>
      <c r="V89" s="341">
        <v>1.1000000000000001</v>
      </c>
      <c r="W89" s="341">
        <v>0.06</v>
      </c>
      <c r="X89" s="341">
        <v>0.08</v>
      </c>
      <c r="Y89" s="341">
        <v>0.1</v>
      </c>
      <c r="Z89" s="341">
        <v>0</v>
      </c>
      <c r="AA89" s="341">
        <v>8</v>
      </c>
      <c r="AB89" s="341">
        <v>0</v>
      </c>
      <c r="AC89" s="341">
        <v>151</v>
      </c>
      <c r="AD89" s="341">
        <v>9</v>
      </c>
      <c r="AE89" s="341">
        <v>0</v>
      </c>
      <c r="AF89" s="341" t="s">
        <v>200</v>
      </c>
      <c r="AG89" s="341">
        <v>0</v>
      </c>
      <c r="AH89" s="341">
        <v>0</v>
      </c>
      <c r="AI89" s="341">
        <v>0</v>
      </c>
      <c r="AJ89" s="341">
        <v>0</v>
      </c>
      <c r="AK89" s="341">
        <v>0</v>
      </c>
      <c r="AL89" s="341">
        <v>0</v>
      </c>
      <c r="AM89" s="341">
        <v>0</v>
      </c>
      <c r="AN89" s="341">
        <v>0</v>
      </c>
      <c r="AO89" s="341">
        <v>0</v>
      </c>
      <c r="AP89" s="341">
        <v>0</v>
      </c>
      <c r="AQ89" s="341">
        <v>0</v>
      </c>
      <c r="AR89" s="341">
        <v>0</v>
      </c>
      <c r="AS89" s="341">
        <v>0</v>
      </c>
      <c r="AT89" s="341">
        <v>0</v>
      </c>
      <c r="AU89" s="341">
        <v>0</v>
      </c>
      <c r="AV89" s="341">
        <v>0</v>
      </c>
      <c r="AW89" s="341">
        <v>0</v>
      </c>
      <c r="AX89" s="341">
        <v>0</v>
      </c>
      <c r="AY89" s="341">
        <v>0</v>
      </c>
      <c r="AZ89" s="341">
        <v>0</v>
      </c>
    </row>
    <row r="90" spans="1:52" ht="15.75" customHeight="1">
      <c r="A90" s="29"/>
      <c r="B90" s="29"/>
      <c r="C90" s="29"/>
      <c r="D90" s="340" t="s">
        <v>201</v>
      </c>
      <c r="E90" s="340" t="s">
        <v>107</v>
      </c>
      <c r="F90" s="341">
        <v>0</v>
      </c>
      <c r="G90" s="341">
        <v>88</v>
      </c>
      <c r="H90" s="341">
        <v>2.84</v>
      </c>
      <c r="I90" s="341">
        <v>10</v>
      </c>
      <c r="J90" s="341">
        <v>0.42</v>
      </c>
      <c r="K90" s="341">
        <v>0</v>
      </c>
      <c r="L90" s="341">
        <v>0</v>
      </c>
      <c r="M90" s="341">
        <v>0</v>
      </c>
      <c r="N90" s="341">
        <v>1.1000000000000001</v>
      </c>
      <c r="O90" s="341">
        <v>44.4</v>
      </c>
      <c r="P90" s="341">
        <v>22.4</v>
      </c>
      <c r="Q90" s="341">
        <v>0</v>
      </c>
      <c r="R90" s="341">
        <v>7.4</v>
      </c>
      <c r="S90" s="341">
        <v>0.89</v>
      </c>
      <c r="T90" s="341">
        <v>0.09</v>
      </c>
      <c r="U90" s="341">
        <v>0.23</v>
      </c>
      <c r="V90" s="341">
        <v>1.1100000000000001</v>
      </c>
      <c r="W90" s="341">
        <v>0.35</v>
      </c>
      <c r="X90" s="341">
        <v>0.17</v>
      </c>
      <c r="Y90" s="341">
        <v>0.31</v>
      </c>
      <c r="Z90" s="341">
        <v>0</v>
      </c>
      <c r="AA90" s="341">
        <v>11.3</v>
      </c>
      <c r="AB90" s="341">
        <v>0</v>
      </c>
      <c r="AC90" s="341">
        <v>625</v>
      </c>
      <c r="AD90" s="341">
        <v>62</v>
      </c>
      <c r="AE90" s="341">
        <v>0.14000000000000001</v>
      </c>
      <c r="AF90" s="341">
        <v>22</v>
      </c>
      <c r="AG90" s="341">
        <v>0</v>
      </c>
      <c r="AH90" s="341">
        <v>0</v>
      </c>
      <c r="AI90" s="341">
        <v>0</v>
      </c>
      <c r="AJ90" s="341">
        <v>0</v>
      </c>
      <c r="AK90" s="341">
        <v>0</v>
      </c>
      <c r="AL90" s="341">
        <v>0</v>
      </c>
      <c r="AM90" s="341">
        <v>0</v>
      </c>
      <c r="AN90" s="341">
        <v>0</v>
      </c>
      <c r="AO90" s="341">
        <v>0</v>
      </c>
      <c r="AP90" s="341">
        <v>0</v>
      </c>
      <c r="AQ90" s="341">
        <v>0</v>
      </c>
      <c r="AR90" s="341">
        <v>0</v>
      </c>
      <c r="AS90" s="341">
        <v>0</v>
      </c>
      <c r="AT90" s="341">
        <v>0</v>
      </c>
      <c r="AU90" s="341">
        <v>0</v>
      </c>
      <c r="AV90" s="341">
        <v>0</v>
      </c>
      <c r="AW90" s="341">
        <v>0</v>
      </c>
      <c r="AX90" s="341">
        <v>0</v>
      </c>
      <c r="AY90" s="341">
        <v>0</v>
      </c>
      <c r="AZ90" s="341">
        <v>0</v>
      </c>
    </row>
    <row r="91" spans="1:52" ht="15.75" customHeight="1">
      <c r="A91" s="29"/>
      <c r="B91" s="29"/>
      <c r="C91" s="29"/>
      <c r="D91" s="340" t="s">
        <v>202</v>
      </c>
      <c r="E91" s="340" t="s">
        <v>107</v>
      </c>
      <c r="F91" s="341">
        <v>0</v>
      </c>
      <c r="G91" s="341">
        <v>88.3</v>
      </c>
      <c r="H91" s="341">
        <v>2.8</v>
      </c>
      <c r="I91" s="341">
        <v>10</v>
      </c>
      <c r="J91" s="341">
        <v>0.44</v>
      </c>
      <c r="K91" s="341">
        <v>0</v>
      </c>
      <c r="L91" s="341">
        <v>0</v>
      </c>
      <c r="M91" s="341">
        <v>0</v>
      </c>
      <c r="N91" s="341">
        <v>1.1000000000000001</v>
      </c>
      <c r="O91" s="341">
        <v>45.8</v>
      </c>
      <c r="P91" s="341">
        <v>23.1</v>
      </c>
      <c r="Q91" s="341">
        <v>0</v>
      </c>
      <c r="R91" s="341">
        <v>7.3</v>
      </c>
      <c r="S91" s="341">
        <v>0.91</v>
      </c>
      <c r="T91" s="341">
        <v>0.09</v>
      </c>
      <c r="U91" s="341">
        <v>0.23</v>
      </c>
      <c r="V91" s="341">
        <v>0.96</v>
      </c>
      <c r="W91" s="341">
        <v>0.31</v>
      </c>
      <c r="X91" s="341">
        <v>0.18</v>
      </c>
      <c r="Y91" s="341">
        <v>0.3</v>
      </c>
      <c r="Z91" s="341">
        <v>0</v>
      </c>
      <c r="AA91" s="341">
        <v>11</v>
      </c>
      <c r="AB91" s="341">
        <v>0</v>
      </c>
      <c r="AC91" s="341">
        <v>642</v>
      </c>
      <c r="AD91" s="341">
        <v>62</v>
      </c>
      <c r="AE91" s="341">
        <v>0.14000000000000001</v>
      </c>
      <c r="AF91" s="341">
        <v>22</v>
      </c>
      <c r="AG91" s="341">
        <v>0</v>
      </c>
      <c r="AH91" s="341">
        <v>0</v>
      </c>
      <c r="AI91" s="341">
        <v>0</v>
      </c>
      <c r="AJ91" s="341">
        <v>0</v>
      </c>
      <c r="AK91" s="341">
        <v>0</v>
      </c>
      <c r="AL91" s="341">
        <v>0</v>
      </c>
      <c r="AM91" s="341">
        <v>0</v>
      </c>
      <c r="AN91" s="341">
        <v>0</v>
      </c>
      <c r="AO91" s="341">
        <v>0</v>
      </c>
      <c r="AP91" s="341">
        <v>0</v>
      </c>
      <c r="AQ91" s="341">
        <v>0</v>
      </c>
      <c r="AR91" s="341">
        <v>0</v>
      </c>
      <c r="AS91" s="341">
        <v>0</v>
      </c>
      <c r="AT91" s="341">
        <v>0</v>
      </c>
      <c r="AU91" s="341">
        <v>0</v>
      </c>
      <c r="AV91" s="341">
        <v>0</v>
      </c>
      <c r="AW91" s="341">
        <v>0</v>
      </c>
      <c r="AX91" s="341">
        <v>0</v>
      </c>
      <c r="AY91" s="341">
        <v>0</v>
      </c>
      <c r="AZ91" s="341">
        <v>0</v>
      </c>
    </row>
    <row r="92" spans="1:52" ht="15.75" customHeight="1">
      <c r="A92" s="29"/>
      <c r="B92" s="29"/>
      <c r="C92" s="29"/>
      <c r="D92" s="340" t="s">
        <v>203</v>
      </c>
      <c r="E92" s="340" t="s">
        <v>105</v>
      </c>
      <c r="F92" s="341">
        <v>0</v>
      </c>
      <c r="G92" s="341">
        <v>60</v>
      </c>
      <c r="H92" s="341">
        <v>2</v>
      </c>
      <c r="I92" s="341">
        <v>14</v>
      </c>
      <c r="J92" s="341">
        <v>0</v>
      </c>
      <c r="K92" s="341">
        <v>0</v>
      </c>
      <c r="L92" s="341">
        <v>0</v>
      </c>
      <c r="M92" s="341">
        <v>0</v>
      </c>
      <c r="N92" s="341">
        <v>4.3</v>
      </c>
      <c r="O92" s="341">
        <v>64.599999999999994</v>
      </c>
      <c r="P92" s="341">
        <v>0</v>
      </c>
      <c r="Q92" s="341">
        <v>1.6</v>
      </c>
      <c r="R92" s="341">
        <v>0</v>
      </c>
      <c r="S92" s="341">
        <v>0.38</v>
      </c>
      <c r="T92" s="341">
        <v>0.28999999999999998</v>
      </c>
      <c r="U92" s="341">
        <v>0</v>
      </c>
      <c r="V92" s="341">
        <v>0</v>
      </c>
      <c r="W92" s="341">
        <v>0</v>
      </c>
      <c r="X92" s="341">
        <v>0</v>
      </c>
      <c r="Y92" s="341">
        <v>0</v>
      </c>
      <c r="Z92" s="341">
        <v>0</v>
      </c>
      <c r="AA92" s="341">
        <v>0</v>
      </c>
      <c r="AB92" s="341">
        <v>0</v>
      </c>
      <c r="AC92" s="341">
        <v>0</v>
      </c>
      <c r="AD92" s="341">
        <v>0</v>
      </c>
      <c r="AE92" s="341">
        <v>0</v>
      </c>
      <c r="AF92" s="341">
        <v>0</v>
      </c>
      <c r="AG92" s="341">
        <v>0</v>
      </c>
      <c r="AH92" s="341">
        <v>0</v>
      </c>
      <c r="AI92" s="341">
        <v>0</v>
      </c>
      <c r="AJ92" s="341">
        <v>0</v>
      </c>
      <c r="AK92" s="341">
        <v>0</v>
      </c>
      <c r="AL92" s="341">
        <v>0</v>
      </c>
      <c r="AM92" s="341">
        <v>0</v>
      </c>
      <c r="AN92" s="341">
        <v>0</v>
      </c>
      <c r="AO92" s="341">
        <v>0</v>
      </c>
      <c r="AP92" s="341">
        <v>0</v>
      </c>
      <c r="AQ92" s="341">
        <v>0</v>
      </c>
      <c r="AR92" s="341">
        <v>0</v>
      </c>
      <c r="AS92" s="341">
        <v>0</v>
      </c>
      <c r="AT92" s="341">
        <v>0</v>
      </c>
      <c r="AU92" s="341">
        <v>0</v>
      </c>
      <c r="AV92" s="341">
        <v>0</v>
      </c>
      <c r="AW92" s="341">
        <v>0</v>
      </c>
      <c r="AX92" s="341">
        <v>0</v>
      </c>
      <c r="AY92" s="341">
        <v>0</v>
      </c>
      <c r="AZ92" s="341">
        <v>0</v>
      </c>
    </row>
    <row r="93" spans="1:52" ht="15.75" customHeight="1">
      <c r="A93" s="29"/>
      <c r="B93" s="29"/>
      <c r="C93" s="29"/>
      <c r="D93" s="340" t="s">
        <v>204</v>
      </c>
      <c r="E93" s="340" t="s">
        <v>105</v>
      </c>
      <c r="F93" s="341">
        <v>0</v>
      </c>
      <c r="G93" s="341">
        <v>84.7</v>
      </c>
      <c r="H93" s="341">
        <v>2.08</v>
      </c>
      <c r="I93" s="341">
        <v>13.3</v>
      </c>
      <c r="J93" s="341">
        <v>0.51</v>
      </c>
      <c r="K93" s="341">
        <v>0</v>
      </c>
      <c r="L93" s="341">
        <v>0</v>
      </c>
      <c r="M93" s="341">
        <v>0</v>
      </c>
      <c r="N93" s="341">
        <v>2.2999999999999998</v>
      </c>
      <c r="O93" s="341">
        <v>62.5</v>
      </c>
      <c r="P93" s="341">
        <v>42.1</v>
      </c>
      <c r="Q93" s="341">
        <v>0</v>
      </c>
      <c r="R93" s="341">
        <v>7.9</v>
      </c>
      <c r="S93" s="341">
        <v>0.73</v>
      </c>
      <c r="T93" s="341">
        <v>0.27</v>
      </c>
      <c r="U93" s="341">
        <v>0.21</v>
      </c>
      <c r="V93" s="341">
        <v>2.09</v>
      </c>
      <c r="W93" s="341">
        <v>0.1</v>
      </c>
      <c r="X93" s="341">
        <v>0.71</v>
      </c>
      <c r="Y93" s="341">
        <v>0.28999999999999998</v>
      </c>
      <c r="Z93" s="341">
        <v>0</v>
      </c>
      <c r="AA93" s="341">
        <v>8</v>
      </c>
      <c r="AB93" s="341">
        <v>0</v>
      </c>
      <c r="AC93" s="341">
        <v>124</v>
      </c>
      <c r="AD93" s="341">
        <v>74</v>
      </c>
      <c r="AE93" s="341">
        <v>0.09</v>
      </c>
      <c r="AF93" s="341">
        <v>24</v>
      </c>
      <c r="AG93" s="341">
        <v>0</v>
      </c>
      <c r="AH93" s="341">
        <v>0</v>
      </c>
      <c r="AI93" s="341">
        <v>0</v>
      </c>
      <c r="AJ93" s="341">
        <v>0</v>
      </c>
      <c r="AK93" s="341">
        <v>0</v>
      </c>
      <c r="AL93" s="341">
        <v>0</v>
      </c>
      <c r="AM93" s="341">
        <v>0</v>
      </c>
      <c r="AN93" s="341">
        <v>0</v>
      </c>
      <c r="AO93" s="341">
        <v>0</v>
      </c>
      <c r="AP93" s="341">
        <v>0</v>
      </c>
      <c r="AQ93" s="341">
        <v>0</v>
      </c>
      <c r="AR93" s="341">
        <v>0</v>
      </c>
      <c r="AS93" s="341">
        <v>0</v>
      </c>
      <c r="AT93" s="341">
        <v>0</v>
      </c>
      <c r="AU93" s="341">
        <v>0</v>
      </c>
      <c r="AV93" s="341">
        <v>0</v>
      </c>
      <c r="AW93" s="341">
        <v>0</v>
      </c>
      <c r="AX93" s="341">
        <v>0</v>
      </c>
      <c r="AY93" s="341">
        <v>0</v>
      </c>
      <c r="AZ93" s="341">
        <v>0</v>
      </c>
    </row>
    <row r="94" spans="1:52" ht="15.75" customHeight="1">
      <c r="A94" s="29"/>
      <c r="B94" s="29"/>
      <c r="C94" s="29"/>
      <c r="D94" s="340" t="s">
        <v>205</v>
      </c>
      <c r="E94" s="340" t="s">
        <v>105</v>
      </c>
      <c r="F94" s="341">
        <v>0</v>
      </c>
      <c r="G94" s="341">
        <v>84.2</v>
      </c>
      <c r="H94" s="341">
        <v>2.35</v>
      </c>
      <c r="I94" s="341">
        <v>19.100000000000001</v>
      </c>
      <c r="J94" s="341">
        <v>0.9</v>
      </c>
      <c r="K94" s="341">
        <v>0</v>
      </c>
      <c r="L94" s="341">
        <v>0</v>
      </c>
      <c r="M94" s="341">
        <v>0</v>
      </c>
      <c r="N94" s="341">
        <v>2</v>
      </c>
      <c r="O94" s="341">
        <v>47.2</v>
      </c>
      <c r="P94" s="341">
        <v>35.4</v>
      </c>
      <c r="Q94" s="341">
        <v>0</v>
      </c>
      <c r="R94" s="341">
        <v>9.1</v>
      </c>
      <c r="S94" s="341">
        <v>1.17</v>
      </c>
      <c r="T94" s="341">
        <v>0.3</v>
      </c>
      <c r="U94" s="341">
        <v>0.27</v>
      </c>
      <c r="V94" s="341">
        <v>2.34</v>
      </c>
      <c r="W94" s="341">
        <v>0.08</v>
      </c>
      <c r="X94" s="341">
        <v>0.43</v>
      </c>
      <c r="Y94" s="341">
        <v>0.26</v>
      </c>
      <c r="Z94" s="341">
        <v>0</v>
      </c>
      <c r="AA94" s="341">
        <v>9</v>
      </c>
      <c r="AB94" s="341">
        <v>0</v>
      </c>
      <c r="AC94" s="341">
        <v>141</v>
      </c>
      <c r="AD94" s="341">
        <v>49</v>
      </c>
      <c r="AE94" s="341">
        <v>0.15</v>
      </c>
      <c r="AF94" s="341">
        <v>24</v>
      </c>
      <c r="AG94" s="341">
        <v>0</v>
      </c>
      <c r="AH94" s="341">
        <v>0</v>
      </c>
      <c r="AI94" s="341">
        <v>0</v>
      </c>
      <c r="AJ94" s="341">
        <v>0</v>
      </c>
      <c r="AK94" s="341">
        <v>0</v>
      </c>
      <c r="AL94" s="341">
        <v>0</v>
      </c>
      <c r="AM94" s="341">
        <v>0</v>
      </c>
      <c r="AN94" s="341">
        <v>0</v>
      </c>
      <c r="AO94" s="341">
        <v>0</v>
      </c>
      <c r="AP94" s="341">
        <v>0</v>
      </c>
      <c r="AQ94" s="341">
        <v>0</v>
      </c>
      <c r="AR94" s="341">
        <v>0</v>
      </c>
      <c r="AS94" s="341">
        <v>0</v>
      </c>
      <c r="AT94" s="341">
        <v>0</v>
      </c>
      <c r="AU94" s="341">
        <v>0</v>
      </c>
      <c r="AV94" s="341">
        <v>0</v>
      </c>
      <c r="AW94" s="341">
        <v>0</v>
      </c>
      <c r="AX94" s="341">
        <v>0</v>
      </c>
      <c r="AY94" s="341">
        <v>0</v>
      </c>
      <c r="AZ94" s="341">
        <v>0</v>
      </c>
    </row>
    <row r="95" spans="1:52" ht="15.75" customHeight="1">
      <c r="A95" s="29"/>
      <c r="B95" s="29"/>
      <c r="C95" s="29"/>
      <c r="D95" s="340" t="s">
        <v>206</v>
      </c>
      <c r="E95" s="340" t="s">
        <v>105</v>
      </c>
      <c r="F95" s="341">
        <v>0</v>
      </c>
      <c r="G95" s="341">
        <v>83.8</v>
      </c>
      <c r="H95" s="341">
        <v>2.4900000000000002</v>
      </c>
      <c r="I95" s="341">
        <v>20.5</v>
      </c>
      <c r="J95" s="341">
        <v>0.97</v>
      </c>
      <c r="K95" s="341">
        <v>0</v>
      </c>
      <c r="L95" s="341">
        <v>0</v>
      </c>
      <c r="M95" s="341">
        <v>0</v>
      </c>
      <c r="N95" s="341">
        <v>2</v>
      </c>
      <c r="O95" s="341">
        <v>41.7</v>
      </c>
      <c r="P95" s="341">
        <v>30.5</v>
      </c>
      <c r="Q95" s="341">
        <v>0</v>
      </c>
      <c r="R95" s="341">
        <v>9.1999999999999993</v>
      </c>
      <c r="S95" s="341">
        <v>1.3</v>
      </c>
      <c r="T95" s="341">
        <v>0.3</v>
      </c>
      <c r="U95" s="341">
        <v>0.3</v>
      </c>
      <c r="V95" s="341">
        <v>2.41</v>
      </c>
      <c r="W95" s="341">
        <v>0.03</v>
      </c>
      <c r="X95" s="341">
        <v>160</v>
      </c>
      <c r="Y95" s="341">
        <v>0.2</v>
      </c>
      <c r="Z95" s="341">
        <v>0</v>
      </c>
      <c r="AA95" s="341">
        <v>10</v>
      </c>
      <c r="AB95" s="341">
        <v>0</v>
      </c>
      <c r="AC95" s="341">
        <v>167</v>
      </c>
      <c r="AD95" s="341">
        <v>58</v>
      </c>
      <c r="AE95" s="341">
        <v>0.15</v>
      </c>
      <c r="AF95" s="341">
        <v>24</v>
      </c>
      <c r="AG95" s="341">
        <v>0</v>
      </c>
      <c r="AH95" s="341">
        <v>0</v>
      </c>
      <c r="AI95" s="341">
        <v>0</v>
      </c>
      <c r="AJ95" s="341">
        <v>0</v>
      </c>
      <c r="AK95" s="341">
        <v>0</v>
      </c>
      <c r="AL95" s="341">
        <v>0</v>
      </c>
      <c r="AM95" s="341">
        <v>0</v>
      </c>
      <c r="AN95" s="341">
        <v>0</v>
      </c>
      <c r="AO95" s="341">
        <v>0</v>
      </c>
      <c r="AP95" s="341">
        <v>0</v>
      </c>
      <c r="AQ95" s="341">
        <v>0</v>
      </c>
      <c r="AR95" s="341">
        <v>0</v>
      </c>
      <c r="AS95" s="341">
        <v>0</v>
      </c>
      <c r="AT95" s="341">
        <v>0</v>
      </c>
      <c r="AU95" s="341">
        <v>0</v>
      </c>
      <c r="AV95" s="341">
        <v>0</v>
      </c>
      <c r="AW95" s="341">
        <v>0</v>
      </c>
      <c r="AX95" s="341">
        <v>0</v>
      </c>
      <c r="AY95" s="341">
        <v>0</v>
      </c>
      <c r="AZ95" s="341">
        <v>0</v>
      </c>
    </row>
    <row r="96" spans="1:52" ht="15.75" customHeight="1">
      <c r="A96" s="29"/>
      <c r="B96" s="29"/>
      <c r="C96" s="29"/>
      <c r="D96" s="340" t="s">
        <v>207</v>
      </c>
      <c r="E96" s="340" t="s">
        <v>105</v>
      </c>
      <c r="F96" s="341">
        <v>0</v>
      </c>
      <c r="G96" s="341">
        <v>84.3</v>
      </c>
      <c r="H96" s="341">
        <v>2.2000000000000002</v>
      </c>
      <c r="I96" s="341">
        <v>17.2</v>
      </c>
      <c r="J96" s="341">
        <v>0.8</v>
      </c>
      <c r="K96" s="341">
        <v>0</v>
      </c>
      <c r="L96" s="341">
        <v>0</v>
      </c>
      <c r="M96" s="341">
        <v>0</v>
      </c>
      <c r="N96" s="341">
        <v>1.7</v>
      </c>
      <c r="O96" s="341">
        <v>53.6</v>
      </c>
      <c r="P96" s="341">
        <v>41.5</v>
      </c>
      <c r="Q96" s="341">
        <v>0</v>
      </c>
      <c r="R96" s="341">
        <v>8.6999999999999993</v>
      </c>
      <c r="S96" s="341">
        <v>1.0900000000000001</v>
      </c>
      <c r="T96" s="341">
        <v>0.28000000000000003</v>
      </c>
      <c r="U96" s="341">
        <v>0.25</v>
      </c>
      <c r="V96" s="341">
        <v>2.23</v>
      </c>
      <c r="W96" s="341">
        <v>0.01</v>
      </c>
      <c r="X96" s="341">
        <v>0.21</v>
      </c>
      <c r="Y96" s="341">
        <v>0.26</v>
      </c>
      <c r="Z96" s="341">
        <v>0</v>
      </c>
      <c r="AA96" s="341">
        <v>8</v>
      </c>
      <c r="AB96" s="341">
        <v>0</v>
      </c>
      <c r="AC96" s="341">
        <v>141</v>
      </c>
      <c r="AD96" s="341">
        <v>43</v>
      </c>
      <c r="AE96" s="341">
        <v>0.15</v>
      </c>
      <c r="AF96" s="341">
        <v>24</v>
      </c>
      <c r="AG96" s="341">
        <v>0</v>
      </c>
      <c r="AH96" s="341">
        <v>0</v>
      </c>
      <c r="AI96" s="341">
        <v>0</v>
      </c>
      <c r="AJ96" s="341">
        <v>0</v>
      </c>
      <c r="AK96" s="341">
        <v>0</v>
      </c>
      <c r="AL96" s="341">
        <v>0</v>
      </c>
      <c r="AM96" s="341">
        <v>0</v>
      </c>
      <c r="AN96" s="341">
        <v>0</v>
      </c>
      <c r="AO96" s="341">
        <v>0</v>
      </c>
      <c r="AP96" s="341">
        <v>0</v>
      </c>
      <c r="AQ96" s="341">
        <v>0</v>
      </c>
      <c r="AR96" s="341">
        <v>0</v>
      </c>
      <c r="AS96" s="341">
        <v>0</v>
      </c>
      <c r="AT96" s="341">
        <v>0</v>
      </c>
      <c r="AU96" s="341">
        <v>0</v>
      </c>
      <c r="AV96" s="341">
        <v>0</v>
      </c>
      <c r="AW96" s="341">
        <v>0</v>
      </c>
      <c r="AX96" s="341">
        <v>0</v>
      </c>
      <c r="AY96" s="341">
        <v>0</v>
      </c>
      <c r="AZ96" s="341">
        <v>0</v>
      </c>
    </row>
    <row r="97" spans="1:52" ht="15.75" customHeight="1">
      <c r="A97" s="29"/>
      <c r="B97" s="29"/>
      <c r="C97" s="29"/>
      <c r="D97" s="340" t="s">
        <v>208</v>
      </c>
      <c r="E97" s="340" t="s">
        <v>105</v>
      </c>
      <c r="F97" s="341">
        <v>0</v>
      </c>
      <c r="G97" s="341">
        <v>87.3</v>
      </c>
      <c r="H97" s="341">
        <v>2.19</v>
      </c>
      <c r="I97" s="341">
        <v>17.399999999999999</v>
      </c>
      <c r="J97" s="341">
        <v>0.68</v>
      </c>
      <c r="K97" s="341">
        <v>0</v>
      </c>
      <c r="L97" s="341">
        <v>0</v>
      </c>
      <c r="M97" s="341">
        <v>0</v>
      </c>
      <c r="N97" s="341">
        <v>2.6</v>
      </c>
      <c r="O97" s="341">
        <v>55.1</v>
      </c>
      <c r="P97" s="341">
        <v>36.4</v>
      </c>
      <c r="Q97" s="341">
        <v>0</v>
      </c>
      <c r="R97" s="341">
        <v>9.5</v>
      </c>
      <c r="S97" s="341">
        <v>0.88</v>
      </c>
      <c r="T97" s="341">
        <v>0.36</v>
      </c>
      <c r="U97" s="341">
        <v>0.25</v>
      </c>
      <c r="V97" s="341">
        <v>2.4500000000000002</v>
      </c>
      <c r="W97" s="341">
        <v>0.01</v>
      </c>
      <c r="X97" s="341">
        <v>0.77</v>
      </c>
      <c r="Y97" s="341">
        <v>0.27</v>
      </c>
      <c r="Z97" s="341">
        <v>0</v>
      </c>
      <c r="AA97" s="341">
        <v>9</v>
      </c>
      <c r="AB97" s="341">
        <v>0</v>
      </c>
      <c r="AC97" s="341">
        <v>358</v>
      </c>
      <c r="AD97" s="341">
        <v>75</v>
      </c>
      <c r="AE97" s="341">
        <v>0.09</v>
      </c>
      <c r="AF97" s="341">
        <v>26</v>
      </c>
      <c r="AG97" s="341">
        <v>0</v>
      </c>
      <c r="AH97" s="341">
        <v>0</v>
      </c>
      <c r="AI97" s="341">
        <v>0</v>
      </c>
      <c r="AJ97" s="341">
        <v>0</v>
      </c>
      <c r="AK97" s="341">
        <v>0</v>
      </c>
      <c r="AL97" s="341">
        <v>0</v>
      </c>
      <c r="AM97" s="341">
        <v>0</v>
      </c>
      <c r="AN97" s="341">
        <v>0</v>
      </c>
      <c r="AO97" s="341">
        <v>0</v>
      </c>
      <c r="AP97" s="341">
        <v>0</v>
      </c>
      <c r="AQ97" s="341">
        <v>0</v>
      </c>
      <c r="AR97" s="341">
        <v>0</v>
      </c>
      <c r="AS97" s="341">
        <v>0</v>
      </c>
      <c r="AT97" s="341">
        <v>0</v>
      </c>
      <c r="AU97" s="341">
        <v>0</v>
      </c>
      <c r="AV97" s="341">
        <v>0</v>
      </c>
      <c r="AW97" s="341">
        <v>0</v>
      </c>
      <c r="AX97" s="341">
        <v>0</v>
      </c>
      <c r="AY97" s="341">
        <v>0</v>
      </c>
      <c r="AZ97" s="341">
        <v>0</v>
      </c>
    </row>
    <row r="98" spans="1:52" ht="15.75" customHeight="1">
      <c r="A98" s="29"/>
      <c r="B98" s="29"/>
      <c r="C98" s="29"/>
      <c r="D98" s="340" t="s">
        <v>209</v>
      </c>
      <c r="E98" s="340" t="s">
        <v>105</v>
      </c>
      <c r="F98" s="341">
        <v>0</v>
      </c>
      <c r="G98" s="341">
        <v>84.3</v>
      </c>
      <c r="H98" s="341">
        <v>2.35</v>
      </c>
      <c r="I98" s="341">
        <v>18.399999999999999</v>
      </c>
      <c r="J98" s="341">
        <v>0.72</v>
      </c>
      <c r="K98" s="341">
        <v>0</v>
      </c>
      <c r="L98" s="341">
        <v>0</v>
      </c>
      <c r="M98" s="341">
        <v>0</v>
      </c>
      <c r="N98" s="341">
        <v>2.4</v>
      </c>
      <c r="O98" s="341">
        <v>49.6</v>
      </c>
      <c r="P98" s="341">
        <v>31.5</v>
      </c>
      <c r="Q98" s="341">
        <v>0</v>
      </c>
      <c r="R98" s="341">
        <v>9.1999999999999993</v>
      </c>
      <c r="S98" s="341">
        <v>1.01</v>
      </c>
      <c r="T98" s="341">
        <v>0.31</v>
      </c>
      <c r="U98" s="341">
        <v>0.26</v>
      </c>
      <c r="V98" s="341">
        <v>2.83</v>
      </c>
      <c r="W98" s="341">
        <v>0.03</v>
      </c>
      <c r="X98" s="341">
        <v>0.74</v>
      </c>
      <c r="Y98" s="341">
        <v>0.28000000000000003</v>
      </c>
      <c r="Z98" s="341">
        <v>0</v>
      </c>
      <c r="AA98" s="341">
        <v>9</v>
      </c>
      <c r="AB98" s="341">
        <v>0</v>
      </c>
      <c r="AC98" s="341">
        <v>117</v>
      </c>
      <c r="AD98" s="341">
        <v>53</v>
      </c>
      <c r="AE98" s="341">
        <v>0.09</v>
      </c>
      <c r="AF98" s="341">
        <v>25</v>
      </c>
      <c r="AG98" s="341">
        <v>0</v>
      </c>
      <c r="AH98" s="341">
        <v>0</v>
      </c>
      <c r="AI98" s="341">
        <v>0</v>
      </c>
      <c r="AJ98" s="341">
        <v>0</v>
      </c>
      <c r="AK98" s="341">
        <v>0</v>
      </c>
      <c r="AL98" s="341">
        <v>0</v>
      </c>
      <c r="AM98" s="341">
        <v>0</v>
      </c>
      <c r="AN98" s="341">
        <v>0</v>
      </c>
      <c r="AO98" s="341">
        <v>0</v>
      </c>
      <c r="AP98" s="341">
        <v>0</v>
      </c>
      <c r="AQ98" s="341">
        <v>0</v>
      </c>
      <c r="AR98" s="341">
        <v>0</v>
      </c>
      <c r="AS98" s="341">
        <v>0</v>
      </c>
      <c r="AT98" s="341">
        <v>0</v>
      </c>
      <c r="AU98" s="341">
        <v>0</v>
      </c>
      <c r="AV98" s="341">
        <v>0</v>
      </c>
      <c r="AW98" s="341">
        <v>0</v>
      </c>
      <c r="AX98" s="341">
        <v>0</v>
      </c>
      <c r="AY98" s="341">
        <v>0</v>
      </c>
      <c r="AZ98" s="341">
        <v>0</v>
      </c>
    </row>
    <row r="99" spans="1:52" ht="15.75" customHeight="1">
      <c r="A99" s="29"/>
      <c r="B99" s="29"/>
      <c r="C99" s="29"/>
      <c r="D99" s="340" t="s">
        <v>210</v>
      </c>
      <c r="E99" s="340" t="s">
        <v>105</v>
      </c>
      <c r="F99" s="341">
        <v>0</v>
      </c>
      <c r="G99" s="341">
        <v>44.5</v>
      </c>
      <c r="H99" s="341">
        <v>2.19</v>
      </c>
      <c r="I99" s="341">
        <v>17.600000000000001</v>
      </c>
      <c r="J99" s="341">
        <v>0.63</v>
      </c>
      <c r="K99" s="341">
        <v>0</v>
      </c>
      <c r="L99" s="341">
        <v>0</v>
      </c>
      <c r="M99" s="341">
        <v>0</v>
      </c>
      <c r="N99" s="341">
        <v>2.9</v>
      </c>
      <c r="O99" s="341">
        <v>54.5</v>
      </c>
      <c r="P99" s="341">
        <v>35.700000000000003</v>
      </c>
      <c r="Q99" s="341">
        <v>0</v>
      </c>
      <c r="R99" s="341">
        <v>9.5</v>
      </c>
      <c r="S99" s="341">
        <v>0.89</v>
      </c>
      <c r="T99" s="341">
        <v>0.36</v>
      </c>
      <c r="U99" s="341">
        <v>0.26</v>
      </c>
      <c r="V99" s="341">
        <v>2.64</v>
      </c>
      <c r="W99" s="341">
        <v>0.01</v>
      </c>
      <c r="X99" s="341">
        <v>0.45</v>
      </c>
      <c r="Y99" s="341">
        <v>0.25</v>
      </c>
      <c r="Z99" s="341">
        <v>0</v>
      </c>
      <c r="AA99" s="341">
        <v>9</v>
      </c>
      <c r="AB99" s="341">
        <v>0</v>
      </c>
      <c r="AC99" s="341">
        <v>264</v>
      </c>
      <c r="AD99" s="341">
        <v>78</v>
      </c>
      <c r="AE99" s="341">
        <v>0.11</v>
      </c>
      <c r="AF99" s="341">
        <v>30</v>
      </c>
      <c r="AG99" s="341">
        <v>0</v>
      </c>
      <c r="AH99" s="341">
        <v>0</v>
      </c>
      <c r="AI99" s="341">
        <v>0</v>
      </c>
      <c r="AJ99" s="341">
        <v>0</v>
      </c>
      <c r="AK99" s="341">
        <v>0</v>
      </c>
      <c r="AL99" s="341">
        <v>0</v>
      </c>
      <c r="AM99" s="341">
        <v>0</v>
      </c>
      <c r="AN99" s="341">
        <v>0</v>
      </c>
      <c r="AO99" s="341">
        <v>0</v>
      </c>
      <c r="AP99" s="341">
        <v>0</v>
      </c>
      <c r="AQ99" s="341">
        <v>0</v>
      </c>
      <c r="AR99" s="341">
        <v>0</v>
      </c>
      <c r="AS99" s="341">
        <v>0</v>
      </c>
      <c r="AT99" s="341">
        <v>0</v>
      </c>
      <c r="AU99" s="341">
        <v>0</v>
      </c>
      <c r="AV99" s="341">
        <v>0</v>
      </c>
      <c r="AW99" s="341">
        <v>0</v>
      </c>
      <c r="AX99" s="341">
        <v>0</v>
      </c>
      <c r="AY99" s="341">
        <v>0</v>
      </c>
      <c r="AZ99" s="341">
        <v>0</v>
      </c>
    </row>
    <row r="100" spans="1:52" ht="15.75" customHeight="1">
      <c r="A100" s="29"/>
      <c r="B100" s="29"/>
      <c r="C100" s="29"/>
      <c r="D100" s="340" t="s">
        <v>211</v>
      </c>
      <c r="E100" s="340" t="s">
        <v>105</v>
      </c>
      <c r="F100" s="341">
        <v>0</v>
      </c>
      <c r="G100" s="341">
        <v>47.1</v>
      </c>
      <c r="H100" s="341">
        <v>2.34</v>
      </c>
      <c r="I100" s="341">
        <v>18</v>
      </c>
      <c r="J100" s="341">
        <v>0.64</v>
      </c>
      <c r="K100" s="341">
        <v>0</v>
      </c>
      <c r="L100" s="341">
        <v>0</v>
      </c>
      <c r="M100" s="341">
        <v>0</v>
      </c>
      <c r="N100" s="341">
        <v>2.9</v>
      </c>
      <c r="O100" s="341">
        <v>49.9</v>
      </c>
      <c r="P100" s="341">
        <v>31.8</v>
      </c>
      <c r="Q100" s="341">
        <v>0</v>
      </c>
      <c r="R100" s="341">
        <v>9.1</v>
      </c>
      <c r="S100" s="341">
        <v>1.02</v>
      </c>
      <c r="T100" s="341">
        <v>0.34</v>
      </c>
      <c r="U100" s="341">
        <v>0.25</v>
      </c>
      <c r="V100" s="341">
        <v>2.88</v>
      </c>
      <c r="W100" s="341">
        <v>0.03</v>
      </c>
      <c r="X100" s="341">
        <v>0.74</v>
      </c>
      <c r="Y100" s="341">
        <v>0.27</v>
      </c>
      <c r="Z100" s="341">
        <v>0</v>
      </c>
      <c r="AA100" s="341">
        <v>9</v>
      </c>
      <c r="AB100" s="341">
        <v>0</v>
      </c>
      <c r="AC100" s="341">
        <v>234</v>
      </c>
      <c r="AD100" s="341">
        <v>74</v>
      </c>
      <c r="AE100" s="341">
        <v>0.11</v>
      </c>
      <c r="AF100" s="341">
        <v>27</v>
      </c>
      <c r="AG100" s="341">
        <v>0</v>
      </c>
      <c r="AH100" s="341">
        <v>0</v>
      </c>
      <c r="AI100" s="341">
        <v>0</v>
      </c>
      <c r="AJ100" s="341">
        <v>0</v>
      </c>
      <c r="AK100" s="341">
        <v>0</v>
      </c>
      <c r="AL100" s="341">
        <v>0</v>
      </c>
      <c r="AM100" s="341">
        <v>0</v>
      </c>
      <c r="AN100" s="341">
        <v>0</v>
      </c>
      <c r="AO100" s="341">
        <v>0</v>
      </c>
      <c r="AP100" s="341">
        <v>0</v>
      </c>
      <c r="AQ100" s="341">
        <v>0</v>
      </c>
      <c r="AR100" s="341">
        <v>0</v>
      </c>
      <c r="AS100" s="341">
        <v>0</v>
      </c>
      <c r="AT100" s="341">
        <v>0</v>
      </c>
      <c r="AU100" s="341">
        <v>0</v>
      </c>
      <c r="AV100" s="341">
        <v>0</v>
      </c>
      <c r="AW100" s="341">
        <v>0</v>
      </c>
      <c r="AX100" s="341">
        <v>0</v>
      </c>
      <c r="AY100" s="341">
        <v>0</v>
      </c>
      <c r="AZ100" s="341">
        <v>0</v>
      </c>
    </row>
    <row r="101" spans="1:52" ht="15.75" customHeight="1">
      <c r="A101" s="29"/>
      <c r="B101" s="29"/>
      <c r="C101" s="29"/>
      <c r="D101" s="340" t="s">
        <v>212</v>
      </c>
      <c r="E101" s="340" t="s">
        <v>105</v>
      </c>
      <c r="F101" s="341">
        <v>0</v>
      </c>
      <c r="G101" s="341">
        <v>38.5</v>
      </c>
      <c r="H101" s="341">
        <v>2.0099999999999998</v>
      </c>
      <c r="I101" s="341">
        <v>15.4</v>
      </c>
      <c r="J101" s="341">
        <v>0.55000000000000004</v>
      </c>
      <c r="K101" s="341">
        <v>0</v>
      </c>
      <c r="L101" s="341">
        <v>0</v>
      </c>
      <c r="M101" s="341">
        <v>0</v>
      </c>
      <c r="N101" s="341">
        <v>2.6</v>
      </c>
      <c r="O101" s="341">
        <v>61.7</v>
      </c>
      <c r="P101" s="341">
        <v>42.2</v>
      </c>
      <c r="Q101" s="341">
        <v>0</v>
      </c>
      <c r="R101" s="341">
        <v>9</v>
      </c>
      <c r="S101" s="341">
        <v>0.85</v>
      </c>
      <c r="T101" s="341">
        <v>0.33</v>
      </c>
      <c r="U101" s="341">
        <v>0.23</v>
      </c>
      <c r="V101" s="341">
        <v>2.5</v>
      </c>
      <c r="W101" s="341">
        <v>0.1</v>
      </c>
      <c r="X101" s="341">
        <v>0.9</v>
      </c>
      <c r="Y101" s="341">
        <v>0.34</v>
      </c>
      <c r="Z101" s="341">
        <v>0</v>
      </c>
      <c r="AA101" s="341">
        <v>9</v>
      </c>
      <c r="AB101" s="341">
        <v>0</v>
      </c>
      <c r="AC101" s="341">
        <v>241</v>
      </c>
      <c r="AD101" s="341">
        <v>73</v>
      </c>
      <c r="AE101" s="341">
        <v>0.11</v>
      </c>
      <c r="AF101" s="341">
        <v>28</v>
      </c>
      <c r="AG101" s="341">
        <v>0</v>
      </c>
      <c r="AH101" s="341">
        <v>0</v>
      </c>
      <c r="AI101" s="341">
        <v>0</v>
      </c>
      <c r="AJ101" s="341">
        <v>0</v>
      </c>
      <c r="AK101" s="341">
        <v>0</v>
      </c>
      <c r="AL101" s="341">
        <v>0</v>
      </c>
      <c r="AM101" s="341">
        <v>0</v>
      </c>
      <c r="AN101" s="341">
        <v>0</v>
      </c>
      <c r="AO101" s="341">
        <v>0</v>
      </c>
      <c r="AP101" s="341">
        <v>0</v>
      </c>
      <c r="AQ101" s="341">
        <v>0</v>
      </c>
      <c r="AR101" s="341">
        <v>0</v>
      </c>
      <c r="AS101" s="341">
        <v>0</v>
      </c>
      <c r="AT101" s="341">
        <v>0</v>
      </c>
      <c r="AU101" s="341">
        <v>0</v>
      </c>
      <c r="AV101" s="341">
        <v>0</v>
      </c>
      <c r="AW101" s="341">
        <v>0</v>
      </c>
      <c r="AX101" s="341">
        <v>0</v>
      </c>
      <c r="AY101" s="341">
        <v>0</v>
      </c>
      <c r="AZ101" s="341">
        <v>0</v>
      </c>
    </row>
    <row r="102" spans="1:52" ht="15.75" customHeight="1">
      <c r="A102" s="29"/>
      <c r="B102" s="29"/>
      <c r="C102" s="29"/>
      <c r="D102" s="340" t="s">
        <v>213</v>
      </c>
      <c r="E102" s="340" t="s">
        <v>105</v>
      </c>
      <c r="F102" s="341">
        <v>0</v>
      </c>
      <c r="G102" s="341">
        <v>43.3</v>
      </c>
      <c r="H102" s="341">
        <v>2.27</v>
      </c>
      <c r="I102" s="341">
        <v>19</v>
      </c>
      <c r="J102" s="341">
        <v>0.78</v>
      </c>
      <c r="K102" s="341">
        <v>0</v>
      </c>
      <c r="L102" s="341">
        <v>0</v>
      </c>
      <c r="M102" s="341">
        <v>0</v>
      </c>
      <c r="N102" s="341">
        <v>2.1</v>
      </c>
      <c r="O102" s="341">
        <v>47</v>
      </c>
      <c r="P102" s="341">
        <v>35.4</v>
      </c>
      <c r="Q102" s="341">
        <v>0</v>
      </c>
      <c r="R102" s="341">
        <v>10.8</v>
      </c>
      <c r="S102" s="341">
        <v>1.1399999999999999</v>
      </c>
      <c r="T102" s="341">
        <v>0.34</v>
      </c>
      <c r="U102" s="341">
        <v>0.28000000000000003</v>
      </c>
      <c r="V102" s="341">
        <v>2.88</v>
      </c>
      <c r="W102" s="341">
        <v>0.01</v>
      </c>
      <c r="X102" s="341">
        <v>0.6</v>
      </c>
      <c r="Y102" s="341">
        <v>0.25</v>
      </c>
      <c r="Z102" s="341">
        <v>0</v>
      </c>
      <c r="AA102" s="341">
        <v>910</v>
      </c>
      <c r="AB102" s="341">
        <v>0</v>
      </c>
      <c r="AC102" s="341">
        <v>244</v>
      </c>
      <c r="AD102" s="341">
        <v>64</v>
      </c>
      <c r="AE102" s="341">
        <v>0.17</v>
      </c>
      <c r="AF102" s="341">
        <v>28</v>
      </c>
      <c r="AG102" s="341">
        <v>0</v>
      </c>
      <c r="AH102" s="341">
        <v>0</v>
      </c>
      <c r="AI102" s="341">
        <v>0</v>
      </c>
      <c r="AJ102" s="341">
        <v>0</v>
      </c>
      <c r="AK102" s="341">
        <v>0</v>
      </c>
      <c r="AL102" s="341">
        <v>0</v>
      </c>
      <c r="AM102" s="341">
        <v>0</v>
      </c>
      <c r="AN102" s="341">
        <v>0</v>
      </c>
      <c r="AO102" s="341">
        <v>0</v>
      </c>
      <c r="AP102" s="341">
        <v>0</v>
      </c>
      <c r="AQ102" s="341">
        <v>0</v>
      </c>
      <c r="AR102" s="341">
        <v>0</v>
      </c>
      <c r="AS102" s="341">
        <v>0</v>
      </c>
      <c r="AT102" s="341">
        <v>0</v>
      </c>
      <c r="AU102" s="341">
        <v>0</v>
      </c>
      <c r="AV102" s="341">
        <v>0</v>
      </c>
      <c r="AW102" s="341">
        <v>0</v>
      </c>
      <c r="AX102" s="341">
        <v>0</v>
      </c>
      <c r="AY102" s="341">
        <v>0</v>
      </c>
      <c r="AZ102" s="341">
        <v>0</v>
      </c>
    </row>
    <row r="103" spans="1:52" ht="15.75" customHeight="1">
      <c r="A103" s="29"/>
      <c r="B103" s="29"/>
      <c r="C103" s="29"/>
      <c r="D103" s="340" t="s">
        <v>214</v>
      </c>
      <c r="E103" s="340" t="s">
        <v>105</v>
      </c>
      <c r="F103" s="341">
        <v>0</v>
      </c>
      <c r="G103" s="341">
        <v>43.2</v>
      </c>
      <c r="H103" s="341">
        <v>2.38</v>
      </c>
      <c r="I103" s="341">
        <v>20</v>
      </c>
      <c r="J103" s="341">
        <v>0.84</v>
      </c>
      <c r="K103" s="341">
        <v>0</v>
      </c>
      <c r="L103" s="341">
        <v>0</v>
      </c>
      <c r="M103" s="341">
        <v>0</v>
      </c>
      <c r="N103" s="341">
        <v>2.2000000000000002</v>
      </c>
      <c r="O103" s="341">
        <v>42</v>
      </c>
      <c r="P103" s="341">
        <v>31.1</v>
      </c>
      <c r="Q103" s="341">
        <v>0</v>
      </c>
      <c r="R103" s="341">
        <v>11.5</v>
      </c>
      <c r="S103" s="341">
        <v>1.1599999999999999</v>
      </c>
      <c r="T103" s="341">
        <v>0.36</v>
      </c>
      <c r="U103" s="341">
        <v>0.3</v>
      </c>
      <c r="V103" s="341">
        <v>2.95</v>
      </c>
      <c r="W103" s="341">
        <v>0.01</v>
      </c>
      <c r="X103" s="341">
        <v>0.6</v>
      </c>
      <c r="Y103" s="341">
        <v>0.32</v>
      </c>
      <c r="Z103" s="341">
        <v>0</v>
      </c>
      <c r="AA103" s="341">
        <v>11</v>
      </c>
      <c r="AB103" s="341">
        <v>0</v>
      </c>
      <c r="AC103" s="341">
        <v>279</v>
      </c>
      <c r="AD103" s="341">
        <v>70</v>
      </c>
      <c r="AE103" s="341">
        <v>0.17</v>
      </c>
      <c r="AF103" s="341">
        <v>36</v>
      </c>
      <c r="AG103" s="341">
        <v>0</v>
      </c>
      <c r="AH103" s="341">
        <v>0</v>
      </c>
      <c r="AI103" s="341">
        <v>0</v>
      </c>
      <c r="AJ103" s="341">
        <v>0</v>
      </c>
      <c r="AK103" s="341">
        <v>0</v>
      </c>
      <c r="AL103" s="341">
        <v>0</v>
      </c>
      <c r="AM103" s="341">
        <v>0</v>
      </c>
      <c r="AN103" s="341">
        <v>0</v>
      </c>
      <c r="AO103" s="341">
        <v>0</v>
      </c>
      <c r="AP103" s="341">
        <v>0</v>
      </c>
      <c r="AQ103" s="341">
        <v>0</v>
      </c>
      <c r="AR103" s="341">
        <v>0</v>
      </c>
      <c r="AS103" s="341">
        <v>0</v>
      </c>
      <c r="AT103" s="341">
        <v>0</v>
      </c>
      <c r="AU103" s="341">
        <v>0</v>
      </c>
      <c r="AV103" s="341">
        <v>0</v>
      </c>
      <c r="AW103" s="341">
        <v>0</v>
      </c>
      <c r="AX103" s="341">
        <v>0</v>
      </c>
      <c r="AY103" s="341">
        <v>0</v>
      </c>
      <c r="AZ103" s="341">
        <v>0</v>
      </c>
    </row>
    <row r="104" spans="1:52" ht="15.75" customHeight="1">
      <c r="A104" s="29"/>
      <c r="B104" s="29"/>
      <c r="C104" s="29"/>
      <c r="D104" s="340" t="s">
        <v>215</v>
      </c>
      <c r="E104" s="340" t="s">
        <v>105</v>
      </c>
      <c r="F104" s="341">
        <v>0</v>
      </c>
      <c r="G104" s="341">
        <v>42.9</v>
      </c>
      <c r="H104" s="341">
        <v>2.11</v>
      </c>
      <c r="I104" s="341">
        <v>18.3</v>
      </c>
      <c r="J104" s="341">
        <v>0.74</v>
      </c>
      <c r="K104" s="341">
        <v>0</v>
      </c>
      <c r="L104" s="341">
        <v>0</v>
      </c>
      <c r="M104" s="341">
        <v>0</v>
      </c>
      <c r="N104" s="341">
        <v>2</v>
      </c>
      <c r="O104" s="341">
        <v>53.7</v>
      </c>
      <c r="P104" s="341">
        <v>41.6</v>
      </c>
      <c r="Q104" s="341">
        <v>0</v>
      </c>
      <c r="R104" s="341">
        <v>10.199999999999999</v>
      </c>
      <c r="S104" s="341">
        <v>1.17</v>
      </c>
      <c r="T104" s="341">
        <v>0.33</v>
      </c>
      <c r="U104" s="341">
        <v>0.26</v>
      </c>
      <c r="V104" s="341">
        <v>2.77</v>
      </c>
      <c r="W104" s="341">
        <v>0.03</v>
      </c>
      <c r="X104" s="341">
        <v>0.6</v>
      </c>
      <c r="Y104" s="341">
        <v>0.26</v>
      </c>
      <c r="Z104" s="341">
        <v>0</v>
      </c>
      <c r="AA104" s="341">
        <v>9</v>
      </c>
      <c r="AB104" s="341">
        <v>0</v>
      </c>
      <c r="AC104" s="341">
        <v>339</v>
      </c>
      <c r="AD104" s="341">
        <v>66</v>
      </c>
      <c r="AE104" s="341">
        <v>0.17</v>
      </c>
      <c r="AF104" s="341">
        <v>29</v>
      </c>
      <c r="AG104" s="341">
        <v>0</v>
      </c>
      <c r="AH104" s="341">
        <v>0</v>
      </c>
      <c r="AI104" s="341">
        <v>0</v>
      </c>
      <c r="AJ104" s="341">
        <v>0</v>
      </c>
      <c r="AK104" s="341">
        <v>0</v>
      </c>
      <c r="AL104" s="341">
        <v>0</v>
      </c>
      <c r="AM104" s="341">
        <v>0</v>
      </c>
      <c r="AN104" s="341">
        <v>0</v>
      </c>
      <c r="AO104" s="341">
        <v>0</v>
      </c>
      <c r="AP104" s="341">
        <v>0</v>
      </c>
      <c r="AQ104" s="341">
        <v>0</v>
      </c>
      <c r="AR104" s="341">
        <v>0</v>
      </c>
      <c r="AS104" s="341">
        <v>0</v>
      </c>
      <c r="AT104" s="341">
        <v>0</v>
      </c>
      <c r="AU104" s="341">
        <v>0</v>
      </c>
      <c r="AV104" s="341">
        <v>0</v>
      </c>
      <c r="AW104" s="341">
        <v>0</v>
      </c>
      <c r="AX104" s="341">
        <v>0</v>
      </c>
      <c r="AY104" s="341">
        <v>0</v>
      </c>
      <c r="AZ104" s="341">
        <v>0</v>
      </c>
    </row>
    <row r="105" spans="1:52" ht="15.75" customHeight="1">
      <c r="A105" s="29"/>
      <c r="B105" s="29"/>
      <c r="C105" s="29"/>
      <c r="D105" s="340" t="s">
        <v>216</v>
      </c>
      <c r="E105" s="340" t="s">
        <v>107</v>
      </c>
      <c r="F105" s="341"/>
      <c r="G105" s="341">
        <v>89</v>
      </c>
      <c r="H105" s="341">
        <v>1.7075978999999999</v>
      </c>
      <c r="I105" s="341">
        <v>0.13120987006009641</v>
      </c>
      <c r="J105" s="341">
        <v>0.11162423099999999</v>
      </c>
      <c r="K105" s="341">
        <v>0</v>
      </c>
      <c r="L105" s="341">
        <v>0</v>
      </c>
      <c r="M105" s="341">
        <v>0</v>
      </c>
      <c r="N105" s="341">
        <v>0</v>
      </c>
      <c r="O105" s="341">
        <v>0</v>
      </c>
      <c r="P105" s="341">
        <v>1.1834650999999998</v>
      </c>
      <c r="Q105" s="341">
        <v>0</v>
      </c>
      <c r="R105" s="341">
        <v>1.3789002999999997</v>
      </c>
      <c r="S105" s="341">
        <v>0</v>
      </c>
      <c r="T105" s="341">
        <v>0.87788607799999985</v>
      </c>
      <c r="U105" s="341">
        <v>2.9702399300000001E-2</v>
      </c>
      <c r="V105" s="341">
        <v>2.8088394199999998E-2</v>
      </c>
      <c r="W105" s="341">
        <v>1.0734606899999999E-2</v>
      </c>
      <c r="X105" s="341">
        <v>4.6962238999999992E-3</v>
      </c>
      <c r="Y105" s="341">
        <v>1.0598840300000001E-2</v>
      </c>
      <c r="Z105" s="341">
        <v>2.4750000000000001</v>
      </c>
      <c r="AA105" s="341">
        <v>92.52170000000001</v>
      </c>
      <c r="AB105" s="341">
        <v>3.96</v>
      </c>
      <c r="AC105" s="341">
        <v>426.55839999999995</v>
      </c>
      <c r="AD105" s="341">
        <v>360.46090000000004</v>
      </c>
      <c r="AE105" s="341">
        <v>2.7886199999999999</v>
      </c>
      <c r="AF105" s="341">
        <v>457.49149999999997</v>
      </c>
      <c r="AG105" s="341">
        <v>11.88</v>
      </c>
      <c r="AH105" s="341">
        <v>2970</v>
      </c>
      <c r="AI105" s="341">
        <v>71.28</v>
      </c>
      <c r="AJ105" s="341">
        <v>0</v>
      </c>
      <c r="AK105" s="341">
        <v>0</v>
      </c>
      <c r="AL105" s="341">
        <v>0</v>
      </c>
      <c r="AM105" s="341">
        <v>0</v>
      </c>
      <c r="AN105" s="341">
        <v>0</v>
      </c>
      <c r="AO105" s="341">
        <v>0</v>
      </c>
      <c r="AP105" s="341">
        <v>0</v>
      </c>
      <c r="AQ105" s="341">
        <v>0</v>
      </c>
      <c r="AR105" s="341">
        <v>0</v>
      </c>
      <c r="AS105" s="341">
        <v>0</v>
      </c>
      <c r="AT105" s="341">
        <v>0</v>
      </c>
      <c r="AU105" s="341">
        <v>0</v>
      </c>
      <c r="AV105" s="341">
        <v>0</v>
      </c>
      <c r="AW105" s="341">
        <v>0</v>
      </c>
      <c r="AX105" s="341">
        <v>0</v>
      </c>
      <c r="AY105" s="341">
        <v>0</v>
      </c>
      <c r="AZ105" s="341">
        <v>0</v>
      </c>
    </row>
    <row r="106" spans="1:52" ht="15.75" customHeight="1">
      <c r="A106" s="29"/>
      <c r="B106" s="29"/>
      <c r="C106" s="29"/>
      <c r="D106" s="340" t="s">
        <v>217</v>
      </c>
      <c r="E106" s="340" t="s">
        <v>107</v>
      </c>
      <c r="F106" s="341">
        <v>0</v>
      </c>
      <c r="G106" s="341">
        <v>35.4</v>
      </c>
      <c r="H106" s="341">
        <v>3.16</v>
      </c>
      <c r="I106" s="341">
        <v>10.5</v>
      </c>
      <c r="J106" s="341">
        <v>0.44</v>
      </c>
      <c r="K106" s="341">
        <v>0</v>
      </c>
      <c r="L106" s="341">
        <v>0</v>
      </c>
      <c r="M106" s="341">
        <v>0</v>
      </c>
      <c r="N106" s="341">
        <v>10.8</v>
      </c>
      <c r="O106" s="341">
        <v>22.1</v>
      </c>
      <c r="P106" s="341">
        <v>16.5</v>
      </c>
      <c r="Q106" s="341">
        <v>0</v>
      </c>
      <c r="R106" s="341">
        <v>12.8</v>
      </c>
      <c r="S106" s="341">
        <v>0.49</v>
      </c>
      <c r="T106" s="341">
        <v>0.28999999999999998</v>
      </c>
      <c r="U106" s="341">
        <v>0.11</v>
      </c>
      <c r="V106" s="341">
        <v>1.04</v>
      </c>
      <c r="W106" s="341">
        <v>0.26</v>
      </c>
      <c r="X106" s="341">
        <v>0.19</v>
      </c>
      <c r="Y106" s="341">
        <v>0.11</v>
      </c>
      <c r="Z106" s="341">
        <v>0</v>
      </c>
      <c r="AA106" s="341">
        <v>11</v>
      </c>
      <c r="AB106" s="341">
        <v>0</v>
      </c>
      <c r="AC106" s="341">
        <v>1006</v>
      </c>
      <c r="AD106" s="341">
        <v>26</v>
      </c>
      <c r="AE106" s="341">
        <v>0</v>
      </c>
      <c r="AF106" s="341">
        <v>25</v>
      </c>
      <c r="AG106" s="341">
        <v>0</v>
      </c>
      <c r="AH106" s="341">
        <v>0</v>
      </c>
      <c r="AI106" s="341">
        <v>0</v>
      </c>
      <c r="AJ106" s="341">
        <v>0</v>
      </c>
      <c r="AK106" s="341">
        <v>0</v>
      </c>
      <c r="AL106" s="341">
        <v>0</v>
      </c>
      <c r="AM106" s="341">
        <v>0</v>
      </c>
      <c r="AN106" s="341">
        <v>0</v>
      </c>
      <c r="AO106" s="341">
        <v>0</v>
      </c>
      <c r="AP106" s="341">
        <v>0</v>
      </c>
      <c r="AQ106" s="341">
        <v>0</v>
      </c>
      <c r="AR106" s="341">
        <v>0</v>
      </c>
      <c r="AS106" s="341">
        <v>0</v>
      </c>
      <c r="AT106" s="341">
        <v>0</v>
      </c>
      <c r="AU106" s="341">
        <v>0</v>
      </c>
      <c r="AV106" s="341">
        <v>0</v>
      </c>
      <c r="AW106" s="341">
        <v>0</v>
      </c>
      <c r="AX106" s="341">
        <v>0</v>
      </c>
      <c r="AY106" s="341">
        <v>0</v>
      </c>
      <c r="AZ106" s="341">
        <v>0</v>
      </c>
    </row>
    <row r="107" spans="1:52" ht="15.75" customHeight="1">
      <c r="A107" s="29"/>
      <c r="B107" s="29"/>
      <c r="C107" s="29"/>
      <c r="D107" s="340" t="s">
        <v>218</v>
      </c>
      <c r="E107" s="340" t="s">
        <v>124</v>
      </c>
      <c r="F107" s="341">
        <v>0</v>
      </c>
      <c r="G107" s="341">
        <v>99</v>
      </c>
      <c r="H107" s="341">
        <v>0</v>
      </c>
      <c r="I107" s="341">
        <v>0</v>
      </c>
      <c r="J107" s="341">
        <v>0</v>
      </c>
      <c r="K107" s="341">
        <v>0</v>
      </c>
      <c r="L107" s="341">
        <v>0</v>
      </c>
      <c r="M107" s="341">
        <v>0</v>
      </c>
      <c r="N107" s="341">
        <v>0</v>
      </c>
      <c r="O107" s="341">
        <v>0</v>
      </c>
      <c r="P107" s="341">
        <v>0</v>
      </c>
      <c r="Q107" s="341">
        <v>0</v>
      </c>
      <c r="R107" s="341">
        <v>99</v>
      </c>
      <c r="S107" s="341">
        <v>0</v>
      </c>
      <c r="T107" s="341">
        <v>0</v>
      </c>
      <c r="U107" s="341">
        <v>0</v>
      </c>
      <c r="V107" s="341">
        <v>0</v>
      </c>
      <c r="W107" s="341">
        <v>39</v>
      </c>
      <c r="X107" s="341">
        <v>65</v>
      </c>
      <c r="Y107" s="341">
        <v>0</v>
      </c>
      <c r="Z107" s="341">
        <v>0</v>
      </c>
      <c r="AA107" s="341">
        <v>0</v>
      </c>
      <c r="AB107" s="341">
        <v>0</v>
      </c>
      <c r="AC107" s="341">
        <v>0</v>
      </c>
      <c r="AD107" s="341">
        <v>0</v>
      </c>
      <c r="AE107" s="341">
        <v>0</v>
      </c>
      <c r="AF107" s="341">
        <v>0</v>
      </c>
      <c r="AG107" s="341">
        <v>0</v>
      </c>
      <c r="AH107" s="341">
        <v>0</v>
      </c>
      <c r="AI107" s="341">
        <v>0</v>
      </c>
      <c r="AJ107" s="341">
        <v>0</v>
      </c>
      <c r="AK107" s="341">
        <v>0</v>
      </c>
      <c r="AL107" s="341">
        <v>0</v>
      </c>
      <c r="AM107" s="341">
        <v>0</v>
      </c>
      <c r="AN107" s="341">
        <v>0</v>
      </c>
      <c r="AO107" s="341">
        <v>0</v>
      </c>
      <c r="AP107" s="341">
        <v>0</v>
      </c>
      <c r="AQ107" s="341">
        <v>0</v>
      </c>
      <c r="AR107" s="341">
        <v>0</v>
      </c>
      <c r="AS107" s="341">
        <v>0</v>
      </c>
      <c r="AT107" s="341">
        <v>0</v>
      </c>
      <c r="AU107" s="341">
        <v>0</v>
      </c>
      <c r="AV107" s="341">
        <v>0</v>
      </c>
      <c r="AW107" s="341">
        <v>0</v>
      </c>
      <c r="AX107" s="341">
        <v>0</v>
      </c>
      <c r="AY107" s="341">
        <v>0</v>
      </c>
      <c r="AZ107" s="341">
        <v>0</v>
      </c>
    </row>
    <row r="108" spans="1:52" ht="15.75" customHeight="1">
      <c r="A108" s="29"/>
      <c r="B108" s="29"/>
      <c r="C108" s="29"/>
      <c r="D108" s="340" t="s">
        <v>219</v>
      </c>
      <c r="E108" s="340" t="s">
        <v>160</v>
      </c>
      <c r="F108" s="341">
        <v>0</v>
      </c>
      <c r="G108" s="341">
        <v>99.8</v>
      </c>
      <c r="H108" s="341">
        <v>9.18</v>
      </c>
      <c r="I108" s="341">
        <v>0</v>
      </c>
      <c r="J108" s="341">
        <v>0</v>
      </c>
      <c r="K108" s="341">
        <v>0</v>
      </c>
      <c r="L108" s="341">
        <v>0</v>
      </c>
      <c r="M108" s="341">
        <v>0</v>
      </c>
      <c r="N108" s="341">
        <v>99.8</v>
      </c>
      <c r="O108" s="341">
        <v>0</v>
      </c>
      <c r="P108" s="341">
        <v>0</v>
      </c>
      <c r="Q108" s="341">
        <v>0</v>
      </c>
      <c r="R108" s="341">
        <v>0</v>
      </c>
      <c r="S108" s="341">
        <v>0</v>
      </c>
      <c r="T108" s="341">
        <v>0</v>
      </c>
      <c r="U108" s="341">
        <v>0</v>
      </c>
      <c r="V108" s="341">
        <v>0</v>
      </c>
      <c r="W108" s="341">
        <v>0</v>
      </c>
      <c r="X108" s="341">
        <v>0</v>
      </c>
      <c r="Y108" s="341">
        <v>0</v>
      </c>
      <c r="Z108" s="341">
        <v>0</v>
      </c>
      <c r="AA108" s="341">
        <v>0</v>
      </c>
      <c r="AB108" s="341">
        <v>0</v>
      </c>
      <c r="AC108" s="341">
        <v>0</v>
      </c>
      <c r="AD108" s="341">
        <v>0</v>
      </c>
      <c r="AE108" s="341">
        <v>0</v>
      </c>
      <c r="AF108" s="341">
        <v>0</v>
      </c>
      <c r="AG108" s="341">
        <v>0</v>
      </c>
      <c r="AH108" s="341">
        <v>0</v>
      </c>
      <c r="AI108" s="341">
        <v>0</v>
      </c>
      <c r="AJ108" s="341">
        <v>0</v>
      </c>
      <c r="AK108" s="341">
        <v>0</v>
      </c>
      <c r="AL108" s="341">
        <v>0</v>
      </c>
      <c r="AM108" s="341">
        <v>0</v>
      </c>
      <c r="AN108" s="341">
        <v>0</v>
      </c>
      <c r="AO108" s="341">
        <v>0</v>
      </c>
      <c r="AP108" s="341">
        <v>0</v>
      </c>
      <c r="AQ108" s="341">
        <v>0</v>
      </c>
      <c r="AR108" s="341">
        <v>0</v>
      </c>
      <c r="AS108" s="341">
        <v>0</v>
      </c>
      <c r="AT108" s="341">
        <v>0</v>
      </c>
      <c r="AU108" s="341">
        <v>0</v>
      </c>
      <c r="AV108" s="341">
        <v>0</v>
      </c>
      <c r="AW108" s="341">
        <v>0</v>
      </c>
      <c r="AX108" s="341">
        <v>0</v>
      </c>
      <c r="AY108" s="341">
        <v>0</v>
      </c>
      <c r="AZ108" s="341">
        <v>0</v>
      </c>
    </row>
    <row r="109" spans="1:52" ht="15.75" customHeight="1">
      <c r="A109" s="29"/>
      <c r="B109" s="29"/>
      <c r="C109" s="29"/>
      <c r="D109" s="340" t="s">
        <v>220</v>
      </c>
      <c r="E109" s="340" t="s">
        <v>160</v>
      </c>
      <c r="F109" s="341">
        <v>0</v>
      </c>
      <c r="G109" s="341">
        <v>100</v>
      </c>
      <c r="H109" s="341">
        <v>9.15</v>
      </c>
      <c r="I109" s="341">
        <v>0</v>
      </c>
      <c r="J109" s="341">
        <v>0</v>
      </c>
      <c r="K109" s="341">
        <v>0</v>
      </c>
      <c r="L109" s="341">
        <v>0</v>
      </c>
      <c r="M109" s="341">
        <v>0</v>
      </c>
      <c r="N109" s="341">
        <v>99.5</v>
      </c>
      <c r="O109" s="341">
        <v>0</v>
      </c>
      <c r="P109" s="341">
        <v>0</v>
      </c>
      <c r="Q109" s="341">
        <v>0</v>
      </c>
      <c r="R109" s="341">
        <v>0</v>
      </c>
      <c r="S109" s="341">
        <v>0</v>
      </c>
      <c r="T109" s="341">
        <v>0</v>
      </c>
      <c r="U109" s="341">
        <v>0</v>
      </c>
      <c r="V109" s="341">
        <v>0</v>
      </c>
      <c r="W109" s="341">
        <v>0</v>
      </c>
      <c r="X109" s="341">
        <v>0</v>
      </c>
      <c r="Y109" s="341">
        <v>0</v>
      </c>
      <c r="Z109" s="341">
        <v>0</v>
      </c>
      <c r="AA109" s="341">
        <v>0</v>
      </c>
      <c r="AB109" s="341">
        <v>0</v>
      </c>
      <c r="AC109" s="341">
        <v>0</v>
      </c>
      <c r="AD109" s="341">
        <v>0</v>
      </c>
      <c r="AE109" s="341">
        <v>0</v>
      </c>
      <c r="AF109" s="341">
        <v>0</v>
      </c>
      <c r="AG109" s="341">
        <v>0</v>
      </c>
      <c r="AH109" s="341">
        <v>0</v>
      </c>
      <c r="AI109" s="341">
        <v>0</v>
      </c>
      <c r="AJ109" s="341">
        <v>0</v>
      </c>
      <c r="AK109" s="341">
        <v>0</v>
      </c>
      <c r="AL109" s="341">
        <v>0</v>
      </c>
      <c r="AM109" s="341">
        <v>0</v>
      </c>
      <c r="AN109" s="341">
        <v>0</v>
      </c>
      <c r="AO109" s="341">
        <v>0</v>
      </c>
      <c r="AP109" s="341">
        <v>0</v>
      </c>
      <c r="AQ109" s="341">
        <v>0</v>
      </c>
      <c r="AR109" s="341">
        <v>0</v>
      </c>
      <c r="AS109" s="341">
        <v>0</v>
      </c>
      <c r="AT109" s="341">
        <v>0</v>
      </c>
      <c r="AU109" s="341">
        <v>0</v>
      </c>
      <c r="AV109" s="341">
        <v>0</v>
      </c>
      <c r="AW109" s="341">
        <v>0</v>
      </c>
      <c r="AX109" s="341">
        <v>0</v>
      </c>
      <c r="AY109" s="341">
        <v>0</v>
      </c>
      <c r="AZ109" s="341">
        <v>0</v>
      </c>
    </row>
    <row r="110" spans="1:52" ht="15.75" customHeight="1">
      <c r="A110" s="29"/>
      <c r="B110" s="29"/>
      <c r="C110" s="29"/>
      <c r="D110" s="340" t="s">
        <v>221</v>
      </c>
      <c r="E110" s="340" t="s">
        <v>122</v>
      </c>
      <c r="F110" s="341">
        <v>0</v>
      </c>
      <c r="G110" s="341">
        <v>99</v>
      </c>
      <c r="H110" s="341">
        <v>0</v>
      </c>
      <c r="I110" s="341">
        <v>0</v>
      </c>
      <c r="J110" s="341">
        <v>0</v>
      </c>
      <c r="K110" s="341">
        <v>0</v>
      </c>
      <c r="L110" s="341">
        <v>0</v>
      </c>
      <c r="M110" s="341">
        <v>0</v>
      </c>
      <c r="N110" s="341">
        <v>0</v>
      </c>
      <c r="O110" s="341">
        <v>0</v>
      </c>
      <c r="P110" s="341">
        <v>0</v>
      </c>
      <c r="Q110" s="341">
        <v>0</v>
      </c>
      <c r="R110" s="341">
        <v>99</v>
      </c>
      <c r="S110" s="341">
        <v>0</v>
      </c>
      <c r="T110" s="341">
        <v>0</v>
      </c>
      <c r="U110" s="341">
        <v>0</v>
      </c>
      <c r="V110" s="341">
        <v>0</v>
      </c>
      <c r="W110" s="341">
        <v>0</v>
      </c>
      <c r="X110" s="341">
        <v>0</v>
      </c>
      <c r="Y110" s="341">
        <v>0</v>
      </c>
      <c r="Z110" s="341">
        <v>0</v>
      </c>
      <c r="AA110" s="341">
        <v>0</v>
      </c>
      <c r="AB110" s="341">
        <v>0</v>
      </c>
      <c r="AC110" s="341">
        <v>0</v>
      </c>
      <c r="AD110" s="341">
        <v>0</v>
      </c>
      <c r="AE110" s="341">
        <v>450000</v>
      </c>
      <c r="AF110" s="341">
        <v>0</v>
      </c>
      <c r="AG110" s="341">
        <v>0</v>
      </c>
      <c r="AH110" s="341">
        <v>0</v>
      </c>
      <c r="AI110" s="341">
        <v>0</v>
      </c>
      <c r="AJ110" s="341">
        <v>0</v>
      </c>
      <c r="AK110" s="341">
        <v>0</v>
      </c>
      <c r="AL110" s="341">
        <v>0</v>
      </c>
      <c r="AM110" s="341">
        <v>0</v>
      </c>
      <c r="AN110" s="341">
        <v>0</v>
      </c>
      <c r="AO110" s="341">
        <v>0</v>
      </c>
      <c r="AP110" s="341">
        <v>0</v>
      </c>
      <c r="AQ110" s="341">
        <v>0</v>
      </c>
      <c r="AR110" s="341">
        <v>0</v>
      </c>
      <c r="AS110" s="341">
        <v>0</v>
      </c>
      <c r="AT110" s="341">
        <v>0</v>
      </c>
      <c r="AU110" s="341">
        <v>0</v>
      </c>
      <c r="AV110" s="341">
        <v>0</v>
      </c>
      <c r="AW110" s="341">
        <v>0</v>
      </c>
      <c r="AX110" s="341">
        <v>0</v>
      </c>
      <c r="AY110" s="341">
        <v>0</v>
      </c>
      <c r="AZ110" s="341">
        <v>0</v>
      </c>
    </row>
    <row r="111" spans="1:52" ht="15.75" customHeight="1">
      <c r="A111" s="29"/>
      <c r="B111" s="29"/>
      <c r="C111" s="29"/>
      <c r="D111" s="340" t="s">
        <v>222</v>
      </c>
      <c r="E111" s="340" t="s">
        <v>105</v>
      </c>
      <c r="F111" s="341">
        <v>0</v>
      </c>
      <c r="G111" s="341">
        <v>90.1</v>
      </c>
      <c r="H111" s="341">
        <v>2.89</v>
      </c>
      <c r="I111" s="341">
        <v>23.5</v>
      </c>
      <c r="J111" s="341">
        <v>1.02</v>
      </c>
      <c r="K111" s="341">
        <v>0</v>
      </c>
      <c r="L111" s="341">
        <v>0</v>
      </c>
      <c r="M111" s="341">
        <v>0</v>
      </c>
      <c r="N111" s="341">
        <v>19.3</v>
      </c>
      <c r="O111" s="341">
        <v>50.3</v>
      </c>
      <c r="P111" s="341">
        <v>40.1</v>
      </c>
      <c r="Q111" s="341">
        <v>0</v>
      </c>
      <c r="R111" s="341">
        <v>4.2</v>
      </c>
      <c r="S111" s="341">
        <v>0.17</v>
      </c>
      <c r="T111" s="341">
        <v>0.6</v>
      </c>
      <c r="U111" s="341">
        <v>0.37</v>
      </c>
      <c r="V111" s="341">
        <v>1.1299999999999999</v>
      </c>
      <c r="W111" s="341">
        <v>0.02</v>
      </c>
      <c r="X111" s="341">
        <v>0.06</v>
      </c>
      <c r="Y111" s="341">
        <v>0.23</v>
      </c>
      <c r="Z111" s="341">
        <v>0</v>
      </c>
      <c r="AA111" s="341">
        <v>7</v>
      </c>
      <c r="AB111" s="341">
        <v>0</v>
      </c>
      <c r="AC111" s="341">
        <v>94</v>
      </c>
      <c r="AD111" s="341">
        <v>18</v>
      </c>
      <c r="AE111" s="341">
        <v>0.14000000000000001</v>
      </c>
      <c r="AF111" s="341">
        <v>37</v>
      </c>
      <c r="AG111" s="341">
        <v>0</v>
      </c>
      <c r="AH111" s="341">
        <v>0</v>
      </c>
      <c r="AI111" s="341">
        <v>0</v>
      </c>
      <c r="AJ111" s="341">
        <v>0</v>
      </c>
      <c r="AK111" s="341">
        <v>0</v>
      </c>
      <c r="AL111" s="341">
        <v>0</v>
      </c>
      <c r="AM111" s="341">
        <v>0</v>
      </c>
      <c r="AN111" s="341">
        <v>0</v>
      </c>
      <c r="AO111" s="341">
        <v>0</v>
      </c>
      <c r="AP111" s="341">
        <v>0</v>
      </c>
      <c r="AQ111" s="341">
        <v>0</v>
      </c>
      <c r="AR111" s="341">
        <v>0</v>
      </c>
      <c r="AS111" s="341">
        <v>0</v>
      </c>
      <c r="AT111" s="341">
        <v>0</v>
      </c>
      <c r="AU111" s="341">
        <v>0</v>
      </c>
      <c r="AV111" s="341">
        <v>0</v>
      </c>
      <c r="AW111" s="341">
        <v>0</v>
      </c>
      <c r="AX111" s="341">
        <v>0</v>
      </c>
      <c r="AY111" s="341">
        <v>0</v>
      </c>
      <c r="AZ111" s="341">
        <v>0</v>
      </c>
    </row>
    <row r="112" spans="1:52" ht="15.75" customHeight="1">
      <c r="A112" s="29"/>
      <c r="B112" s="29"/>
      <c r="C112" s="29"/>
      <c r="D112" s="340" t="s">
        <v>223</v>
      </c>
      <c r="E112" s="340" t="s">
        <v>105</v>
      </c>
      <c r="F112" s="341">
        <v>0</v>
      </c>
      <c r="G112" s="341">
        <v>89</v>
      </c>
      <c r="H112" s="341">
        <v>1.69</v>
      </c>
      <c r="I112" s="341">
        <v>6.2</v>
      </c>
      <c r="J112" s="341">
        <v>0.28999999999999998</v>
      </c>
      <c r="K112" s="341">
        <v>0</v>
      </c>
      <c r="L112" s="341">
        <v>0</v>
      </c>
      <c r="M112" s="341">
        <v>0</v>
      </c>
      <c r="N112" s="341">
        <v>2.5</v>
      </c>
      <c r="O112" s="341">
        <v>85</v>
      </c>
      <c r="P112" s="341">
        <v>64.900000000000006</v>
      </c>
      <c r="Q112" s="341">
        <v>0</v>
      </c>
      <c r="R112" s="341">
        <v>2.8</v>
      </c>
      <c r="S112" s="341">
        <v>0.18</v>
      </c>
      <c r="T112" s="341">
        <v>0.12</v>
      </c>
      <c r="U112" s="341">
        <v>0.17</v>
      </c>
      <c r="V112" s="341">
        <v>1.1599999999999999</v>
      </c>
      <c r="W112" s="341">
        <v>0.02</v>
      </c>
      <c r="X112" s="341">
        <v>0.06</v>
      </c>
      <c r="Y112" s="341">
        <v>7.0000000000000007E-2</v>
      </c>
      <c r="Z112" s="341">
        <v>0</v>
      </c>
      <c r="AA112" s="341">
        <v>5</v>
      </c>
      <c r="AB112" s="341">
        <v>0</v>
      </c>
      <c r="AC112" s="341">
        <v>68</v>
      </c>
      <c r="AD112" s="341">
        <v>22</v>
      </c>
      <c r="AE112" s="341">
        <v>0</v>
      </c>
      <c r="AF112" s="341">
        <v>17</v>
      </c>
      <c r="AG112" s="341">
        <v>0</v>
      </c>
      <c r="AH112" s="341">
        <v>0</v>
      </c>
      <c r="AI112" s="341">
        <v>0</v>
      </c>
      <c r="AJ112" s="341">
        <v>0</v>
      </c>
      <c r="AK112" s="341">
        <v>0</v>
      </c>
      <c r="AL112" s="341">
        <v>0</v>
      </c>
      <c r="AM112" s="341">
        <v>0</v>
      </c>
      <c r="AN112" s="341">
        <v>0</v>
      </c>
      <c r="AO112" s="341">
        <v>0</v>
      </c>
      <c r="AP112" s="341">
        <v>0</v>
      </c>
      <c r="AQ112" s="341">
        <v>0</v>
      </c>
      <c r="AR112" s="341">
        <v>0</v>
      </c>
      <c r="AS112" s="341">
        <v>0</v>
      </c>
      <c r="AT112" s="341">
        <v>0</v>
      </c>
      <c r="AU112" s="341">
        <v>0</v>
      </c>
      <c r="AV112" s="341">
        <v>0</v>
      </c>
      <c r="AW112" s="341">
        <v>0</v>
      </c>
      <c r="AX112" s="341">
        <v>0</v>
      </c>
      <c r="AY112" s="341">
        <v>0</v>
      </c>
      <c r="AZ112" s="341">
        <v>0</v>
      </c>
    </row>
    <row r="113" spans="1:52" ht="15.75" customHeight="1">
      <c r="A113" s="29"/>
      <c r="B113" s="29"/>
      <c r="C113" s="29"/>
      <c r="D113" s="340" t="s">
        <v>224</v>
      </c>
      <c r="E113" s="340" t="s">
        <v>105</v>
      </c>
      <c r="F113" s="341">
        <v>0</v>
      </c>
      <c r="G113" s="341">
        <v>42</v>
      </c>
      <c r="H113" s="341">
        <v>2.16</v>
      </c>
      <c r="I113" s="341">
        <v>16.8</v>
      </c>
      <c r="J113" s="341">
        <v>0.55000000000000004</v>
      </c>
      <c r="K113" s="341">
        <v>0</v>
      </c>
      <c r="L113" s="341">
        <v>0</v>
      </c>
      <c r="M113" s="341">
        <v>0</v>
      </c>
      <c r="N113" s="341">
        <v>2.4</v>
      </c>
      <c r="O113" s="341">
        <v>58.2</v>
      </c>
      <c r="P113" s="341">
        <v>35.200000000000003</v>
      </c>
      <c r="Q113" s="341">
        <v>0</v>
      </c>
      <c r="R113" s="341">
        <v>8.6999999999999993</v>
      </c>
      <c r="S113" s="341">
        <v>0.6</v>
      </c>
      <c r="T113" s="341">
        <v>0.36</v>
      </c>
      <c r="U113" s="341">
        <v>0.21</v>
      </c>
      <c r="V113" s="341">
        <v>2.78</v>
      </c>
      <c r="W113" s="341">
        <v>0.05</v>
      </c>
      <c r="X113" s="341">
        <v>0.67</v>
      </c>
      <c r="Y113" s="341">
        <v>0.21</v>
      </c>
      <c r="Z113" s="341">
        <v>0</v>
      </c>
      <c r="AA113" s="341">
        <v>9</v>
      </c>
      <c r="AB113" s="341">
        <v>0</v>
      </c>
      <c r="AC113" s="341">
        <v>275</v>
      </c>
      <c r="AD113" s="341">
        <v>79</v>
      </c>
      <c r="AE113" s="341">
        <v>0.09</v>
      </c>
      <c r="AF113" s="341">
        <v>31</v>
      </c>
      <c r="AG113" s="341">
        <v>0</v>
      </c>
      <c r="AH113" s="341">
        <v>0</v>
      </c>
      <c r="AI113" s="341">
        <v>0</v>
      </c>
      <c r="AJ113" s="341">
        <v>0</v>
      </c>
      <c r="AK113" s="341">
        <v>0</v>
      </c>
      <c r="AL113" s="341">
        <v>0</v>
      </c>
      <c r="AM113" s="341">
        <v>0</v>
      </c>
      <c r="AN113" s="341">
        <v>0</v>
      </c>
      <c r="AO113" s="341">
        <v>0</v>
      </c>
      <c r="AP113" s="341">
        <v>0</v>
      </c>
      <c r="AQ113" s="341">
        <v>0</v>
      </c>
      <c r="AR113" s="341">
        <v>0</v>
      </c>
      <c r="AS113" s="341">
        <v>0</v>
      </c>
      <c r="AT113" s="341">
        <v>0</v>
      </c>
      <c r="AU113" s="341">
        <v>0</v>
      </c>
      <c r="AV113" s="341">
        <v>0</v>
      </c>
      <c r="AW113" s="341">
        <v>0</v>
      </c>
      <c r="AX113" s="341">
        <v>0</v>
      </c>
      <c r="AY113" s="341">
        <v>0</v>
      </c>
      <c r="AZ113" s="341">
        <v>0</v>
      </c>
    </row>
    <row r="114" spans="1:52" ht="15.75" customHeight="1">
      <c r="A114" s="29"/>
      <c r="B114" s="29"/>
      <c r="C114" s="29"/>
      <c r="D114" s="340" t="s">
        <v>225</v>
      </c>
      <c r="E114" s="340" t="s">
        <v>105</v>
      </c>
      <c r="F114" s="341">
        <v>0</v>
      </c>
      <c r="G114" s="341">
        <v>36.200000000000003</v>
      </c>
      <c r="H114" s="341">
        <v>2.2999999999999998</v>
      </c>
      <c r="I114" s="341">
        <v>16.8</v>
      </c>
      <c r="J114" s="341">
        <v>0.55000000000000004</v>
      </c>
      <c r="K114" s="341">
        <v>0</v>
      </c>
      <c r="L114" s="341">
        <v>0</v>
      </c>
      <c r="M114" s="341">
        <v>0</v>
      </c>
      <c r="N114" s="341">
        <v>2.8</v>
      </c>
      <c r="O114" s="341">
        <v>51</v>
      </c>
      <c r="P114" s="341">
        <v>32.9</v>
      </c>
      <c r="Q114" s="341">
        <v>0</v>
      </c>
      <c r="R114" s="341">
        <v>9.9</v>
      </c>
      <c r="S114" s="341">
        <v>0.56999999999999995</v>
      </c>
      <c r="T114" s="341">
        <v>0.36</v>
      </c>
      <c r="U114" s="341">
        <v>0.22</v>
      </c>
      <c r="V114" s="341">
        <v>3.11</v>
      </c>
      <c r="W114" s="341">
        <v>0.05</v>
      </c>
      <c r="X114" s="341">
        <v>0.67</v>
      </c>
      <c r="Y114" s="341">
        <v>0.21</v>
      </c>
      <c r="Z114" s="341">
        <v>0</v>
      </c>
      <c r="AA114" s="341">
        <v>9</v>
      </c>
      <c r="AB114" s="341">
        <v>0</v>
      </c>
      <c r="AC114" s="341">
        <v>280</v>
      </c>
      <c r="AD114" s="341">
        <v>56</v>
      </c>
      <c r="AE114" s="341">
        <v>0.09</v>
      </c>
      <c r="AF114" s="341">
        <v>31</v>
      </c>
      <c r="AG114" s="341">
        <v>0</v>
      </c>
      <c r="AH114" s="341">
        <v>0</v>
      </c>
      <c r="AI114" s="341">
        <v>0</v>
      </c>
      <c r="AJ114" s="341">
        <v>0</v>
      </c>
      <c r="AK114" s="341">
        <v>0</v>
      </c>
      <c r="AL114" s="341">
        <v>0</v>
      </c>
      <c r="AM114" s="341">
        <v>0</v>
      </c>
      <c r="AN114" s="341">
        <v>0</v>
      </c>
      <c r="AO114" s="341">
        <v>0</v>
      </c>
      <c r="AP114" s="341">
        <v>0</v>
      </c>
      <c r="AQ114" s="341">
        <v>0</v>
      </c>
      <c r="AR114" s="341">
        <v>0</v>
      </c>
      <c r="AS114" s="341">
        <v>0</v>
      </c>
      <c r="AT114" s="341">
        <v>0</v>
      </c>
      <c r="AU114" s="341">
        <v>0</v>
      </c>
      <c r="AV114" s="341">
        <v>0</v>
      </c>
      <c r="AW114" s="341">
        <v>0</v>
      </c>
      <c r="AX114" s="341">
        <v>0</v>
      </c>
      <c r="AY114" s="341">
        <v>0</v>
      </c>
      <c r="AZ114" s="341">
        <v>0</v>
      </c>
    </row>
    <row r="115" spans="1:52" ht="15.75" customHeight="1">
      <c r="A115" s="29"/>
      <c r="B115" s="29"/>
      <c r="C115" s="29"/>
      <c r="D115" s="340" t="s">
        <v>226</v>
      </c>
      <c r="E115" s="340" t="s">
        <v>105</v>
      </c>
      <c r="F115" s="341">
        <v>0</v>
      </c>
      <c r="G115" s="341">
        <v>38.700000000000003</v>
      </c>
      <c r="H115" s="341">
        <v>1.98</v>
      </c>
      <c r="I115" s="341">
        <v>12.7</v>
      </c>
      <c r="J115" s="341">
        <v>0.43</v>
      </c>
      <c r="K115" s="341">
        <v>0</v>
      </c>
      <c r="L115" s="341">
        <v>0</v>
      </c>
      <c r="M115" s="341">
        <v>0</v>
      </c>
      <c r="N115" s="341">
        <v>3</v>
      </c>
      <c r="O115" s="341">
        <v>66.599999999999994</v>
      </c>
      <c r="P115" s="341">
        <v>41.1</v>
      </c>
      <c r="Q115" s="341">
        <v>0</v>
      </c>
      <c r="R115" s="341">
        <v>8</v>
      </c>
      <c r="S115" s="341">
        <v>0.56000000000000005</v>
      </c>
      <c r="T115" s="341">
        <v>0.31</v>
      </c>
      <c r="U115" s="341">
        <v>0.2</v>
      </c>
      <c r="V115" s="341">
        <v>2.42</v>
      </c>
      <c r="W115" s="341">
        <v>0.05</v>
      </c>
      <c r="X115" s="341">
        <v>0.89</v>
      </c>
      <c r="Y115" s="341">
        <v>0.2</v>
      </c>
      <c r="Z115" s="341">
        <v>0</v>
      </c>
      <c r="AA115" s="341">
        <v>9</v>
      </c>
      <c r="AB115" s="341">
        <v>0</v>
      </c>
      <c r="AC115" s="341">
        <v>327</v>
      </c>
      <c r="AD115" s="341">
        <v>90</v>
      </c>
      <c r="AE115" s="341">
        <v>0.09</v>
      </c>
      <c r="AF115" s="341">
        <v>30</v>
      </c>
      <c r="AG115" s="341">
        <v>0</v>
      </c>
      <c r="AH115" s="341">
        <v>0</v>
      </c>
      <c r="AI115" s="341">
        <v>0</v>
      </c>
      <c r="AJ115" s="341">
        <v>0</v>
      </c>
      <c r="AK115" s="341">
        <v>0</v>
      </c>
      <c r="AL115" s="341">
        <v>0</v>
      </c>
      <c r="AM115" s="341">
        <v>0</v>
      </c>
      <c r="AN115" s="341">
        <v>0</v>
      </c>
      <c r="AO115" s="341">
        <v>0</v>
      </c>
      <c r="AP115" s="341">
        <v>0</v>
      </c>
      <c r="AQ115" s="341">
        <v>0</v>
      </c>
      <c r="AR115" s="341">
        <v>0</v>
      </c>
      <c r="AS115" s="341">
        <v>0</v>
      </c>
      <c r="AT115" s="341">
        <v>0</v>
      </c>
      <c r="AU115" s="341">
        <v>0</v>
      </c>
      <c r="AV115" s="341">
        <v>0</v>
      </c>
      <c r="AW115" s="341">
        <v>0</v>
      </c>
      <c r="AX115" s="341">
        <v>0</v>
      </c>
      <c r="AY115" s="341">
        <v>0</v>
      </c>
      <c r="AZ115" s="341">
        <v>0</v>
      </c>
    </row>
    <row r="116" spans="1:52" ht="15.75" customHeight="1">
      <c r="A116" s="29"/>
      <c r="B116" s="29"/>
      <c r="C116" s="29"/>
      <c r="D116" s="340" t="s">
        <v>227</v>
      </c>
      <c r="E116" s="340" t="s">
        <v>105</v>
      </c>
      <c r="F116" s="341">
        <v>0</v>
      </c>
      <c r="G116" s="341">
        <v>35.5</v>
      </c>
      <c r="H116" s="341">
        <v>2.2799999999999998</v>
      </c>
      <c r="I116" s="341">
        <v>12</v>
      </c>
      <c r="J116" s="341">
        <v>0.28000000000000003</v>
      </c>
      <c r="K116" s="341">
        <v>0</v>
      </c>
      <c r="L116" s="341">
        <v>0</v>
      </c>
      <c r="M116" s="341">
        <v>0</v>
      </c>
      <c r="N116" s="341">
        <v>3.5</v>
      </c>
      <c r="O116" s="341">
        <v>56.3</v>
      </c>
      <c r="P116" s="341">
        <v>34.5</v>
      </c>
      <c r="Q116" s="341">
        <v>0</v>
      </c>
      <c r="R116" s="341">
        <v>7.5</v>
      </c>
      <c r="S116" s="341">
        <v>0.48</v>
      </c>
      <c r="T116" s="341">
        <v>0.3</v>
      </c>
      <c r="U116" s="341">
        <v>0.18</v>
      </c>
      <c r="V116" s="341">
        <v>2.4300000000000002</v>
      </c>
      <c r="W116" s="341">
        <v>0.13</v>
      </c>
      <c r="X116" s="341">
        <v>0.72</v>
      </c>
      <c r="Y116" s="341">
        <v>0.17</v>
      </c>
      <c r="Z116" s="341">
        <v>0.72</v>
      </c>
      <c r="AA116" s="341">
        <v>7</v>
      </c>
      <c r="AB116" s="341">
        <v>0</v>
      </c>
      <c r="AC116" s="341">
        <v>343</v>
      </c>
      <c r="AD116" s="341">
        <v>43</v>
      </c>
      <c r="AE116" s="341">
        <v>0.12</v>
      </c>
      <c r="AF116" s="341">
        <v>30</v>
      </c>
      <c r="AG116" s="341">
        <v>0</v>
      </c>
      <c r="AH116" s="341">
        <v>0</v>
      </c>
      <c r="AI116" s="341">
        <v>0</v>
      </c>
      <c r="AJ116" s="341">
        <v>0</v>
      </c>
      <c r="AK116" s="341">
        <v>0</v>
      </c>
      <c r="AL116" s="341">
        <v>0</v>
      </c>
      <c r="AM116" s="341">
        <v>0</v>
      </c>
      <c r="AN116" s="341">
        <v>0</v>
      </c>
      <c r="AO116" s="341">
        <v>0</v>
      </c>
      <c r="AP116" s="341">
        <v>0</v>
      </c>
      <c r="AQ116" s="341">
        <v>0</v>
      </c>
      <c r="AR116" s="341">
        <v>0</v>
      </c>
      <c r="AS116" s="341">
        <v>0</v>
      </c>
      <c r="AT116" s="341">
        <v>0</v>
      </c>
      <c r="AU116" s="341">
        <v>0</v>
      </c>
      <c r="AV116" s="341">
        <v>0</v>
      </c>
      <c r="AW116" s="341">
        <v>0</v>
      </c>
      <c r="AX116" s="341">
        <v>0</v>
      </c>
      <c r="AY116" s="341">
        <v>0</v>
      </c>
      <c r="AZ116" s="341">
        <v>0</v>
      </c>
    </row>
    <row r="117" spans="1:52" ht="15.75" customHeight="1">
      <c r="A117" s="29"/>
      <c r="B117" s="29"/>
      <c r="C117" s="29"/>
      <c r="D117" s="340" t="s">
        <v>228</v>
      </c>
      <c r="E117" s="340" t="s">
        <v>105</v>
      </c>
      <c r="F117" s="341">
        <v>0</v>
      </c>
      <c r="G117" s="341">
        <v>42.9</v>
      </c>
      <c r="H117" s="341">
        <v>2.35</v>
      </c>
      <c r="I117" s="341">
        <v>21.9</v>
      </c>
      <c r="J117" s="341">
        <v>0.97</v>
      </c>
      <c r="K117" s="341">
        <v>0</v>
      </c>
      <c r="L117" s="341">
        <v>0</v>
      </c>
      <c r="M117" s="341">
        <v>0</v>
      </c>
      <c r="N117" s="341">
        <v>2.2000000000000002</v>
      </c>
      <c r="O117" s="341">
        <v>43.2</v>
      </c>
      <c r="P117" s="341">
        <v>35.200000000000003</v>
      </c>
      <c r="Q117" s="341">
        <v>0</v>
      </c>
      <c r="R117" s="341">
        <v>10.8</v>
      </c>
      <c r="S117" s="341">
        <v>1.36</v>
      </c>
      <c r="T117" s="341">
        <v>0.35</v>
      </c>
      <c r="U117" s="341">
        <v>0.28000000000000003</v>
      </c>
      <c r="V117" s="341">
        <v>3</v>
      </c>
      <c r="W117" s="341">
        <v>0.02</v>
      </c>
      <c r="X117" s="341">
        <v>0.61</v>
      </c>
      <c r="Y117" s="341">
        <v>0.28000000000000003</v>
      </c>
      <c r="Z117" s="341">
        <v>0.65</v>
      </c>
      <c r="AA117" s="341">
        <v>9</v>
      </c>
      <c r="AB117" s="341">
        <v>0</v>
      </c>
      <c r="AC117" s="341">
        <v>395</v>
      </c>
      <c r="AD117" s="341">
        <v>64</v>
      </c>
      <c r="AE117" s="341">
        <v>0.18</v>
      </c>
      <c r="AF117" s="341">
        <v>30</v>
      </c>
      <c r="AG117" s="341">
        <v>0</v>
      </c>
      <c r="AH117" s="341">
        <v>0</v>
      </c>
      <c r="AI117" s="341">
        <v>0</v>
      </c>
      <c r="AJ117" s="341">
        <v>0</v>
      </c>
      <c r="AK117" s="341">
        <v>0</v>
      </c>
      <c r="AL117" s="341">
        <v>0</v>
      </c>
      <c r="AM117" s="341">
        <v>0</v>
      </c>
      <c r="AN117" s="341">
        <v>0</v>
      </c>
      <c r="AO117" s="341">
        <v>0</v>
      </c>
      <c r="AP117" s="341">
        <v>0</v>
      </c>
      <c r="AQ117" s="341">
        <v>0</v>
      </c>
      <c r="AR117" s="341">
        <v>0</v>
      </c>
      <c r="AS117" s="341">
        <v>0</v>
      </c>
      <c r="AT117" s="341">
        <v>0</v>
      </c>
      <c r="AU117" s="341">
        <v>0</v>
      </c>
      <c r="AV117" s="341">
        <v>0</v>
      </c>
      <c r="AW117" s="341">
        <v>0</v>
      </c>
      <c r="AX117" s="341">
        <v>0</v>
      </c>
      <c r="AY117" s="341">
        <v>0</v>
      </c>
      <c r="AZ117" s="341">
        <v>0</v>
      </c>
    </row>
    <row r="118" spans="1:52" ht="15.75" customHeight="1">
      <c r="A118" s="29"/>
      <c r="B118" s="29"/>
      <c r="C118" s="29"/>
      <c r="D118" s="340" t="s">
        <v>229</v>
      </c>
      <c r="E118" s="340" t="s">
        <v>105</v>
      </c>
      <c r="F118" s="341">
        <v>0</v>
      </c>
      <c r="G118" s="341">
        <v>41.2</v>
      </c>
      <c r="H118" s="341">
        <v>2.52</v>
      </c>
      <c r="I118" s="341">
        <v>23.2</v>
      </c>
      <c r="J118" s="341">
        <v>1.04</v>
      </c>
      <c r="K118" s="341">
        <v>0</v>
      </c>
      <c r="L118" s="341">
        <v>0</v>
      </c>
      <c r="M118" s="341">
        <v>0</v>
      </c>
      <c r="N118" s="341">
        <v>2.2999999999999998</v>
      </c>
      <c r="O118" s="341">
        <v>36.700000000000003</v>
      </c>
      <c r="P118" s="341">
        <v>30.2</v>
      </c>
      <c r="Q118" s="341">
        <v>0</v>
      </c>
      <c r="R118" s="341">
        <v>11.1</v>
      </c>
      <c r="S118" s="341">
        <v>1.39</v>
      </c>
      <c r="T118" s="341">
        <v>0.36</v>
      </c>
      <c r="U118" s="341">
        <v>0.3</v>
      </c>
      <c r="V118" s="341">
        <v>3.03</v>
      </c>
      <c r="W118" s="341">
        <v>0.03</v>
      </c>
      <c r="X118" s="341">
        <v>0.55000000000000004</v>
      </c>
      <c r="Y118" s="341">
        <v>0.3</v>
      </c>
      <c r="Z118" s="341" t="s">
        <v>230</v>
      </c>
      <c r="AA118" s="341">
        <v>9</v>
      </c>
      <c r="AB118" s="341">
        <v>0</v>
      </c>
      <c r="AC118" s="341">
        <v>401</v>
      </c>
      <c r="AD118" s="341">
        <v>67</v>
      </c>
      <c r="AE118" s="341">
        <v>0.18</v>
      </c>
      <c r="AF118" s="341">
        <v>31</v>
      </c>
      <c r="AG118" s="341">
        <v>0</v>
      </c>
      <c r="AH118" s="341">
        <v>0</v>
      </c>
      <c r="AI118" s="341">
        <v>0</v>
      </c>
      <c r="AJ118" s="341">
        <v>0</v>
      </c>
      <c r="AK118" s="341">
        <v>0</v>
      </c>
      <c r="AL118" s="341">
        <v>0</v>
      </c>
      <c r="AM118" s="341">
        <v>0</v>
      </c>
      <c r="AN118" s="341">
        <v>0</v>
      </c>
      <c r="AO118" s="341">
        <v>0</v>
      </c>
      <c r="AP118" s="341">
        <v>0</v>
      </c>
      <c r="AQ118" s="341">
        <v>0</v>
      </c>
      <c r="AR118" s="341">
        <v>0</v>
      </c>
      <c r="AS118" s="341">
        <v>0</v>
      </c>
      <c r="AT118" s="341">
        <v>0</v>
      </c>
      <c r="AU118" s="341">
        <v>0</v>
      </c>
      <c r="AV118" s="341">
        <v>0</v>
      </c>
      <c r="AW118" s="341">
        <v>0</v>
      </c>
      <c r="AX118" s="341">
        <v>0</v>
      </c>
      <c r="AY118" s="341">
        <v>0</v>
      </c>
      <c r="AZ118" s="341">
        <v>0</v>
      </c>
    </row>
    <row r="119" spans="1:52" ht="15.75" customHeight="1">
      <c r="A119" s="29"/>
      <c r="B119" s="29"/>
      <c r="C119" s="29"/>
      <c r="D119" s="340" t="s">
        <v>231</v>
      </c>
      <c r="E119" s="340" t="s">
        <v>105</v>
      </c>
      <c r="F119" s="341">
        <v>0</v>
      </c>
      <c r="G119" s="341">
        <v>42.6</v>
      </c>
      <c r="H119" s="341">
        <v>2.19</v>
      </c>
      <c r="I119" s="341">
        <v>20.3</v>
      </c>
      <c r="J119" s="341">
        <v>0.87</v>
      </c>
      <c r="K119" s="341">
        <v>0</v>
      </c>
      <c r="L119" s="341">
        <v>0</v>
      </c>
      <c r="M119" s="341">
        <v>0</v>
      </c>
      <c r="N119" s="341">
        <v>2.1</v>
      </c>
      <c r="O119" s="341">
        <v>50</v>
      </c>
      <c r="P119" s="341">
        <v>40.9</v>
      </c>
      <c r="Q119" s="341">
        <v>0</v>
      </c>
      <c r="R119" s="341">
        <v>10.3</v>
      </c>
      <c r="S119" s="341">
        <v>1.3</v>
      </c>
      <c r="T119" s="341">
        <v>0.33</v>
      </c>
      <c r="U119" s="341">
        <v>0.26</v>
      </c>
      <c r="V119" s="341">
        <v>2.87</v>
      </c>
      <c r="W119" s="341">
        <v>0.02</v>
      </c>
      <c r="X119" s="341">
        <v>0.48</v>
      </c>
      <c r="Y119" s="341">
        <v>0.28000000000000003</v>
      </c>
      <c r="Z119" s="341">
        <v>0.65</v>
      </c>
      <c r="AA119" s="341">
        <v>9</v>
      </c>
      <c r="AB119" s="341">
        <v>0</v>
      </c>
      <c r="AC119" s="341">
        <v>403</v>
      </c>
      <c r="AD119" s="341">
        <v>63</v>
      </c>
      <c r="AE119" s="341">
        <v>0.18</v>
      </c>
      <c r="AF119" s="341">
        <v>29</v>
      </c>
      <c r="AG119" s="341">
        <v>0</v>
      </c>
      <c r="AH119" s="341">
        <v>0</v>
      </c>
      <c r="AI119" s="341">
        <v>0</v>
      </c>
      <c r="AJ119" s="341">
        <v>0</v>
      </c>
      <c r="AK119" s="341">
        <v>0</v>
      </c>
      <c r="AL119" s="341">
        <v>0</v>
      </c>
      <c r="AM119" s="341">
        <v>0</v>
      </c>
      <c r="AN119" s="341">
        <v>0</v>
      </c>
      <c r="AO119" s="341">
        <v>0</v>
      </c>
      <c r="AP119" s="341">
        <v>0</v>
      </c>
      <c r="AQ119" s="341">
        <v>0</v>
      </c>
      <c r="AR119" s="341">
        <v>0</v>
      </c>
      <c r="AS119" s="341">
        <v>0</v>
      </c>
      <c r="AT119" s="341">
        <v>0</v>
      </c>
      <c r="AU119" s="341">
        <v>0</v>
      </c>
      <c r="AV119" s="341">
        <v>0</v>
      </c>
      <c r="AW119" s="341">
        <v>0</v>
      </c>
      <c r="AX119" s="341">
        <v>0</v>
      </c>
      <c r="AY119" s="341">
        <v>0</v>
      </c>
      <c r="AZ119" s="341">
        <v>0</v>
      </c>
    </row>
    <row r="120" spans="1:52" ht="15.75" customHeight="1">
      <c r="A120" s="29"/>
      <c r="B120" s="29"/>
      <c r="C120" s="29"/>
      <c r="D120" s="340" t="s">
        <v>232</v>
      </c>
      <c r="E120" s="340" t="s">
        <v>105</v>
      </c>
      <c r="F120" s="341">
        <v>0</v>
      </c>
      <c r="G120" s="341">
        <v>33.299999999999997</v>
      </c>
      <c r="H120" s="341">
        <v>2.11</v>
      </c>
      <c r="I120" s="341">
        <v>12</v>
      </c>
      <c r="J120" s="341">
        <v>0.51</v>
      </c>
      <c r="K120" s="341">
        <v>0</v>
      </c>
      <c r="L120" s="341">
        <v>0</v>
      </c>
      <c r="M120" s="341">
        <v>0</v>
      </c>
      <c r="N120" s="341">
        <v>3.2</v>
      </c>
      <c r="O120" s="341">
        <v>59.9</v>
      </c>
      <c r="P120" s="341">
        <v>37.6</v>
      </c>
      <c r="Q120" s="341">
        <v>0</v>
      </c>
      <c r="R120" s="341">
        <v>8.6</v>
      </c>
      <c r="S120" s="341">
        <v>0.38</v>
      </c>
      <c r="T120" s="341">
        <v>0.28999999999999998</v>
      </c>
      <c r="U120" s="341">
        <v>0.16</v>
      </c>
      <c r="V120" s="341">
        <v>2.2799999999999998</v>
      </c>
      <c r="W120" s="341">
        <v>7.0000000000000007E-2</v>
      </c>
      <c r="X120" s="341">
        <v>0.83</v>
      </c>
      <c r="Y120" s="341">
        <v>0.17</v>
      </c>
      <c r="Z120" s="341">
        <v>0</v>
      </c>
      <c r="AA120" s="341">
        <v>7</v>
      </c>
      <c r="AB120" s="341">
        <v>0</v>
      </c>
      <c r="AC120" s="341">
        <v>391</v>
      </c>
      <c r="AD120" s="341">
        <v>72</v>
      </c>
      <c r="AE120" s="341">
        <v>0</v>
      </c>
      <c r="AF120" s="341">
        <v>27</v>
      </c>
      <c r="AG120" s="341">
        <v>0</v>
      </c>
      <c r="AH120" s="341">
        <v>0</v>
      </c>
      <c r="AI120" s="341">
        <v>0</v>
      </c>
      <c r="AJ120" s="341">
        <v>0</v>
      </c>
      <c r="AK120" s="341">
        <v>0</v>
      </c>
      <c r="AL120" s="341">
        <v>0</v>
      </c>
      <c r="AM120" s="341">
        <v>0</v>
      </c>
      <c r="AN120" s="341">
        <v>0</v>
      </c>
      <c r="AO120" s="341">
        <v>0</v>
      </c>
      <c r="AP120" s="341">
        <v>0</v>
      </c>
      <c r="AQ120" s="341">
        <v>0</v>
      </c>
      <c r="AR120" s="341">
        <v>0</v>
      </c>
      <c r="AS120" s="341">
        <v>0</v>
      </c>
      <c r="AT120" s="341">
        <v>0</v>
      </c>
      <c r="AU120" s="341">
        <v>0</v>
      </c>
      <c r="AV120" s="341">
        <v>0</v>
      </c>
      <c r="AW120" s="341">
        <v>0</v>
      </c>
      <c r="AX120" s="341">
        <v>0</v>
      </c>
      <c r="AY120" s="341">
        <v>0</v>
      </c>
      <c r="AZ120" s="341">
        <v>0</v>
      </c>
    </row>
    <row r="121" spans="1:52" ht="15.75" customHeight="1">
      <c r="A121" s="29"/>
      <c r="B121" s="29"/>
      <c r="C121" s="29"/>
      <c r="D121" s="340" t="s">
        <v>233</v>
      </c>
      <c r="E121" s="340" t="s">
        <v>105</v>
      </c>
      <c r="F121" s="341">
        <v>0</v>
      </c>
      <c r="G121" s="341">
        <v>32</v>
      </c>
      <c r="H121" s="341">
        <v>2.0699999999999998</v>
      </c>
      <c r="I121" s="341">
        <v>13.8</v>
      </c>
      <c r="J121" s="341">
        <v>0.25</v>
      </c>
      <c r="K121" s="341">
        <v>0</v>
      </c>
      <c r="L121" s="341">
        <v>0</v>
      </c>
      <c r="M121" s="341">
        <v>0</v>
      </c>
      <c r="N121" s="341">
        <v>3.8</v>
      </c>
      <c r="O121" s="341">
        <v>59.7</v>
      </c>
      <c r="P121" s="341">
        <v>39.6</v>
      </c>
      <c r="Q121" s="341">
        <v>0</v>
      </c>
      <c r="R121" s="341">
        <v>9.6999999999999993</v>
      </c>
      <c r="S121" s="341">
        <v>0.56999999999999995</v>
      </c>
      <c r="T121" s="341">
        <v>0.33</v>
      </c>
      <c r="U121" s="341">
        <v>0.19</v>
      </c>
      <c r="V121" s="341">
        <v>3.01</v>
      </c>
      <c r="W121" s="341">
        <v>0.05</v>
      </c>
      <c r="X121" s="341">
        <v>0</v>
      </c>
      <c r="Y121" s="341">
        <v>0.21</v>
      </c>
      <c r="Z121" s="341">
        <v>0</v>
      </c>
      <c r="AA121" s="341">
        <v>7</v>
      </c>
      <c r="AB121" s="341">
        <v>0</v>
      </c>
      <c r="AC121" s="341">
        <v>404</v>
      </c>
      <c r="AD121" s="341">
        <v>66</v>
      </c>
      <c r="AE121" s="341">
        <v>0</v>
      </c>
      <c r="AF121" s="341">
        <v>37</v>
      </c>
      <c r="AG121" s="341">
        <v>0</v>
      </c>
      <c r="AH121" s="341">
        <v>0</v>
      </c>
      <c r="AI121" s="341">
        <v>0</v>
      </c>
      <c r="AJ121" s="341">
        <v>0</v>
      </c>
      <c r="AK121" s="341">
        <v>0</v>
      </c>
      <c r="AL121" s="341">
        <v>0</v>
      </c>
      <c r="AM121" s="341">
        <v>0</v>
      </c>
      <c r="AN121" s="341">
        <v>0</v>
      </c>
      <c r="AO121" s="341">
        <v>0</v>
      </c>
      <c r="AP121" s="341">
        <v>0</v>
      </c>
      <c r="AQ121" s="341">
        <v>0</v>
      </c>
      <c r="AR121" s="341">
        <v>0</v>
      </c>
      <c r="AS121" s="341">
        <v>0</v>
      </c>
      <c r="AT121" s="341">
        <v>0</v>
      </c>
      <c r="AU121" s="341">
        <v>0</v>
      </c>
      <c r="AV121" s="341">
        <v>0</v>
      </c>
      <c r="AW121" s="341">
        <v>0</v>
      </c>
      <c r="AX121" s="341">
        <v>0</v>
      </c>
      <c r="AY121" s="341">
        <v>0</v>
      </c>
      <c r="AZ121" s="341">
        <v>0</v>
      </c>
    </row>
    <row r="122" spans="1:52" ht="15.75" customHeight="1">
      <c r="A122" s="29"/>
      <c r="B122" s="29"/>
      <c r="C122" s="29"/>
      <c r="D122" s="340" t="s">
        <v>234</v>
      </c>
      <c r="E122" s="340" t="s">
        <v>107</v>
      </c>
      <c r="F122" s="341">
        <v>0</v>
      </c>
      <c r="G122" s="341">
        <v>91</v>
      </c>
      <c r="H122" s="341">
        <v>3.26</v>
      </c>
      <c r="I122" s="341">
        <v>43</v>
      </c>
      <c r="J122" s="341">
        <v>2.57</v>
      </c>
      <c r="K122" s="341">
        <v>0</v>
      </c>
      <c r="L122" s="341">
        <v>0</v>
      </c>
      <c r="M122" s="341">
        <v>0</v>
      </c>
      <c r="N122" s="341">
        <v>19</v>
      </c>
      <c r="O122" s="341">
        <v>22.1</v>
      </c>
      <c r="P122" s="341">
        <v>14.7</v>
      </c>
      <c r="Q122" s="341">
        <v>0</v>
      </c>
      <c r="R122" s="341">
        <v>5</v>
      </c>
      <c r="S122" s="341">
        <v>0.26</v>
      </c>
      <c r="T122" s="341">
        <v>0.64</v>
      </c>
      <c r="U122" s="341">
        <v>0.25</v>
      </c>
      <c r="V122" s="341">
        <v>1.99</v>
      </c>
      <c r="W122" s="341">
        <v>0.01</v>
      </c>
      <c r="X122" s="341">
        <v>0.06</v>
      </c>
      <c r="Y122" s="341">
        <v>0.32</v>
      </c>
      <c r="Z122" s="341">
        <v>0</v>
      </c>
      <c r="AA122" s="341">
        <v>15</v>
      </c>
      <c r="AB122" s="341">
        <v>0</v>
      </c>
      <c r="AC122" s="341">
        <v>142</v>
      </c>
      <c r="AD122" s="341">
        <v>29</v>
      </c>
      <c r="AE122" s="341">
        <v>0.28000000000000003</v>
      </c>
      <c r="AF122" s="341">
        <v>48</v>
      </c>
      <c r="AG122" s="341">
        <v>0</v>
      </c>
      <c r="AH122" s="341">
        <v>0</v>
      </c>
      <c r="AI122" s="341">
        <v>0</v>
      </c>
      <c r="AJ122" s="341">
        <v>0</v>
      </c>
      <c r="AK122" s="341">
        <v>0</v>
      </c>
      <c r="AL122" s="341">
        <v>0</v>
      </c>
      <c r="AM122" s="341">
        <v>0</v>
      </c>
      <c r="AN122" s="341">
        <v>0</v>
      </c>
      <c r="AO122" s="341">
        <v>0</v>
      </c>
      <c r="AP122" s="341">
        <v>0</v>
      </c>
      <c r="AQ122" s="341">
        <v>0</v>
      </c>
      <c r="AR122" s="341">
        <v>0</v>
      </c>
      <c r="AS122" s="341">
        <v>0</v>
      </c>
      <c r="AT122" s="341">
        <v>0</v>
      </c>
      <c r="AU122" s="341">
        <v>0</v>
      </c>
      <c r="AV122" s="341">
        <v>0</v>
      </c>
      <c r="AW122" s="341">
        <v>0</v>
      </c>
      <c r="AX122" s="341">
        <v>0</v>
      </c>
      <c r="AY122" s="341">
        <v>0</v>
      </c>
      <c r="AZ122" s="341">
        <v>0</v>
      </c>
    </row>
    <row r="123" spans="1:52" ht="15.75" customHeight="1">
      <c r="A123" s="29"/>
      <c r="B123" s="29"/>
      <c r="C123" s="29"/>
      <c r="D123" s="340" t="s">
        <v>235</v>
      </c>
      <c r="E123" s="340" t="s">
        <v>105</v>
      </c>
      <c r="F123" s="341">
        <v>0</v>
      </c>
      <c r="G123" s="341">
        <v>90.9</v>
      </c>
      <c r="H123" s="341">
        <v>2.25</v>
      </c>
      <c r="I123" s="341">
        <v>13.9</v>
      </c>
      <c r="J123" s="341">
        <v>0.87</v>
      </c>
      <c r="K123" s="341">
        <v>0</v>
      </c>
      <c r="L123" s="341">
        <v>0</v>
      </c>
      <c r="M123" s="341">
        <v>0</v>
      </c>
      <c r="N123" s="341">
        <v>2.7</v>
      </c>
      <c r="O123" s="341">
        <v>60.3</v>
      </c>
      <c r="P123" s="341">
        <v>44.6</v>
      </c>
      <c r="Q123" s="341">
        <v>0</v>
      </c>
      <c r="R123" s="341">
        <v>4.8</v>
      </c>
      <c r="S123" s="341">
        <v>0.63</v>
      </c>
      <c r="T123" s="341">
        <v>0.17</v>
      </c>
      <c r="U123" s="341">
        <v>0.25</v>
      </c>
      <c r="V123" s="341">
        <v>1.51</v>
      </c>
      <c r="W123" s="341">
        <v>0.01</v>
      </c>
      <c r="X123" s="341">
        <v>0.05</v>
      </c>
      <c r="Y123" s="341">
        <v>0.12</v>
      </c>
      <c r="Z123" s="341">
        <v>0.12</v>
      </c>
      <c r="AA123" s="341">
        <v>10</v>
      </c>
      <c r="AB123" s="341">
        <v>0</v>
      </c>
      <c r="AC123" s="341">
        <v>604</v>
      </c>
      <c r="AD123" s="341">
        <v>26</v>
      </c>
      <c r="AE123" s="341">
        <v>0.21</v>
      </c>
      <c r="AF123" s="341">
        <v>35</v>
      </c>
      <c r="AG123" s="341">
        <v>0</v>
      </c>
      <c r="AH123" s="341">
        <v>0</v>
      </c>
      <c r="AI123" s="341">
        <v>0</v>
      </c>
      <c r="AJ123" s="341">
        <v>0</v>
      </c>
      <c r="AK123" s="341">
        <v>0</v>
      </c>
      <c r="AL123" s="341">
        <v>0</v>
      </c>
      <c r="AM123" s="341">
        <v>0</v>
      </c>
      <c r="AN123" s="341">
        <v>0</v>
      </c>
      <c r="AO123" s="341">
        <v>0</v>
      </c>
      <c r="AP123" s="341">
        <v>0</v>
      </c>
      <c r="AQ123" s="341">
        <v>0</v>
      </c>
      <c r="AR123" s="341">
        <v>0</v>
      </c>
      <c r="AS123" s="341">
        <v>0</v>
      </c>
      <c r="AT123" s="341">
        <v>0</v>
      </c>
      <c r="AU123" s="341">
        <v>0</v>
      </c>
      <c r="AV123" s="341">
        <v>0</v>
      </c>
      <c r="AW123" s="341">
        <v>0</v>
      </c>
      <c r="AX123" s="341">
        <v>0</v>
      </c>
      <c r="AY123" s="341">
        <v>0</v>
      </c>
      <c r="AZ123" s="341">
        <v>0</v>
      </c>
    </row>
    <row r="124" spans="1:52" ht="15.75" customHeight="1">
      <c r="A124" s="29"/>
      <c r="B124" s="29"/>
      <c r="C124" s="29"/>
      <c r="D124" s="340" t="s">
        <v>236</v>
      </c>
      <c r="E124" s="340" t="s">
        <v>107</v>
      </c>
      <c r="F124" s="341">
        <v>0</v>
      </c>
      <c r="G124" s="341">
        <v>89.1</v>
      </c>
      <c r="H124" s="341">
        <v>3.52</v>
      </c>
      <c r="I124" s="341">
        <v>49.9</v>
      </c>
      <c r="J124" s="341">
        <v>3.13</v>
      </c>
      <c r="K124" s="341">
        <v>0</v>
      </c>
      <c r="L124" s="341">
        <v>0</v>
      </c>
      <c r="M124" s="341">
        <v>0</v>
      </c>
      <c r="N124" s="341">
        <v>1.6</v>
      </c>
      <c r="O124" s="341">
        <v>14.9</v>
      </c>
      <c r="P124" s="341">
        <v>10</v>
      </c>
      <c r="Q124" s="341">
        <v>0</v>
      </c>
      <c r="R124" s="341">
        <v>6.6</v>
      </c>
      <c r="S124" s="341">
        <v>0.4</v>
      </c>
      <c r="T124" s="341">
        <v>0.71</v>
      </c>
      <c r="U124" s="341">
        <v>0.31</v>
      </c>
      <c r="V124" s="341">
        <v>2.2200000000000002</v>
      </c>
      <c r="W124" s="341">
        <v>0.04</v>
      </c>
      <c r="X124" s="341">
        <v>0.13</v>
      </c>
      <c r="Y124" s="341">
        <v>0.46</v>
      </c>
      <c r="Z124" s="341">
        <v>0</v>
      </c>
      <c r="AA124" s="341">
        <v>22</v>
      </c>
      <c r="AB124" s="341">
        <v>0</v>
      </c>
      <c r="AC124" s="341">
        <v>185</v>
      </c>
      <c r="AD124" s="341">
        <v>35</v>
      </c>
      <c r="AE124" s="341">
        <v>0.14000000000000001</v>
      </c>
      <c r="AF124" s="341">
        <v>57</v>
      </c>
      <c r="AG124" s="341">
        <v>0</v>
      </c>
      <c r="AH124" s="341">
        <v>0</v>
      </c>
      <c r="AI124" s="341">
        <v>0</v>
      </c>
      <c r="AJ124" s="341">
        <v>0</v>
      </c>
      <c r="AK124" s="341">
        <v>0</v>
      </c>
      <c r="AL124" s="341">
        <v>0</v>
      </c>
      <c r="AM124" s="341">
        <v>0</v>
      </c>
      <c r="AN124" s="341">
        <v>0</v>
      </c>
      <c r="AO124" s="341">
        <v>0</v>
      </c>
      <c r="AP124" s="341">
        <v>0</v>
      </c>
      <c r="AQ124" s="341">
        <v>0</v>
      </c>
      <c r="AR124" s="341">
        <v>0</v>
      </c>
      <c r="AS124" s="341">
        <v>0</v>
      </c>
      <c r="AT124" s="341">
        <v>0</v>
      </c>
      <c r="AU124" s="341">
        <v>0</v>
      </c>
      <c r="AV124" s="341">
        <v>0</v>
      </c>
      <c r="AW124" s="341">
        <v>0</v>
      </c>
      <c r="AX124" s="341">
        <v>0</v>
      </c>
      <c r="AY124" s="341">
        <v>0</v>
      </c>
      <c r="AZ124" s="341">
        <v>0</v>
      </c>
    </row>
    <row r="125" spans="1:52" ht="15.75" customHeight="1">
      <c r="A125" s="29"/>
      <c r="B125" s="29"/>
      <c r="C125" s="29"/>
      <c r="D125" s="340" t="s">
        <v>237</v>
      </c>
      <c r="E125" s="340" t="s">
        <v>107</v>
      </c>
      <c r="F125" s="341">
        <v>0</v>
      </c>
      <c r="G125" s="341">
        <v>89.5</v>
      </c>
      <c r="H125" s="341">
        <v>3.73</v>
      </c>
      <c r="I125" s="341">
        <v>51.4</v>
      </c>
      <c r="J125" s="341">
        <v>3.38</v>
      </c>
      <c r="K125" s="341">
        <v>0</v>
      </c>
      <c r="L125" s="341">
        <v>0</v>
      </c>
      <c r="M125" s="341">
        <v>0</v>
      </c>
      <c r="N125" s="341">
        <v>1.1000000000000001</v>
      </c>
      <c r="O125" s="341">
        <v>9.8000000000000007</v>
      </c>
      <c r="P125" s="341">
        <v>6.2</v>
      </c>
      <c r="Q125" s="341">
        <v>0</v>
      </c>
      <c r="R125" s="341">
        <v>6.4</v>
      </c>
      <c r="S125" s="341">
        <v>0.35</v>
      </c>
      <c r="T125" s="341">
        <v>0.7</v>
      </c>
      <c r="U125" s="341">
        <v>0.28999999999999998</v>
      </c>
      <c r="V125" s="341">
        <v>2.41</v>
      </c>
      <c r="W125" s="341">
        <v>0.03</v>
      </c>
      <c r="X125" s="341">
        <v>0.13</v>
      </c>
      <c r="Y125" s="341">
        <v>0.39</v>
      </c>
      <c r="Z125" s="341">
        <v>0</v>
      </c>
      <c r="AA125" s="341">
        <v>16</v>
      </c>
      <c r="AB125" s="341">
        <v>0</v>
      </c>
      <c r="AC125" s="341">
        <v>206</v>
      </c>
      <c r="AD125" s="341">
        <v>40</v>
      </c>
      <c r="AE125" s="341">
        <v>0.13</v>
      </c>
      <c r="AF125" s="341">
        <v>58</v>
      </c>
      <c r="AG125" s="341">
        <v>0</v>
      </c>
      <c r="AH125" s="341">
        <v>0</v>
      </c>
      <c r="AI125" s="341">
        <v>0</v>
      </c>
      <c r="AJ125" s="341">
        <v>0</v>
      </c>
      <c r="AK125" s="341">
        <v>0</v>
      </c>
      <c r="AL125" s="341">
        <v>0</v>
      </c>
      <c r="AM125" s="341">
        <v>0</v>
      </c>
      <c r="AN125" s="341">
        <v>0</v>
      </c>
      <c r="AO125" s="341">
        <v>0</v>
      </c>
      <c r="AP125" s="341">
        <v>0</v>
      </c>
      <c r="AQ125" s="341">
        <v>0</v>
      </c>
      <c r="AR125" s="341">
        <v>0</v>
      </c>
      <c r="AS125" s="341">
        <v>0</v>
      </c>
      <c r="AT125" s="341">
        <v>0</v>
      </c>
      <c r="AU125" s="341">
        <v>0</v>
      </c>
      <c r="AV125" s="341">
        <v>0</v>
      </c>
      <c r="AW125" s="341">
        <v>0</v>
      </c>
      <c r="AX125" s="341">
        <v>0</v>
      </c>
      <c r="AY125" s="341">
        <v>0</v>
      </c>
      <c r="AZ125" s="341">
        <v>0</v>
      </c>
    </row>
    <row r="126" spans="1:52" ht="15.75" customHeight="1">
      <c r="A126" s="29"/>
      <c r="B126" s="29"/>
      <c r="C126" s="29"/>
      <c r="D126" s="340" t="s">
        <v>238</v>
      </c>
      <c r="E126" s="340" t="s">
        <v>107</v>
      </c>
      <c r="F126" s="341">
        <v>0</v>
      </c>
      <c r="G126" s="341">
        <v>89.5</v>
      </c>
      <c r="H126" s="341">
        <v>3.73</v>
      </c>
      <c r="I126" s="341">
        <v>53.8</v>
      </c>
      <c r="J126" s="341">
        <v>3.38</v>
      </c>
      <c r="K126" s="341">
        <v>0</v>
      </c>
      <c r="L126" s="341">
        <v>0</v>
      </c>
      <c r="M126" s="341">
        <v>0</v>
      </c>
      <c r="N126" s="341">
        <v>1.1000000000000001</v>
      </c>
      <c r="O126" s="341">
        <v>9.8000000000000007</v>
      </c>
      <c r="P126" s="341">
        <v>6.2</v>
      </c>
      <c r="Q126" s="341">
        <v>0</v>
      </c>
      <c r="R126" s="341">
        <v>6.4</v>
      </c>
      <c r="S126" s="341">
        <v>0.35</v>
      </c>
      <c r="T126" s="341">
        <v>0.7</v>
      </c>
      <c r="U126" s="341">
        <v>0.28999999999999998</v>
      </c>
      <c r="V126" s="341">
        <v>2.41</v>
      </c>
      <c r="W126" s="341">
        <v>0.03</v>
      </c>
      <c r="X126" s="341">
        <v>0.13</v>
      </c>
      <c r="Y126" s="341">
        <v>0.39</v>
      </c>
      <c r="Z126" s="341">
        <v>0</v>
      </c>
      <c r="AA126" s="341">
        <v>16</v>
      </c>
      <c r="AB126" s="341">
        <v>0</v>
      </c>
      <c r="AC126" s="341">
        <v>206</v>
      </c>
      <c r="AD126" s="341">
        <v>40</v>
      </c>
      <c r="AE126" s="341">
        <v>0.13</v>
      </c>
      <c r="AF126" s="341">
        <v>58</v>
      </c>
      <c r="AG126" s="341">
        <v>0</v>
      </c>
      <c r="AH126" s="341">
        <v>0</v>
      </c>
      <c r="AI126" s="341">
        <v>0</v>
      </c>
      <c r="AJ126" s="341">
        <v>0</v>
      </c>
      <c r="AK126" s="341">
        <v>0</v>
      </c>
      <c r="AL126" s="341">
        <v>0</v>
      </c>
      <c r="AM126" s="341">
        <v>0</v>
      </c>
      <c r="AN126" s="341">
        <v>0</v>
      </c>
      <c r="AO126" s="341">
        <v>0</v>
      </c>
      <c r="AP126" s="341">
        <v>0</v>
      </c>
      <c r="AQ126" s="341">
        <v>0</v>
      </c>
      <c r="AR126" s="341">
        <v>0</v>
      </c>
      <c r="AS126" s="341">
        <v>0</v>
      </c>
      <c r="AT126" s="341">
        <v>0</v>
      </c>
      <c r="AU126" s="341">
        <v>0</v>
      </c>
      <c r="AV126" s="341">
        <v>0</v>
      </c>
      <c r="AW126" s="341">
        <v>0</v>
      </c>
      <c r="AX126" s="341">
        <v>0</v>
      </c>
      <c r="AY126" s="341">
        <v>0</v>
      </c>
      <c r="AZ126" s="341">
        <v>0</v>
      </c>
    </row>
    <row r="127" spans="1:52" ht="15.75" customHeight="1">
      <c r="A127" s="29"/>
      <c r="B127" s="29"/>
      <c r="C127" s="29"/>
      <c r="D127" s="340" t="s">
        <v>239</v>
      </c>
      <c r="E127" s="340" t="s">
        <v>107</v>
      </c>
      <c r="F127" s="341">
        <v>0</v>
      </c>
      <c r="G127" s="341">
        <v>89.6</v>
      </c>
      <c r="H127" s="341">
        <v>3.5</v>
      </c>
      <c r="I127" s="341">
        <v>46.3</v>
      </c>
      <c r="J127" s="341">
        <v>2.9</v>
      </c>
      <c r="K127" s="341">
        <v>0</v>
      </c>
      <c r="L127" s="341">
        <v>0</v>
      </c>
      <c r="M127" s="341">
        <v>0</v>
      </c>
      <c r="N127" s="341">
        <v>8.1</v>
      </c>
      <c r="O127" s="341">
        <v>21.7</v>
      </c>
      <c r="P127" s="341">
        <v>10.4</v>
      </c>
      <c r="Q127" s="341">
        <v>0</v>
      </c>
      <c r="R127" s="341">
        <v>5.5</v>
      </c>
      <c r="S127" s="341">
        <v>0.36</v>
      </c>
      <c r="T127" s="341">
        <v>0.66</v>
      </c>
      <c r="U127" s="341">
        <v>0.3</v>
      </c>
      <c r="V127" s="341">
        <v>2.12</v>
      </c>
      <c r="W127" s="341">
        <v>0.04</v>
      </c>
      <c r="X127" s="341">
        <v>0.1</v>
      </c>
      <c r="Y127" s="341">
        <v>0.34</v>
      </c>
      <c r="Z127" s="341">
        <v>0</v>
      </c>
      <c r="AA127" s="341">
        <v>17</v>
      </c>
      <c r="AB127" s="341">
        <v>0.12</v>
      </c>
      <c r="AC127" s="341">
        <v>169</v>
      </c>
      <c r="AD127" s="341">
        <v>39</v>
      </c>
      <c r="AE127" s="341">
        <v>0</v>
      </c>
      <c r="AF127" s="341">
        <v>72</v>
      </c>
      <c r="AG127" s="341">
        <v>0</v>
      </c>
      <c r="AH127" s="341">
        <v>0</v>
      </c>
      <c r="AI127" s="341">
        <v>0</v>
      </c>
      <c r="AJ127" s="341">
        <v>0</v>
      </c>
      <c r="AK127" s="341">
        <v>0</v>
      </c>
      <c r="AL127" s="341">
        <v>0</v>
      </c>
      <c r="AM127" s="341">
        <v>0</v>
      </c>
      <c r="AN127" s="341">
        <v>0</v>
      </c>
      <c r="AO127" s="341">
        <v>0</v>
      </c>
      <c r="AP127" s="341">
        <v>0</v>
      </c>
      <c r="AQ127" s="341">
        <v>0</v>
      </c>
      <c r="AR127" s="341">
        <v>0</v>
      </c>
      <c r="AS127" s="341">
        <v>0</v>
      </c>
      <c r="AT127" s="341">
        <v>0</v>
      </c>
      <c r="AU127" s="341">
        <v>0</v>
      </c>
      <c r="AV127" s="341">
        <v>0</v>
      </c>
      <c r="AW127" s="341">
        <v>0</v>
      </c>
      <c r="AX127" s="341">
        <v>0</v>
      </c>
      <c r="AY127" s="341">
        <v>0</v>
      </c>
      <c r="AZ127" s="341">
        <v>0</v>
      </c>
    </row>
    <row r="128" spans="1:52" ht="15.75" customHeight="1">
      <c r="A128" s="29"/>
      <c r="B128" s="29"/>
      <c r="C128" s="29"/>
      <c r="D128" s="340" t="s">
        <v>240</v>
      </c>
      <c r="E128" s="340" t="s">
        <v>107</v>
      </c>
      <c r="F128" s="341">
        <v>0</v>
      </c>
      <c r="G128" s="341">
        <v>90</v>
      </c>
      <c r="H128" s="341">
        <v>3.35</v>
      </c>
      <c r="I128" s="341">
        <v>39.200000000000003</v>
      </c>
      <c r="J128" s="341">
        <v>2.34</v>
      </c>
      <c r="K128" s="341">
        <v>0</v>
      </c>
      <c r="L128" s="341">
        <v>0</v>
      </c>
      <c r="M128" s="341">
        <v>0</v>
      </c>
      <c r="N128" s="341">
        <v>19.2</v>
      </c>
      <c r="O128" s="341">
        <v>19.5</v>
      </c>
      <c r="P128" s="341">
        <v>13.1</v>
      </c>
      <c r="Q128" s="341">
        <v>0</v>
      </c>
      <c r="R128" s="341">
        <v>5.9</v>
      </c>
      <c r="S128" s="341">
        <v>0.32</v>
      </c>
      <c r="T128" s="341">
        <v>160</v>
      </c>
      <c r="U128" s="341">
        <v>0.25</v>
      </c>
      <c r="V128" s="341">
        <v>1.99</v>
      </c>
      <c r="W128" s="341">
        <v>0.01</v>
      </c>
      <c r="X128" s="341">
        <v>0.04</v>
      </c>
      <c r="Y128" s="341">
        <v>0.31</v>
      </c>
      <c r="Z128" s="341">
        <v>0</v>
      </c>
      <c r="AA128" s="341">
        <v>13</v>
      </c>
      <c r="AB128" s="341">
        <v>0</v>
      </c>
      <c r="AC128" s="341">
        <v>148</v>
      </c>
      <c r="AD128" s="341">
        <v>29</v>
      </c>
      <c r="AE128" s="341">
        <v>0.11</v>
      </c>
      <c r="AF128" s="341">
        <v>49</v>
      </c>
      <c r="AG128" s="341">
        <v>0</v>
      </c>
      <c r="AH128" s="341">
        <v>0</v>
      </c>
      <c r="AI128" s="341">
        <v>0</v>
      </c>
      <c r="AJ128" s="341">
        <v>0</v>
      </c>
      <c r="AK128" s="341">
        <v>0</v>
      </c>
      <c r="AL128" s="341">
        <v>0</v>
      </c>
      <c r="AM128" s="341">
        <v>0</v>
      </c>
      <c r="AN128" s="341">
        <v>0</v>
      </c>
      <c r="AO128" s="341">
        <v>0</v>
      </c>
      <c r="AP128" s="341">
        <v>0</v>
      </c>
      <c r="AQ128" s="341">
        <v>0</v>
      </c>
      <c r="AR128" s="341">
        <v>0</v>
      </c>
      <c r="AS128" s="341">
        <v>0</v>
      </c>
      <c r="AT128" s="341">
        <v>0</v>
      </c>
      <c r="AU128" s="341">
        <v>0</v>
      </c>
      <c r="AV128" s="341">
        <v>0</v>
      </c>
      <c r="AW128" s="341">
        <v>0</v>
      </c>
      <c r="AX128" s="341">
        <v>0</v>
      </c>
      <c r="AY128" s="341">
        <v>0</v>
      </c>
      <c r="AZ128" s="341">
        <v>0</v>
      </c>
    </row>
    <row r="129" spans="1:52" ht="15.75" customHeight="1">
      <c r="A129" s="29"/>
      <c r="B129" s="29"/>
      <c r="C129" s="29"/>
      <c r="D129" s="340" t="s">
        <v>241</v>
      </c>
      <c r="E129" s="340" t="s">
        <v>105</v>
      </c>
      <c r="F129" s="341">
        <v>0</v>
      </c>
      <c r="G129" s="341">
        <v>40.4</v>
      </c>
      <c r="H129" s="341">
        <v>2.2599999999999998</v>
      </c>
      <c r="I129" s="341">
        <v>17.399999999999999</v>
      </c>
      <c r="J129" s="341">
        <v>0.78</v>
      </c>
      <c r="K129" s="341">
        <v>0</v>
      </c>
      <c r="L129" s="341">
        <v>0</v>
      </c>
      <c r="M129" s="341">
        <v>0</v>
      </c>
      <c r="N129" s="341">
        <v>5.7</v>
      </c>
      <c r="O129" s="341">
        <v>46.6</v>
      </c>
      <c r="P129" s="341">
        <v>36.9</v>
      </c>
      <c r="Q129" s="341">
        <v>0</v>
      </c>
      <c r="R129" s="341">
        <v>1</v>
      </c>
      <c r="S129" s="341">
        <v>1.07</v>
      </c>
      <c r="T129" s="341">
        <v>0.37</v>
      </c>
      <c r="U129" s="341">
        <v>0.35</v>
      </c>
      <c r="V129" s="341">
        <v>2.25</v>
      </c>
      <c r="W129" s="341">
        <v>0.01</v>
      </c>
      <c r="X129" s="341">
        <v>0</v>
      </c>
      <c r="Y129" s="341">
        <v>0.22</v>
      </c>
      <c r="Z129" s="341">
        <v>0</v>
      </c>
      <c r="AA129" s="341">
        <v>14</v>
      </c>
      <c r="AB129" s="341">
        <v>0</v>
      </c>
      <c r="AC129" s="341">
        <v>656</v>
      </c>
      <c r="AD129" s="341">
        <v>75</v>
      </c>
      <c r="AE129" s="341">
        <v>0</v>
      </c>
      <c r="AF129" s="341">
        <v>42</v>
      </c>
      <c r="AG129" s="341">
        <v>0</v>
      </c>
      <c r="AH129" s="341">
        <v>0</v>
      </c>
      <c r="AI129" s="341">
        <v>0</v>
      </c>
      <c r="AJ129" s="341">
        <v>0</v>
      </c>
      <c r="AK129" s="341">
        <v>0</v>
      </c>
      <c r="AL129" s="341">
        <v>0</v>
      </c>
      <c r="AM129" s="341">
        <v>0</v>
      </c>
      <c r="AN129" s="341">
        <v>0</v>
      </c>
      <c r="AO129" s="341">
        <v>0</v>
      </c>
      <c r="AP129" s="341">
        <v>0</v>
      </c>
      <c r="AQ129" s="341">
        <v>0</v>
      </c>
      <c r="AR129" s="341">
        <v>0</v>
      </c>
      <c r="AS129" s="341">
        <v>0</v>
      </c>
      <c r="AT129" s="341">
        <v>0</v>
      </c>
      <c r="AU129" s="341">
        <v>0</v>
      </c>
      <c r="AV129" s="341">
        <v>0</v>
      </c>
      <c r="AW129" s="341">
        <v>0</v>
      </c>
      <c r="AX129" s="341">
        <v>0</v>
      </c>
      <c r="AY129" s="341">
        <v>0</v>
      </c>
      <c r="AZ129" s="341">
        <v>0</v>
      </c>
    </row>
    <row r="130" spans="1:52" ht="15.75" customHeight="1">
      <c r="A130" s="29"/>
      <c r="B130" s="29"/>
      <c r="C130" s="29"/>
      <c r="D130" s="340" t="s">
        <v>242</v>
      </c>
      <c r="E130" s="340" t="s">
        <v>107</v>
      </c>
      <c r="F130" s="341">
        <v>0</v>
      </c>
      <c r="G130" s="341">
        <v>88.6</v>
      </c>
      <c r="H130" s="341">
        <v>3.75</v>
      </c>
      <c r="I130" s="341">
        <v>11.6</v>
      </c>
      <c r="J130" s="341">
        <v>0.28000000000000003</v>
      </c>
      <c r="K130" s="341">
        <v>0</v>
      </c>
      <c r="L130" s="341">
        <v>0</v>
      </c>
      <c r="M130" s="341">
        <v>0</v>
      </c>
      <c r="N130" s="341">
        <v>3.1</v>
      </c>
      <c r="O130" s="341">
        <v>10.9</v>
      </c>
      <c r="P130" s="341">
        <v>5.9</v>
      </c>
      <c r="Q130" s="341">
        <v>0</v>
      </c>
      <c r="R130" s="341">
        <v>2</v>
      </c>
      <c r="S130" s="341">
        <v>7.0000000000000007E-2</v>
      </c>
      <c r="T130" s="341">
        <v>0.35</v>
      </c>
      <c r="U130" s="341">
        <v>0.17</v>
      </c>
      <c r="V130" s="341">
        <v>0.47</v>
      </c>
      <c r="W130" s="341">
        <v>0.01</v>
      </c>
      <c r="X130" s="341">
        <v>0.06</v>
      </c>
      <c r="Y130" s="341">
        <v>0.11</v>
      </c>
      <c r="Z130" s="341">
        <v>0</v>
      </c>
      <c r="AA130" s="341">
        <v>6</v>
      </c>
      <c r="AB130" s="341">
        <v>0</v>
      </c>
      <c r="AC130" s="341">
        <v>89</v>
      </c>
      <c r="AD130" s="341">
        <v>21</v>
      </c>
      <c r="AE130" s="341">
        <v>0.46</v>
      </c>
      <c r="AF130" s="341">
        <v>25</v>
      </c>
      <c r="AG130" s="341">
        <v>0</v>
      </c>
      <c r="AH130" s="341">
        <v>0</v>
      </c>
      <c r="AI130" s="341">
        <v>0</v>
      </c>
      <c r="AJ130" s="341">
        <v>0</v>
      </c>
      <c r="AK130" s="341">
        <v>0</v>
      </c>
      <c r="AL130" s="341">
        <v>0</v>
      </c>
      <c r="AM130" s="341">
        <v>0</v>
      </c>
      <c r="AN130" s="341">
        <v>0</v>
      </c>
      <c r="AO130" s="341">
        <v>0</v>
      </c>
      <c r="AP130" s="341">
        <v>0</v>
      </c>
      <c r="AQ130" s="341">
        <v>0</v>
      </c>
      <c r="AR130" s="341">
        <v>0</v>
      </c>
      <c r="AS130" s="341">
        <v>0</v>
      </c>
      <c r="AT130" s="341">
        <v>0</v>
      </c>
      <c r="AU130" s="341">
        <v>0</v>
      </c>
      <c r="AV130" s="341">
        <v>0</v>
      </c>
      <c r="AW130" s="341">
        <v>0</v>
      </c>
      <c r="AX130" s="341">
        <v>0</v>
      </c>
      <c r="AY130" s="341">
        <v>0</v>
      </c>
      <c r="AZ130" s="341">
        <v>0</v>
      </c>
    </row>
    <row r="131" spans="1:52" ht="15.75" customHeight="1">
      <c r="A131" s="29"/>
      <c r="B131" s="29"/>
      <c r="C131" s="29"/>
      <c r="D131" s="340" t="s">
        <v>243</v>
      </c>
      <c r="E131" s="340" t="s">
        <v>107</v>
      </c>
      <c r="F131" s="341">
        <v>0</v>
      </c>
      <c r="G131" s="341">
        <v>88.6</v>
      </c>
      <c r="H131" s="341">
        <v>3.75</v>
      </c>
      <c r="I131" s="341">
        <v>11.6</v>
      </c>
      <c r="J131" s="341">
        <v>0.28000000000000003</v>
      </c>
      <c r="K131" s="341">
        <v>0</v>
      </c>
      <c r="L131" s="341">
        <v>0</v>
      </c>
      <c r="M131" s="341">
        <v>0</v>
      </c>
      <c r="N131" s="341">
        <v>3.1</v>
      </c>
      <c r="O131" s="341">
        <v>10.9</v>
      </c>
      <c r="P131" s="341">
        <v>5.9</v>
      </c>
      <c r="Q131" s="341">
        <v>0</v>
      </c>
      <c r="R131" s="341">
        <v>2</v>
      </c>
      <c r="S131" s="341">
        <v>7.0000000000000007E-2</v>
      </c>
      <c r="T131" s="341">
        <v>0.35</v>
      </c>
      <c r="U131" s="341">
        <v>0.17</v>
      </c>
      <c r="V131" s="341">
        <v>0.47</v>
      </c>
      <c r="W131" s="341">
        <v>0.01</v>
      </c>
      <c r="X131" s="341">
        <v>0.06</v>
      </c>
      <c r="Y131" s="341">
        <v>0.11</v>
      </c>
      <c r="Z131" s="341">
        <v>0</v>
      </c>
      <c r="AA131" s="341">
        <v>6</v>
      </c>
      <c r="AB131" s="341">
        <v>0</v>
      </c>
      <c r="AC131" s="341">
        <v>89</v>
      </c>
      <c r="AD131" s="341">
        <v>21</v>
      </c>
      <c r="AE131" s="341" t="s">
        <v>244</v>
      </c>
      <c r="AF131" s="341">
        <v>25</v>
      </c>
      <c r="AG131" s="341">
        <v>0</v>
      </c>
      <c r="AH131" s="341">
        <v>0</v>
      </c>
      <c r="AI131" s="341">
        <v>0</v>
      </c>
      <c r="AJ131" s="341">
        <v>0</v>
      </c>
      <c r="AK131" s="341">
        <v>0</v>
      </c>
      <c r="AL131" s="341">
        <v>0</v>
      </c>
      <c r="AM131" s="341">
        <v>0</v>
      </c>
      <c r="AN131" s="341">
        <v>0</v>
      </c>
      <c r="AO131" s="341">
        <v>0</v>
      </c>
      <c r="AP131" s="341">
        <v>0</v>
      </c>
      <c r="AQ131" s="341">
        <v>0</v>
      </c>
      <c r="AR131" s="341">
        <v>0</v>
      </c>
      <c r="AS131" s="341">
        <v>0</v>
      </c>
      <c r="AT131" s="341">
        <v>0</v>
      </c>
      <c r="AU131" s="341">
        <v>0</v>
      </c>
      <c r="AV131" s="341">
        <v>0</v>
      </c>
      <c r="AW131" s="341">
        <v>0</v>
      </c>
      <c r="AX131" s="341">
        <v>0</v>
      </c>
      <c r="AY131" s="341">
        <v>0</v>
      </c>
      <c r="AZ131" s="341">
        <v>0</v>
      </c>
    </row>
    <row r="132" spans="1:52" ht="15.75" customHeight="1">
      <c r="A132" s="29"/>
      <c r="B132" s="29"/>
      <c r="C132" s="29"/>
      <c r="D132" s="340" t="s">
        <v>245</v>
      </c>
      <c r="E132" s="340" t="s">
        <v>105</v>
      </c>
      <c r="F132" s="341">
        <v>0</v>
      </c>
      <c r="G132" s="341">
        <v>28.8</v>
      </c>
      <c r="H132" s="341">
        <v>2.17</v>
      </c>
      <c r="I132" s="341">
        <v>9.1</v>
      </c>
      <c r="J132" s="341">
        <v>0.24</v>
      </c>
      <c r="K132" s="341">
        <v>0</v>
      </c>
      <c r="L132" s="341">
        <v>0</v>
      </c>
      <c r="M132" s="341">
        <v>0</v>
      </c>
      <c r="N132" s="341">
        <v>2.9</v>
      </c>
      <c r="O132" s="341">
        <v>60.7</v>
      </c>
      <c r="P132" s="341">
        <v>38.700000000000003</v>
      </c>
      <c r="Q132" s="341">
        <v>0</v>
      </c>
      <c r="R132" s="341">
        <v>7.5</v>
      </c>
      <c r="S132" s="341">
        <v>0.5</v>
      </c>
      <c r="T132" s="341">
        <v>0.21</v>
      </c>
      <c r="U132" s="341">
        <v>0.27</v>
      </c>
      <c r="V132" s="341">
        <v>1.75</v>
      </c>
      <c r="W132" s="341">
        <v>0.02</v>
      </c>
      <c r="X132" s="341">
        <v>0.6</v>
      </c>
      <c r="Y132" s="341">
        <v>0.12</v>
      </c>
      <c r="Z132" s="341">
        <v>0</v>
      </c>
      <c r="AA132" s="341">
        <v>9</v>
      </c>
      <c r="AB132" s="341">
        <v>0</v>
      </c>
      <c r="AC132" s="341">
        <v>392</v>
      </c>
      <c r="AD132" s="341">
        <v>65</v>
      </c>
      <c r="AE132" s="341">
        <v>0.03</v>
      </c>
      <c r="AF132" s="341">
        <v>31</v>
      </c>
      <c r="AG132" s="341">
        <v>0</v>
      </c>
      <c r="AH132" s="341">
        <v>0</v>
      </c>
      <c r="AI132" s="341">
        <v>0</v>
      </c>
      <c r="AJ132" s="341">
        <v>0</v>
      </c>
      <c r="AK132" s="341">
        <v>0</v>
      </c>
      <c r="AL132" s="341">
        <v>0</v>
      </c>
      <c r="AM132" s="341">
        <v>0</v>
      </c>
      <c r="AN132" s="341">
        <v>0</v>
      </c>
      <c r="AO132" s="341">
        <v>0</v>
      </c>
      <c r="AP132" s="341">
        <v>0</v>
      </c>
      <c r="AQ132" s="341">
        <v>0</v>
      </c>
      <c r="AR132" s="341">
        <v>0</v>
      </c>
      <c r="AS132" s="341">
        <v>0</v>
      </c>
      <c r="AT132" s="341">
        <v>0</v>
      </c>
      <c r="AU132" s="341">
        <v>0</v>
      </c>
      <c r="AV132" s="341">
        <v>0</v>
      </c>
      <c r="AW132" s="341">
        <v>0</v>
      </c>
      <c r="AX132" s="341">
        <v>0</v>
      </c>
      <c r="AY132" s="341">
        <v>0</v>
      </c>
      <c r="AZ132" s="341">
        <v>0</v>
      </c>
    </row>
    <row r="133" spans="1:52" ht="15.75" customHeight="1">
      <c r="A133" s="29"/>
      <c r="B133" s="29"/>
      <c r="C133" s="29"/>
      <c r="D133" s="340" t="s">
        <v>246</v>
      </c>
      <c r="E133" s="340" t="s">
        <v>105</v>
      </c>
      <c r="F133" s="341">
        <v>0</v>
      </c>
      <c r="G133" s="341">
        <v>86.5</v>
      </c>
      <c r="H133" s="341">
        <v>2</v>
      </c>
      <c r="I133" s="341">
        <v>9.4</v>
      </c>
      <c r="J133" s="341">
        <v>0.33</v>
      </c>
      <c r="K133" s="341">
        <v>0</v>
      </c>
      <c r="L133" s="341">
        <v>0</v>
      </c>
      <c r="M133" s="341">
        <v>0</v>
      </c>
      <c r="N133" s="341">
        <v>2.2999999999999998</v>
      </c>
      <c r="O133" s="341">
        <v>64.8</v>
      </c>
      <c r="P133" s="341">
        <v>40</v>
      </c>
      <c r="Q133" s="341">
        <v>0</v>
      </c>
      <c r="R133" s="341">
        <v>8.6999999999999993</v>
      </c>
      <c r="S133" s="341">
        <v>0.54</v>
      </c>
      <c r="T133" s="341">
        <v>0.2</v>
      </c>
      <c r="U133" s="341">
        <v>0.32</v>
      </c>
      <c r="V133" s="341">
        <v>2.36</v>
      </c>
      <c r="W133" s="341">
        <v>0.03</v>
      </c>
      <c r="X133" s="341">
        <v>1.1599999999999999</v>
      </c>
      <c r="Y133" s="341">
        <v>0.13</v>
      </c>
      <c r="Z133" s="341">
        <v>0</v>
      </c>
      <c r="AA133" s="341">
        <v>10</v>
      </c>
      <c r="AB133" s="341">
        <v>0</v>
      </c>
      <c r="AC133" s="341">
        <v>284</v>
      </c>
      <c r="AD133" s="341">
        <v>44</v>
      </c>
      <c r="AE133" s="341">
        <v>0</v>
      </c>
      <c r="AF133" s="341">
        <v>34</v>
      </c>
      <c r="AG133" s="341">
        <v>0</v>
      </c>
      <c r="AH133" s="341">
        <v>0</v>
      </c>
      <c r="AI133" s="341">
        <v>0</v>
      </c>
      <c r="AJ133" s="341">
        <v>0</v>
      </c>
      <c r="AK133" s="341">
        <v>0</v>
      </c>
      <c r="AL133" s="341">
        <v>0</v>
      </c>
      <c r="AM133" s="341">
        <v>0</v>
      </c>
      <c r="AN133" s="341">
        <v>0</v>
      </c>
      <c r="AO133" s="341">
        <v>0</v>
      </c>
      <c r="AP133" s="341">
        <v>0</v>
      </c>
      <c r="AQ133" s="341">
        <v>0</v>
      </c>
      <c r="AR133" s="341">
        <v>0</v>
      </c>
      <c r="AS133" s="341">
        <v>0</v>
      </c>
      <c r="AT133" s="341">
        <v>0</v>
      </c>
      <c r="AU133" s="341">
        <v>0</v>
      </c>
      <c r="AV133" s="341">
        <v>0</v>
      </c>
      <c r="AW133" s="341">
        <v>0</v>
      </c>
      <c r="AX133" s="341">
        <v>0</v>
      </c>
      <c r="AY133" s="341">
        <v>0</v>
      </c>
      <c r="AZ133" s="341">
        <v>0</v>
      </c>
    </row>
    <row r="134" spans="1:52" ht="15.75" customHeight="1">
      <c r="A134" s="29"/>
      <c r="B134" s="29"/>
      <c r="C134" s="29"/>
      <c r="D134" s="340" t="s">
        <v>247</v>
      </c>
      <c r="E134" s="340" t="s">
        <v>105</v>
      </c>
      <c r="F134" s="341">
        <v>0</v>
      </c>
      <c r="G134" s="341">
        <v>28.8</v>
      </c>
      <c r="H134" s="341">
        <v>1.95</v>
      </c>
      <c r="I134" s="341">
        <v>10.8</v>
      </c>
      <c r="J134" s="341">
        <v>0.36</v>
      </c>
      <c r="K134" s="341">
        <v>0</v>
      </c>
      <c r="L134" s="341">
        <v>0</v>
      </c>
      <c r="M134" s="341">
        <v>0</v>
      </c>
      <c r="N134" s="341">
        <v>3.6</v>
      </c>
      <c r="O134" s="341">
        <v>63.3</v>
      </c>
      <c r="P134" s="341">
        <v>40.700000000000003</v>
      </c>
      <c r="Q134" s="341">
        <v>0</v>
      </c>
      <c r="R134" s="341">
        <v>10.9</v>
      </c>
      <c r="S134" s="341">
        <v>0.64</v>
      </c>
      <c r="T134" s="341">
        <v>0.24</v>
      </c>
      <c r="U134" s="341">
        <v>0.31</v>
      </c>
      <c r="V134" s="341">
        <v>2.57</v>
      </c>
      <c r="W134" s="341">
        <v>0.03</v>
      </c>
      <c r="X134" s="341">
        <v>0.56000000000000005</v>
      </c>
      <c r="Y134" s="341">
        <v>0.15</v>
      </c>
      <c r="Z134" s="341">
        <v>0</v>
      </c>
      <c r="AA134" s="341">
        <v>11</v>
      </c>
      <c r="AB134" s="341">
        <v>0</v>
      </c>
      <c r="AC134" s="341">
        <v>990</v>
      </c>
      <c r="AD134" s="341">
        <v>79</v>
      </c>
      <c r="AE134" s="341">
        <v>0</v>
      </c>
      <c r="AF134" s="341">
        <v>33</v>
      </c>
      <c r="AG134" s="341">
        <v>0</v>
      </c>
      <c r="AH134" s="341">
        <v>0</v>
      </c>
      <c r="AI134" s="341">
        <v>0</v>
      </c>
      <c r="AJ134" s="341">
        <v>0</v>
      </c>
      <c r="AK134" s="341">
        <v>0</v>
      </c>
      <c r="AL134" s="341">
        <v>0</v>
      </c>
      <c r="AM134" s="341">
        <v>0</v>
      </c>
      <c r="AN134" s="341">
        <v>0</v>
      </c>
      <c r="AO134" s="341">
        <v>0</v>
      </c>
      <c r="AP134" s="341">
        <v>0</v>
      </c>
      <c r="AQ134" s="341">
        <v>0</v>
      </c>
      <c r="AR134" s="341">
        <v>0</v>
      </c>
      <c r="AS134" s="341">
        <v>0</v>
      </c>
      <c r="AT134" s="341">
        <v>0</v>
      </c>
      <c r="AU134" s="341">
        <v>0</v>
      </c>
      <c r="AV134" s="341">
        <v>0</v>
      </c>
      <c r="AW134" s="341">
        <v>0</v>
      </c>
      <c r="AX134" s="341">
        <v>0</v>
      </c>
      <c r="AY134" s="341">
        <v>0</v>
      </c>
      <c r="AZ134" s="341">
        <v>0</v>
      </c>
    </row>
    <row r="135" spans="1:52" ht="15.75" customHeight="1">
      <c r="A135" s="29"/>
      <c r="B135" s="29"/>
      <c r="C135" s="29"/>
      <c r="D135" s="340" t="s">
        <v>248</v>
      </c>
      <c r="E135" s="340" t="s">
        <v>107</v>
      </c>
      <c r="F135" s="341">
        <v>0</v>
      </c>
      <c r="G135" s="341">
        <v>88.5</v>
      </c>
      <c r="H135" s="341">
        <v>3.86</v>
      </c>
      <c r="I135" s="341">
        <v>9.1</v>
      </c>
      <c r="J135" s="341">
        <v>0.37</v>
      </c>
      <c r="K135" s="341">
        <v>0</v>
      </c>
      <c r="L135" s="341">
        <v>0</v>
      </c>
      <c r="M135" s="341">
        <v>0</v>
      </c>
      <c r="N135" s="341">
        <v>3.5</v>
      </c>
      <c r="O135" s="341">
        <v>10</v>
      </c>
      <c r="P135" s="341">
        <v>3.9</v>
      </c>
      <c r="Q135" s="341">
        <v>0</v>
      </c>
      <c r="R135" s="341">
        <v>3.2</v>
      </c>
      <c r="S135" s="341">
        <v>0.17</v>
      </c>
      <c r="T135" s="341">
        <v>0.28999999999999998</v>
      </c>
      <c r="U135" s="341">
        <v>0.1</v>
      </c>
      <c r="V135" s="341">
        <v>0.33</v>
      </c>
      <c r="W135" s="341">
        <v>0.59</v>
      </c>
      <c r="X135" s="341">
        <v>0.69</v>
      </c>
      <c r="Y135" s="341">
        <v>0.1</v>
      </c>
      <c r="Z135" s="341">
        <v>0</v>
      </c>
      <c r="AA135" s="341">
        <v>4</v>
      </c>
      <c r="AB135" s="341">
        <v>0</v>
      </c>
      <c r="AC135" s="341">
        <v>252</v>
      </c>
      <c r="AD135" s="341">
        <v>26</v>
      </c>
      <c r="AE135" s="341">
        <v>0</v>
      </c>
      <c r="AF135" s="341">
        <v>80</v>
      </c>
      <c r="AG135" s="341">
        <v>0</v>
      </c>
      <c r="AH135" s="341">
        <v>0</v>
      </c>
      <c r="AI135" s="341">
        <v>0</v>
      </c>
      <c r="AJ135" s="341">
        <v>0</v>
      </c>
      <c r="AK135" s="341">
        <v>0</v>
      </c>
      <c r="AL135" s="341">
        <v>0</v>
      </c>
      <c r="AM135" s="341">
        <v>0</v>
      </c>
      <c r="AN135" s="341">
        <v>0</v>
      </c>
      <c r="AO135" s="341">
        <v>0</v>
      </c>
      <c r="AP135" s="341">
        <v>0</v>
      </c>
      <c r="AQ135" s="341">
        <v>0</v>
      </c>
      <c r="AR135" s="341">
        <v>0</v>
      </c>
      <c r="AS135" s="341">
        <v>0</v>
      </c>
      <c r="AT135" s="341">
        <v>0</v>
      </c>
      <c r="AU135" s="341">
        <v>0</v>
      </c>
      <c r="AV135" s="341">
        <v>0</v>
      </c>
      <c r="AW135" s="341">
        <v>0</v>
      </c>
      <c r="AX135" s="341">
        <v>0</v>
      </c>
      <c r="AY135" s="341">
        <v>0</v>
      </c>
      <c r="AZ135" s="341">
        <v>0</v>
      </c>
    </row>
    <row r="136" spans="1:52" ht="15.75" customHeight="1">
      <c r="A136" s="29"/>
      <c r="B136" s="29"/>
      <c r="C136" s="29"/>
      <c r="D136" s="340" t="s">
        <v>249</v>
      </c>
      <c r="E136" s="340" t="s">
        <v>122</v>
      </c>
      <c r="F136" s="341">
        <v>0</v>
      </c>
      <c r="G136" s="341">
        <v>99</v>
      </c>
      <c r="H136" s="341">
        <v>0</v>
      </c>
      <c r="I136" s="341">
        <v>0</v>
      </c>
      <c r="J136" s="341">
        <v>0</v>
      </c>
      <c r="K136" s="341">
        <v>0</v>
      </c>
      <c r="L136" s="341">
        <v>0</v>
      </c>
      <c r="M136" s="341">
        <v>0</v>
      </c>
      <c r="N136" s="341">
        <v>0</v>
      </c>
      <c r="O136" s="341">
        <v>0</v>
      </c>
      <c r="P136" s="341">
        <v>0</v>
      </c>
      <c r="Q136" s="341">
        <v>0</v>
      </c>
      <c r="R136" s="341">
        <v>99</v>
      </c>
      <c r="S136" s="341">
        <v>0</v>
      </c>
      <c r="T136" s="341">
        <v>0</v>
      </c>
      <c r="U136" s="341">
        <v>0</v>
      </c>
      <c r="V136" s="341">
        <v>0</v>
      </c>
      <c r="W136" s="341">
        <v>0</v>
      </c>
      <c r="X136" s="341">
        <v>0</v>
      </c>
      <c r="Y136" s="341">
        <v>0</v>
      </c>
      <c r="Z136" s="341">
        <v>0</v>
      </c>
      <c r="AA136" s="341">
        <v>200000</v>
      </c>
      <c r="AB136" s="341">
        <v>0</v>
      </c>
      <c r="AC136" s="341">
        <v>0</v>
      </c>
      <c r="AD136" s="341">
        <v>0</v>
      </c>
      <c r="AE136" s="341">
        <v>0</v>
      </c>
      <c r="AF136" s="341">
        <v>0</v>
      </c>
      <c r="AG136" s="341">
        <v>0</v>
      </c>
      <c r="AH136" s="341">
        <v>0</v>
      </c>
      <c r="AI136" s="341">
        <v>0</v>
      </c>
      <c r="AJ136" s="341">
        <v>0</v>
      </c>
      <c r="AK136" s="341">
        <v>0</v>
      </c>
      <c r="AL136" s="341">
        <v>0</v>
      </c>
      <c r="AM136" s="341">
        <v>0</v>
      </c>
      <c r="AN136" s="341">
        <v>0</v>
      </c>
      <c r="AO136" s="341">
        <v>0</v>
      </c>
      <c r="AP136" s="341">
        <v>0</v>
      </c>
      <c r="AQ136" s="341">
        <v>0</v>
      </c>
      <c r="AR136" s="341">
        <v>0</v>
      </c>
      <c r="AS136" s="341">
        <v>0</v>
      </c>
      <c r="AT136" s="341">
        <v>0</v>
      </c>
      <c r="AU136" s="341">
        <v>0</v>
      </c>
      <c r="AV136" s="341">
        <v>0</v>
      </c>
      <c r="AW136" s="341">
        <v>0</v>
      </c>
      <c r="AX136" s="341">
        <v>0</v>
      </c>
      <c r="AY136" s="341">
        <v>0</v>
      </c>
      <c r="AZ136" s="341">
        <v>0</v>
      </c>
    </row>
    <row r="137" spans="1:52" ht="15.75" customHeight="1">
      <c r="A137" s="29"/>
      <c r="B137" s="29"/>
      <c r="C137" s="29"/>
      <c r="D137" s="340" t="s">
        <v>250</v>
      </c>
      <c r="E137" s="340" t="s">
        <v>124</v>
      </c>
      <c r="F137" s="341">
        <v>0</v>
      </c>
      <c r="G137" s="341">
        <v>99</v>
      </c>
      <c r="H137" s="341">
        <v>0</v>
      </c>
      <c r="I137" s="341">
        <v>0</v>
      </c>
      <c r="J137" s="341">
        <v>0</v>
      </c>
      <c r="K137" s="341">
        <v>0</v>
      </c>
      <c r="L137" s="341">
        <v>0</v>
      </c>
      <c r="M137" s="341">
        <v>0</v>
      </c>
      <c r="N137" s="341">
        <v>0</v>
      </c>
      <c r="O137" s="341">
        <v>0</v>
      </c>
      <c r="P137" s="341">
        <v>0</v>
      </c>
      <c r="Q137" s="341">
        <v>0</v>
      </c>
      <c r="R137" s="341">
        <v>99</v>
      </c>
      <c r="S137" s="341">
        <v>0</v>
      </c>
      <c r="T137" s="341">
        <v>0</v>
      </c>
      <c r="U137" s="341">
        <v>0</v>
      </c>
      <c r="V137" s="341">
        <v>0</v>
      </c>
      <c r="W137" s="341">
        <v>0</v>
      </c>
      <c r="X137" s="341">
        <v>0</v>
      </c>
      <c r="Y137" s="341">
        <v>0</v>
      </c>
      <c r="Z137" s="341">
        <v>0</v>
      </c>
      <c r="AA137" s="341">
        <v>250000</v>
      </c>
      <c r="AB137" s="341">
        <v>0</v>
      </c>
      <c r="AC137" s="341">
        <v>0</v>
      </c>
      <c r="AD137" s="341">
        <v>0</v>
      </c>
      <c r="AE137" s="341">
        <v>0</v>
      </c>
      <c r="AF137" s="341">
        <v>0</v>
      </c>
      <c r="AG137" s="341">
        <v>0</v>
      </c>
      <c r="AH137" s="341">
        <v>0</v>
      </c>
      <c r="AI137" s="341">
        <v>0</v>
      </c>
      <c r="AJ137" s="341">
        <v>0</v>
      </c>
      <c r="AK137" s="341">
        <v>0</v>
      </c>
      <c r="AL137" s="341">
        <v>0</v>
      </c>
      <c r="AM137" s="341">
        <v>0</v>
      </c>
      <c r="AN137" s="341">
        <v>0</v>
      </c>
      <c r="AO137" s="341">
        <v>0</v>
      </c>
      <c r="AP137" s="341">
        <v>0</v>
      </c>
      <c r="AQ137" s="341">
        <v>0</v>
      </c>
      <c r="AR137" s="341">
        <v>0</v>
      </c>
      <c r="AS137" s="341">
        <v>0</v>
      </c>
      <c r="AT137" s="341">
        <v>0</v>
      </c>
      <c r="AU137" s="341">
        <v>0</v>
      </c>
      <c r="AV137" s="341">
        <v>0</v>
      </c>
      <c r="AW137" s="341">
        <v>0</v>
      </c>
      <c r="AX137" s="341">
        <v>0</v>
      </c>
      <c r="AY137" s="341">
        <v>0</v>
      </c>
      <c r="AZ137" s="341">
        <v>0</v>
      </c>
    </row>
    <row r="138" spans="1:52" ht="15.75" customHeight="1">
      <c r="A138" s="29"/>
      <c r="B138" s="29"/>
      <c r="C138" s="29"/>
      <c r="D138" s="340" t="s">
        <v>251</v>
      </c>
      <c r="E138" s="344" t="s">
        <v>120</v>
      </c>
      <c r="F138" s="358"/>
      <c r="G138" s="341"/>
      <c r="H138" s="341"/>
      <c r="I138" s="341"/>
      <c r="J138" s="341"/>
      <c r="K138" s="341"/>
      <c r="L138" s="341"/>
      <c r="M138" s="341"/>
      <c r="N138" s="341">
        <v>0</v>
      </c>
      <c r="O138" s="341">
        <v>0</v>
      </c>
      <c r="P138" s="341">
        <v>0</v>
      </c>
      <c r="Q138" s="341">
        <v>0</v>
      </c>
      <c r="R138" s="341">
        <v>0</v>
      </c>
      <c r="S138" s="341">
        <v>0</v>
      </c>
      <c r="T138" s="341">
        <v>0</v>
      </c>
      <c r="U138" s="341">
        <v>0</v>
      </c>
      <c r="V138" s="341">
        <v>0</v>
      </c>
      <c r="W138" s="341">
        <v>0</v>
      </c>
      <c r="X138" s="341">
        <v>0</v>
      </c>
      <c r="Y138" s="341">
        <v>0</v>
      </c>
      <c r="Z138" s="341">
        <v>0</v>
      </c>
      <c r="AA138" s="341">
        <v>0</v>
      </c>
      <c r="AB138" s="341">
        <v>0</v>
      </c>
      <c r="AC138" s="341">
        <v>0</v>
      </c>
      <c r="AD138" s="341">
        <v>0</v>
      </c>
      <c r="AE138" s="341">
        <v>0</v>
      </c>
      <c r="AF138" s="341">
        <v>0</v>
      </c>
      <c r="AG138" s="341">
        <v>0</v>
      </c>
      <c r="AH138" s="341">
        <v>0</v>
      </c>
      <c r="AI138" s="341">
        <v>0</v>
      </c>
      <c r="AJ138" s="341">
        <v>0</v>
      </c>
      <c r="AK138" s="341">
        <v>0</v>
      </c>
      <c r="AL138" s="341">
        <v>0</v>
      </c>
      <c r="AM138" s="341">
        <v>0</v>
      </c>
      <c r="AN138" s="341">
        <v>0</v>
      </c>
      <c r="AO138" s="341">
        <v>0</v>
      </c>
      <c r="AP138" s="341">
        <v>9000</v>
      </c>
      <c r="AQ138" s="341">
        <v>0</v>
      </c>
      <c r="AR138" s="341">
        <v>0</v>
      </c>
      <c r="AS138" s="341">
        <v>0</v>
      </c>
      <c r="AT138" s="341">
        <v>0</v>
      </c>
      <c r="AU138" s="341">
        <v>0</v>
      </c>
      <c r="AV138" s="341">
        <v>0</v>
      </c>
      <c r="AW138" s="341">
        <v>0</v>
      </c>
      <c r="AX138" s="341">
        <v>0</v>
      </c>
      <c r="AY138" s="341">
        <v>0</v>
      </c>
      <c r="AZ138" s="341">
        <v>0</v>
      </c>
    </row>
    <row r="139" spans="1:52" ht="15.75" customHeight="1">
      <c r="A139" s="29"/>
      <c r="B139" s="29"/>
      <c r="C139" s="29"/>
      <c r="D139" s="340" t="s">
        <v>252</v>
      </c>
      <c r="E139" s="340" t="s">
        <v>122</v>
      </c>
      <c r="F139" s="341">
        <v>0</v>
      </c>
      <c r="G139" s="341">
        <v>99</v>
      </c>
      <c r="H139" s="341">
        <v>0</v>
      </c>
      <c r="I139" s="341">
        <v>0</v>
      </c>
      <c r="J139" s="341">
        <v>0</v>
      </c>
      <c r="K139" s="341">
        <v>0</v>
      </c>
      <c r="L139" s="341">
        <v>0</v>
      </c>
      <c r="M139" s="341">
        <v>0</v>
      </c>
      <c r="N139" s="341">
        <v>0</v>
      </c>
      <c r="O139" s="341">
        <v>0</v>
      </c>
      <c r="P139" s="341">
        <v>0</v>
      </c>
      <c r="Q139" s="341">
        <v>0</v>
      </c>
      <c r="R139" s="341">
        <v>99</v>
      </c>
      <c r="S139" s="341">
        <v>0</v>
      </c>
      <c r="T139" s="341">
        <v>0</v>
      </c>
      <c r="U139" s="341">
        <v>0</v>
      </c>
      <c r="V139" s="341">
        <v>0</v>
      </c>
      <c r="W139" s="341">
        <v>0</v>
      </c>
      <c r="X139" s="341">
        <v>0</v>
      </c>
      <c r="Y139" s="341">
        <v>0</v>
      </c>
      <c r="Z139" s="341">
        <v>0</v>
      </c>
      <c r="AA139" s="341">
        <v>0</v>
      </c>
      <c r="AB139" s="341">
        <v>0</v>
      </c>
      <c r="AC139" s="341">
        <v>0</v>
      </c>
      <c r="AD139" s="341">
        <v>260000</v>
      </c>
      <c r="AE139" s="341">
        <v>0</v>
      </c>
      <c r="AF139" s="341">
        <v>0</v>
      </c>
      <c r="AG139" s="341">
        <v>0</v>
      </c>
      <c r="AH139" s="341">
        <v>0</v>
      </c>
      <c r="AI139" s="341">
        <v>0</v>
      </c>
      <c r="AJ139" s="341">
        <v>0</v>
      </c>
      <c r="AK139" s="341">
        <v>0</v>
      </c>
      <c r="AL139" s="341">
        <v>0</v>
      </c>
      <c r="AM139" s="341">
        <v>0</v>
      </c>
      <c r="AN139" s="341">
        <v>0</v>
      </c>
      <c r="AO139" s="341">
        <v>0</v>
      </c>
      <c r="AP139" s="341">
        <v>0</v>
      </c>
      <c r="AQ139" s="341">
        <v>0</v>
      </c>
      <c r="AR139" s="341">
        <v>0</v>
      </c>
      <c r="AS139" s="341">
        <v>0</v>
      </c>
      <c r="AT139" s="341">
        <v>0</v>
      </c>
      <c r="AU139" s="341">
        <v>0</v>
      </c>
      <c r="AV139" s="341">
        <v>0</v>
      </c>
      <c r="AW139" s="341">
        <v>0</v>
      </c>
      <c r="AX139" s="341">
        <v>0</v>
      </c>
      <c r="AY139" s="341">
        <v>0</v>
      </c>
      <c r="AZ139" s="341">
        <v>0</v>
      </c>
    </row>
    <row r="140" spans="1:52" ht="15.75" customHeight="1">
      <c r="A140" s="29"/>
      <c r="B140" s="29"/>
      <c r="C140" s="29"/>
      <c r="D140" s="340" t="s">
        <v>253</v>
      </c>
      <c r="E140" s="340" t="s">
        <v>122</v>
      </c>
      <c r="F140" s="341">
        <v>0</v>
      </c>
      <c r="G140" s="341">
        <v>99</v>
      </c>
      <c r="H140" s="341">
        <v>0</v>
      </c>
      <c r="I140" s="341">
        <v>0</v>
      </c>
      <c r="J140" s="341">
        <v>0</v>
      </c>
      <c r="K140" s="341">
        <v>0</v>
      </c>
      <c r="L140" s="341">
        <v>0</v>
      </c>
      <c r="M140" s="341">
        <v>0</v>
      </c>
      <c r="N140" s="341">
        <v>0</v>
      </c>
      <c r="O140" s="341">
        <v>0</v>
      </c>
      <c r="P140" s="341">
        <v>0</v>
      </c>
      <c r="Q140" s="341">
        <v>0</v>
      </c>
      <c r="R140" s="341">
        <v>99</v>
      </c>
      <c r="S140" s="341">
        <v>0</v>
      </c>
      <c r="T140" s="341">
        <v>0</v>
      </c>
      <c r="U140" s="341">
        <v>0</v>
      </c>
      <c r="V140" s="341">
        <v>0</v>
      </c>
      <c r="W140" s="341">
        <v>0</v>
      </c>
      <c r="X140" s="341">
        <v>0</v>
      </c>
      <c r="Y140" s="341">
        <v>0</v>
      </c>
      <c r="Z140" s="341">
        <v>0</v>
      </c>
      <c r="AA140" s="341">
        <v>0</v>
      </c>
      <c r="AB140" s="341">
        <v>0</v>
      </c>
      <c r="AC140" s="341">
        <v>300000</v>
      </c>
      <c r="AD140" s="341">
        <v>0</v>
      </c>
      <c r="AE140" s="341">
        <v>0</v>
      </c>
      <c r="AF140" s="341">
        <v>0</v>
      </c>
      <c r="AG140" s="341">
        <v>0</v>
      </c>
      <c r="AH140" s="341">
        <v>0</v>
      </c>
      <c r="AI140" s="341">
        <v>0</v>
      </c>
      <c r="AJ140" s="341">
        <v>0</v>
      </c>
      <c r="AK140" s="341">
        <v>0</v>
      </c>
      <c r="AL140" s="341">
        <v>0</v>
      </c>
      <c r="AM140" s="341">
        <v>0</v>
      </c>
      <c r="AN140" s="341">
        <v>0</v>
      </c>
      <c r="AO140" s="341">
        <v>0</v>
      </c>
      <c r="AP140" s="341">
        <v>0</v>
      </c>
      <c r="AQ140" s="341">
        <v>0</v>
      </c>
      <c r="AR140" s="341">
        <v>0</v>
      </c>
      <c r="AS140" s="341">
        <v>0</v>
      </c>
      <c r="AT140" s="341">
        <v>0</v>
      </c>
      <c r="AU140" s="341">
        <v>0</v>
      </c>
      <c r="AV140" s="341">
        <v>0</v>
      </c>
      <c r="AW140" s="341">
        <v>0</v>
      </c>
      <c r="AX140" s="341">
        <v>0</v>
      </c>
      <c r="AY140" s="341">
        <v>0</v>
      </c>
      <c r="AZ140" s="341">
        <v>0</v>
      </c>
    </row>
    <row r="141" spans="1:52" ht="15.75" customHeight="1">
      <c r="A141" s="29"/>
      <c r="B141" s="29"/>
      <c r="C141" s="29"/>
      <c r="D141" s="340" t="s">
        <v>254</v>
      </c>
      <c r="E141" s="340" t="s">
        <v>107</v>
      </c>
      <c r="F141" s="341"/>
      <c r="G141" s="341">
        <v>98</v>
      </c>
      <c r="H141" s="341">
        <v>0</v>
      </c>
      <c r="I141" s="341">
        <v>0</v>
      </c>
      <c r="J141" s="341">
        <v>0</v>
      </c>
      <c r="K141" s="341">
        <v>0</v>
      </c>
      <c r="L141" s="341">
        <v>0</v>
      </c>
      <c r="M141" s="341">
        <v>0</v>
      </c>
      <c r="N141" s="341">
        <v>0</v>
      </c>
      <c r="O141" s="341">
        <v>0</v>
      </c>
      <c r="P141" s="341">
        <v>0</v>
      </c>
      <c r="Q141" s="341">
        <v>0</v>
      </c>
      <c r="R141" s="341">
        <v>98</v>
      </c>
      <c r="S141" s="341">
        <v>13</v>
      </c>
      <c r="T141" s="341">
        <v>7.5</v>
      </c>
      <c r="U141" s="341">
        <v>0</v>
      </c>
      <c r="V141" s="341">
        <v>0</v>
      </c>
      <c r="W141" s="341">
        <v>15</v>
      </c>
      <c r="X141" s="341">
        <v>0</v>
      </c>
      <c r="Y141" s="341">
        <v>0.5</v>
      </c>
      <c r="Z141" s="341">
        <v>14</v>
      </c>
      <c r="AA141" s="341">
        <v>1000</v>
      </c>
      <c r="AB141" s="341">
        <v>90</v>
      </c>
      <c r="AC141" s="341">
        <v>2500</v>
      </c>
      <c r="AD141" s="341">
        <v>2000</v>
      </c>
      <c r="AE141" s="341">
        <v>11</v>
      </c>
      <c r="AF141" s="341">
        <v>3700</v>
      </c>
      <c r="AG141" s="341">
        <v>0</v>
      </c>
      <c r="AH141" s="341">
        <v>0</v>
      </c>
      <c r="AI141" s="341">
        <v>0</v>
      </c>
      <c r="AJ141" s="341">
        <v>0</v>
      </c>
      <c r="AK141" s="341">
        <v>0</v>
      </c>
      <c r="AL141" s="341">
        <v>0</v>
      </c>
      <c r="AM141" s="341">
        <v>0</v>
      </c>
      <c r="AN141" s="341">
        <v>0</v>
      </c>
      <c r="AO141" s="341">
        <v>0</v>
      </c>
      <c r="AP141" s="341">
        <v>0</v>
      </c>
      <c r="AQ141" s="341">
        <v>0</v>
      </c>
      <c r="AR141" s="341">
        <v>0</v>
      </c>
      <c r="AS141" s="341">
        <v>0</v>
      </c>
      <c r="AT141" s="341">
        <v>0</v>
      </c>
      <c r="AU141" s="341">
        <v>0</v>
      </c>
      <c r="AV141" s="341">
        <v>0</v>
      </c>
      <c r="AW141" s="341">
        <v>0</v>
      </c>
      <c r="AX141" s="341">
        <v>0</v>
      </c>
      <c r="AY141" s="341">
        <v>0</v>
      </c>
      <c r="AZ141" s="341">
        <v>0</v>
      </c>
    </row>
    <row r="142" spans="1:52" ht="15.75" customHeight="1">
      <c r="A142" s="29"/>
      <c r="B142" s="29"/>
      <c r="C142" s="29"/>
      <c r="D142" s="340" t="s">
        <v>255</v>
      </c>
      <c r="E142" s="340" t="s">
        <v>165</v>
      </c>
      <c r="F142" s="341">
        <v>0</v>
      </c>
      <c r="G142" s="341">
        <v>99</v>
      </c>
      <c r="H142" s="341">
        <v>0</v>
      </c>
      <c r="I142" s="341">
        <v>0</v>
      </c>
      <c r="J142" s="341">
        <v>0</v>
      </c>
      <c r="K142" s="341">
        <v>99</v>
      </c>
      <c r="L142" s="341">
        <v>0</v>
      </c>
      <c r="M142" s="341">
        <v>0</v>
      </c>
      <c r="N142" s="341">
        <v>0</v>
      </c>
      <c r="O142" s="341">
        <v>0</v>
      </c>
      <c r="P142" s="341">
        <v>0</v>
      </c>
      <c r="Q142" s="341">
        <v>0</v>
      </c>
      <c r="R142" s="341">
        <v>99</v>
      </c>
      <c r="S142" s="341">
        <v>0</v>
      </c>
      <c r="T142" s="341">
        <v>0</v>
      </c>
      <c r="U142" s="341">
        <v>0</v>
      </c>
      <c r="V142" s="341">
        <v>0</v>
      </c>
      <c r="W142" s="341">
        <v>0</v>
      </c>
      <c r="X142" s="341">
        <v>0</v>
      </c>
      <c r="Y142" s="341">
        <v>0</v>
      </c>
      <c r="Z142" s="341">
        <v>0</v>
      </c>
      <c r="AA142" s="341">
        <v>0</v>
      </c>
      <c r="AB142" s="341">
        <v>0</v>
      </c>
      <c r="AC142" s="341">
        <v>0</v>
      </c>
      <c r="AD142" s="341">
        <v>0</v>
      </c>
      <c r="AE142" s="341">
        <v>0</v>
      </c>
      <c r="AF142" s="341">
        <v>0</v>
      </c>
      <c r="AG142" s="341">
        <v>0</v>
      </c>
      <c r="AH142" s="341">
        <v>0</v>
      </c>
      <c r="AI142" s="341">
        <v>0</v>
      </c>
      <c r="AJ142" s="341">
        <v>0</v>
      </c>
      <c r="AK142" s="341">
        <v>0</v>
      </c>
      <c r="AL142" s="341">
        <v>0</v>
      </c>
      <c r="AM142" s="341">
        <v>0</v>
      </c>
      <c r="AN142" s="341">
        <v>0</v>
      </c>
      <c r="AO142" s="341">
        <v>0</v>
      </c>
      <c r="AP142" s="341">
        <v>0</v>
      </c>
      <c r="AQ142" s="341">
        <v>0</v>
      </c>
      <c r="AR142" s="341">
        <v>0</v>
      </c>
      <c r="AS142" s="341">
        <v>0</v>
      </c>
      <c r="AT142" s="341">
        <v>0</v>
      </c>
      <c r="AU142" s="341">
        <v>0</v>
      </c>
      <c r="AV142" s="341">
        <v>0</v>
      </c>
      <c r="AW142" s="341">
        <v>0</v>
      </c>
      <c r="AX142" s="341">
        <v>0</v>
      </c>
      <c r="AY142" s="341">
        <v>0</v>
      </c>
      <c r="AZ142" s="341">
        <v>0</v>
      </c>
    </row>
    <row r="143" spans="1:52" ht="15.75" customHeight="1">
      <c r="A143" s="29"/>
      <c r="B143" s="29"/>
      <c r="C143" s="29"/>
      <c r="D143" s="340" t="s">
        <v>256</v>
      </c>
      <c r="E143" s="340" t="s">
        <v>165</v>
      </c>
      <c r="F143" s="341">
        <v>0</v>
      </c>
      <c r="G143" s="341">
        <v>99</v>
      </c>
      <c r="H143" s="341">
        <v>0</v>
      </c>
      <c r="I143" s="341">
        <v>0</v>
      </c>
      <c r="J143" s="341">
        <v>0</v>
      </c>
      <c r="K143" s="341">
        <v>0</v>
      </c>
      <c r="L143" s="341">
        <v>0</v>
      </c>
      <c r="M143" s="341">
        <v>99</v>
      </c>
      <c r="N143" s="341">
        <v>0</v>
      </c>
      <c r="O143" s="341">
        <v>0</v>
      </c>
      <c r="P143" s="341">
        <v>0</v>
      </c>
      <c r="Q143" s="341">
        <v>0</v>
      </c>
      <c r="R143" s="341">
        <v>99</v>
      </c>
      <c r="S143" s="341">
        <v>0</v>
      </c>
      <c r="T143" s="341">
        <v>0</v>
      </c>
      <c r="U143" s="341">
        <v>0</v>
      </c>
      <c r="V143" s="341">
        <v>0</v>
      </c>
      <c r="W143" s="341">
        <v>0</v>
      </c>
      <c r="X143" s="341">
        <v>0</v>
      </c>
      <c r="Y143" s="341">
        <v>0</v>
      </c>
      <c r="Z143" s="341">
        <v>0</v>
      </c>
      <c r="AA143" s="341">
        <v>0</v>
      </c>
      <c r="AB143" s="341">
        <v>0</v>
      </c>
      <c r="AC143" s="341">
        <v>0</v>
      </c>
      <c r="AD143" s="341">
        <v>0</v>
      </c>
      <c r="AE143" s="341">
        <v>0</v>
      </c>
      <c r="AF143" s="341">
        <v>0</v>
      </c>
      <c r="AG143" s="341">
        <v>0</v>
      </c>
      <c r="AH143" s="341">
        <v>0</v>
      </c>
      <c r="AI143" s="341">
        <v>0</v>
      </c>
      <c r="AJ143" s="341">
        <v>0</v>
      </c>
      <c r="AK143" s="341">
        <v>0</v>
      </c>
      <c r="AL143" s="341">
        <v>0</v>
      </c>
      <c r="AM143" s="341">
        <v>0</v>
      </c>
      <c r="AN143" s="341">
        <v>0</v>
      </c>
      <c r="AO143" s="341">
        <v>0</v>
      </c>
      <c r="AP143" s="341">
        <v>0</v>
      </c>
      <c r="AQ143" s="341">
        <v>0</v>
      </c>
      <c r="AR143" s="341">
        <v>0</v>
      </c>
      <c r="AS143" s="341">
        <v>0</v>
      </c>
      <c r="AT143" s="341">
        <v>0</v>
      </c>
      <c r="AU143" s="341">
        <v>0</v>
      </c>
      <c r="AV143" s="341">
        <v>0</v>
      </c>
      <c r="AW143" s="341">
        <v>0</v>
      </c>
      <c r="AX143" s="341">
        <v>0</v>
      </c>
      <c r="AY143" s="341">
        <v>0</v>
      </c>
      <c r="AZ143" s="341">
        <v>0</v>
      </c>
    </row>
    <row r="144" spans="1:52" ht="15.75" customHeight="1">
      <c r="A144" s="29"/>
      <c r="B144" s="29"/>
      <c r="C144" s="29"/>
      <c r="D144" s="340" t="s">
        <v>257</v>
      </c>
      <c r="E144" s="340" t="s">
        <v>120</v>
      </c>
      <c r="F144" s="341"/>
      <c r="G144" s="341">
        <v>60</v>
      </c>
      <c r="H144" s="341"/>
      <c r="I144" s="341"/>
      <c r="J144" s="341"/>
      <c r="K144" s="341"/>
      <c r="L144" s="341"/>
      <c r="M144" s="341"/>
      <c r="N144" s="341">
        <v>0</v>
      </c>
      <c r="O144" s="341">
        <v>0</v>
      </c>
      <c r="P144" s="341">
        <v>0</v>
      </c>
      <c r="Q144" s="341">
        <v>0</v>
      </c>
      <c r="R144" s="341">
        <v>0</v>
      </c>
      <c r="S144" s="341">
        <v>0</v>
      </c>
      <c r="T144" s="341">
        <v>0</v>
      </c>
      <c r="U144" s="341">
        <v>0</v>
      </c>
      <c r="V144" s="341">
        <v>0</v>
      </c>
      <c r="W144" s="341">
        <v>0</v>
      </c>
      <c r="X144" s="341">
        <v>0</v>
      </c>
      <c r="Y144" s="341">
        <v>0</v>
      </c>
      <c r="Z144" s="341">
        <v>0</v>
      </c>
      <c r="AA144" s="341">
        <v>0</v>
      </c>
      <c r="AB144" s="341">
        <v>0</v>
      </c>
      <c r="AC144" s="341">
        <v>0</v>
      </c>
      <c r="AD144" s="341">
        <v>0</v>
      </c>
      <c r="AE144" s="341">
        <v>0</v>
      </c>
      <c r="AF144" s="341">
        <v>0</v>
      </c>
      <c r="AG144" s="341">
        <v>0</v>
      </c>
      <c r="AH144" s="341">
        <v>0</v>
      </c>
      <c r="AI144" s="341">
        <v>0</v>
      </c>
      <c r="AJ144" s="341">
        <v>0</v>
      </c>
      <c r="AK144" s="341">
        <v>0</v>
      </c>
      <c r="AL144" s="341">
        <v>0</v>
      </c>
      <c r="AM144" s="341">
        <v>0</v>
      </c>
      <c r="AN144" s="341">
        <v>0</v>
      </c>
      <c r="AO144" s="341">
        <v>0</v>
      </c>
      <c r="AP144" s="341">
        <v>0</v>
      </c>
      <c r="AQ144" s="341">
        <v>0</v>
      </c>
      <c r="AR144" s="341">
        <v>0</v>
      </c>
      <c r="AS144" s="341">
        <v>0</v>
      </c>
      <c r="AT144" s="341">
        <v>0</v>
      </c>
      <c r="AU144" s="341">
        <v>0</v>
      </c>
      <c r="AV144" s="341">
        <v>0</v>
      </c>
      <c r="AW144" s="341">
        <v>0</v>
      </c>
      <c r="AX144" s="341">
        <v>0</v>
      </c>
      <c r="AY144" s="341">
        <v>0</v>
      </c>
      <c r="AZ144" s="341">
        <v>0</v>
      </c>
    </row>
    <row r="145" spans="1:52" ht="15.75" customHeight="1">
      <c r="A145" s="29"/>
      <c r="B145" s="29"/>
      <c r="C145" s="29"/>
      <c r="D145" s="340" t="s">
        <v>258</v>
      </c>
      <c r="E145" s="340" t="s">
        <v>120</v>
      </c>
      <c r="F145" s="341"/>
      <c r="G145" s="341">
        <v>97</v>
      </c>
      <c r="H145" s="341"/>
      <c r="I145" s="341">
        <v>22</v>
      </c>
      <c r="J145" s="341">
        <v>18.91</v>
      </c>
      <c r="K145" s="341">
        <v>12.36</v>
      </c>
      <c r="L145" s="341">
        <v>3.48</v>
      </c>
      <c r="M145" s="341">
        <v>0.21</v>
      </c>
      <c r="N145" s="341">
        <v>0</v>
      </c>
      <c r="O145" s="341">
        <v>0</v>
      </c>
      <c r="P145" s="341">
        <v>0</v>
      </c>
      <c r="Q145" s="341">
        <v>0</v>
      </c>
      <c r="R145" s="341">
        <v>0</v>
      </c>
      <c r="S145" s="341">
        <v>7</v>
      </c>
      <c r="T145" s="341">
        <v>3.8</v>
      </c>
      <c r="U145" s="341">
        <v>0.3</v>
      </c>
      <c r="V145" s="341">
        <v>0.35</v>
      </c>
      <c r="W145" s="341">
        <v>0.28000000000000003</v>
      </c>
      <c r="X145" s="341">
        <v>4.7</v>
      </c>
      <c r="Y145" s="341">
        <v>3.48</v>
      </c>
      <c r="Z145" s="341">
        <v>200</v>
      </c>
      <c r="AA145" s="341">
        <v>601</v>
      </c>
      <c r="AB145" s="341">
        <v>75.12</v>
      </c>
      <c r="AC145" s="341">
        <v>2520</v>
      </c>
      <c r="AD145" s="341">
        <v>427</v>
      </c>
      <c r="AE145" s="341">
        <v>13.5</v>
      </c>
      <c r="AF145" s="341">
        <v>2250</v>
      </c>
      <c r="AG145" s="341">
        <v>10000</v>
      </c>
      <c r="AH145" s="341">
        <v>15000</v>
      </c>
      <c r="AI145" s="341">
        <v>300</v>
      </c>
      <c r="AJ145" s="341">
        <v>250</v>
      </c>
      <c r="AK145" s="341">
        <v>200</v>
      </c>
      <c r="AL145" s="341">
        <v>0</v>
      </c>
      <c r="AM145" s="341">
        <v>0</v>
      </c>
      <c r="AN145" s="341">
        <v>0</v>
      </c>
      <c r="AO145" s="341">
        <v>0</v>
      </c>
      <c r="AP145" s="341">
        <v>0</v>
      </c>
      <c r="AQ145" s="341">
        <v>0</v>
      </c>
      <c r="AR145" s="341">
        <v>0</v>
      </c>
      <c r="AS145" s="341">
        <v>0</v>
      </c>
      <c r="AT145" s="341">
        <v>0</v>
      </c>
      <c r="AU145" s="341">
        <v>0</v>
      </c>
      <c r="AV145" s="341">
        <v>0</v>
      </c>
      <c r="AW145" s="341">
        <v>0</v>
      </c>
      <c r="AX145" s="341">
        <v>0</v>
      </c>
      <c r="AY145" s="341">
        <v>0</v>
      </c>
      <c r="AZ145" s="341">
        <v>0</v>
      </c>
    </row>
    <row r="146" spans="1:52" ht="15.75" customHeight="1">
      <c r="A146" s="29"/>
      <c r="B146" s="29"/>
      <c r="C146" s="29"/>
      <c r="D146" s="340" t="s">
        <v>259</v>
      </c>
      <c r="E146" s="340" t="s">
        <v>120</v>
      </c>
      <c r="F146" s="341"/>
      <c r="G146" s="341">
        <v>60</v>
      </c>
      <c r="H146" s="341"/>
      <c r="I146" s="341"/>
      <c r="J146" s="341">
        <v>2.8</v>
      </c>
      <c r="K146" s="341">
        <v>0.03</v>
      </c>
      <c r="L146" s="341">
        <v>0</v>
      </c>
      <c r="M146" s="341">
        <v>0.05</v>
      </c>
      <c r="N146" s="341">
        <v>0</v>
      </c>
      <c r="O146" s="341">
        <v>0</v>
      </c>
      <c r="P146" s="341">
        <v>0</v>
      </c>
      <c r="Q146" s="341">
        <v>0</v>
      </c>
      <c r="R146" s="341">
        <v>0</v>
      </c>
      <c r="S146" s="341">
        <v>0</v>
      </c>
      <c r="T146" s="341">
        <v>0</v>
      </c>
      <c r="U146" s="341">
        <v>0</v>
      </c>
      <c r="V146" s="341">
        <v>0</v>
      </c>
      <c r="W146" s="341">
        <v>0</v>
      </c>
      <c r="X146" s="341">
        <v>0</v>
      </c>
      <c r="Y146" s="341">
        <v>0</v>
      </c>
      <c r="Z146" s="341">
        <v>0</v>
      </c>
      <c r="AA146" s="341">
        <v>0</v>
      </c>
      <c r="AB146" s="341">
        <v>0</v>
      </c>
      <c r="AC146" s="341">
        <v>0</v>
      </c>
      <c r="AD146" s="341">
        <v>0</v>
      </c>
      <c r="AE146" s="341">
        <v>0</v>
      </c>
      <c r="AF146" s="341">
        <v>0</v>
      </c>
      <c r="AG146" s="341">
        <v>0</v>
      </c>
      <c r="AH146" s="341">
        <v>0</v>
      </c>
      <c r="AI146" s="341">
        <v>0</v>
      </c>
      <c r="AJ146" s="341">
        <v>0</v>
      </c>
      <c r="AK146" s="341">
        <v>0</v>
      </c>
      <c r="AL146" s="341">
        <v>0</v>
      </c>
      <c r="AM146" s="341">
        <v>0</v>
      </c>
      <c r="AN146" s="341">
        <v>0</v>
      </c>
      <c r="AO146" s="341">
        <v>0</v>
      </c>
      <c r="AP146" s="341">
        <v>0</v>
      </c>
      <c r="AQ146" s="341">
        <v>0</v>
      </c>
      <c r="AR146" s="341">
        <v>0</v>
      </c>
      <c r="AS146" s="341">
        <v>0</v>
      </c>
      <c r="AT146" s="341">
        <v>0</v>
      </c>
      <c r="AU146" s="341">
        <v>0</v>
      </c>
      <c r="AV146" s="341">
        <v>0</v>
      </c>
      <c r="AW146" s="341">
        <v>0</v>
      </c>
      <c r="AX146" s="341">
        <v>0</v>
      </c>
      <c r="AY146" s="341">
        <v>0</v>
      </c>
      <c r="AZ146" s="341">
        <v>0</v>
      </c>
    </row>
    <row r="147" spans="1:52" ht="15.75" customHeight="1">
      <c r="A147" s="29"/>
      <c r="B147" s="29"/>
      <c r="C147" s="29"/>
      <c r="D147" s="340" t="s">
        <v>260</v>
      </c>
      <c r="E147" s="340" t="s">
        <v>120</v>
      </c>
      <c r="F147" s="341"/>
      <c r="G147" s="341">
        <v>60</v>
      </c>
      <c r="H147" s="341"/>
      <c r="I147" s="341"/>
      <c r="J147" s="341">
        <v>3.9</v>
      </c>
      <c r="K147" s="341">
        <v>0</v>
      </c>
      <c r="L147" s="341">
        <v>0</v>
      </c>
      <c r="M147" s="341">
        <v>0</v>
      </c>
      <c r="N147" s="341">
        <v>0</v>
      </c>
      <c r="O147" s="341">
        <v>0</v>
      </c>
      <c r="P147" s="341">
        <v>0</v>
      </c>
      <c r="Q147" s="341">
        <v>0</v>
      </c>
      <c r="R147" s="341">
        <v>0</v>
      </c>
      <c r="S147" s="341">
        <v>0</v>
      </c>
      <c r="T147" s="341">
        <v>0</v>
      </c>
      <c r="U147" s="341">
        <v>0</v>
      </c>
      <c r="V147" s="341">
        <v>0</v>
      </c>
      <c r="W147" s="341">
        <v>0</v>
      </c>
      <c r="X147" s="341">
        <v>0</v>
      </c>
      <c r="Y147" s="341">
        <v>0</v>
      </c>
      <c r="Z147" s="341">
        <v>100</v>
      </c>
      <c r="AA147" s="341">
        <v>507</v>
      </c>
      <c r="AB147" s="341">
        <v>0</v>
      </c>
      <c r="AC147" s="341">
        <v>9000</v>
      </c>
      <c r="AD147" s="341">
        <v>0</v>
      </c>
      <c r="AE147" s="341">
        <v>0</v>
      </c>
      <c r="AF147" s="341">
        <v>5000</v>
      </c>
      <c r="AG147" s="341">
        <v>0</v>
      </c>
      <c r="AH147" s="341">
        <v>0</v>
      </c>
      <c r="AI147" s="341">
        <v>0</v>
      </c>
      <c r="AJ147" s="341">
        <v>0</v>
      </c>
      <c r="AK147" s="341">
        <v>0</v>
      </c>
      <c r="AL147" s="341">
        <v>0</v>
      </c>
      <c r="AM147" s="341">
        <v>0</v>
      </c>
      <c r="AN147" s="341">
        <v>0</v>
      </c>
      <c r="AO147" s="341">
        <v>0</v>
      </c>
      <c r="AP147" s="341">
        <v>0</v>
      </c>
      <c r="AQ147" s="341">
        <v>0</v>
      </c>
      <c r="AR147" s="341">
        <v>0</v>
      </c>
      <c r="AS147" s="341">
        <v>0</v>
      </c>
      <c r="AT147" s="341">
        <v>0</v>
      </c>
      <c r="AU147" s="341">
        <v>0</v>
      </c>
      <c r="AV147" s="341">
        <v>0</v>
      </c>
      <c r="AW147" s="341">
        <v>0</v>
      </c>
      <c r="AX147" s="341">
        <v>0</v>
      </c>
      <c r="AY147" s="341">
        <v>0</v>
      </c>
      <c r="AZ147" s="341">
        <v>0</v>
      </c>
    </row>
    <row r="148" spans="1:52" ht="15.75" customHeight="1">
      <c r="A148" s="29"/>
      <c r="B148" s="29"/>
      <c r="C148" s="29"/>
      <c r="D148" s="340"/>
      <c r="E148" s="340"/>
      <c r="F148" s="341"/>
      <c r="G148" s="341"/>
      <c r="H148" s="341"/>
      <c r="I148" s="341"/>
      <c r="J148" s="341"/>
      <c r="K148" s="341"/>
      <c r="L148" s="341"/>
      <c r="M148" s="341"/>
      <c r="N148" s="341">
        <v>0</v>
      </c>
      <c r="O148" s="341">
        <v>0</v>
      </c>
      <c r="P148" s="341">
        <v>0</v>
      </c>
      <c r="Q148" s="341">
        <v>0</v>
      </c>
      <c r="R148" s="341">
        <v>0</v>
      </c>
      <c r="S148" s="341">
        <v>0</v>
      </c>
      <c r="T148" s="341">
        <v>0</v>
      </c>
      <c r="U148" s="341">
        <v>0</v>
      </c>
      <c r="V148" s="341">
        <v>0</v>
      </c>
      <c r="W148" s="341">
        <v>0</v>
      </c>
      <c r="X148" s="341">
        <v>0</v>
      </c>
      <c r="Y148" s="341">
        <v>0</v>
      </c>
      <c r="Z148" s="341">
        <v>0</v>
      </c>
      <c r="AA148" s="341">
        <v>0</v>
      </c>
      <c r="AB148" s="341">
        <v>0</v>
      </c>
      <c r="AC148" s="341">
        <v>0</v>
      </c>
      <c r="AD148" s="341">
        <v>0</v>
      </c>
      <c r="AE148" s="341">
        <v>0</v>
      </c>
      <c r="AF148" s="341">
        <v>0</v>
      </c>
      <c r="AG148" s="341">
        <v>0</v>
      </c>
      <c r="AH148" s="341">
        <v>0</v>
      </c>
      <c r="AI148" s="341">
        <v>0</v>
      </c>
      <c r="AJ148" s="341">
        <v>0</v>
      </c>
      <c r="AK148" s="341">
        <v>0</v>
      </c>
      <c r="AL148" s="341">
        <v>0</v>
      </c>
      <c r="AM148" s="341">
        <v>0</v>
      </c>
      <c r="AN148" s="341">
        <v>0</v>
      </c>
      <c r="AO148" s="341">
        <v>0</v>
      </c>
      <c r="AP148" s="341">
        <v>0</v>
      </c>
      <c r="AQ148" s="341">
        <v>0</v>
      </c>
      <c r="AR148" s="341">
        <v>0</v>
      </c>
      <c r="AS148" s="341">
        <v>0</v>
      </c>
      <c r="AT148" s="341">
        <v>0</v>
      </c>
      <c r="AU148" s="341">
        <v>0</v>
      </c>
      <c r="AV148" s="341">
        <v>0</v>
      </c>
      <c r="AW148" s="341">
        <v>0</v>
      </c>
      <c r="AX148" s="341">
        <v>0</v>
      </c>
      <c r="AY148" s="341">
        <v>0</v>
      </c>
      <c r="AZ148" s="341">
        <v>0</v>
      </c>
    </row>
    <row r="149" spans="1:52" ht="15.75" customHeight="1">
      <c r="A149" s="14"/>
      <c r="B149" s="14"/>
      <c r="C149" s="14"/>
      <c r="D149" s="340"/>
      <c r="E149" s="340"/>
      <c r="F149" s="341"/>
      <c r="G149" s="341"/>
      <c r="H149" s="341"/>
      <c r="I149" s="341"/>
      <c r="J149" s="341"/>
      <c r="K149" s="341"/>
      <c r="L149" s="341"/>
      <c r="M149" s="341"/>
      <c r="N149" s="341">
        <v>0</v>
      </c>
      <c r="O149" s="341">
        <v>0</v>
      </c>
      <c r="P149" s="341">
        <v>0</v>
      </c>
      <c r="Q149" s="341">
        <v>0</v>
      </c>
      <c r="R149" s="341">
        <v>0</v>
      </c>
      <c r="S149" s="341">
        <v>0</v>
      </c>
      <c r="T149" s="341">
        <v>0</v>
      </c>
      <c r="U149" s="341">
        <v>0</v>
      </c>
      <c r="V149" s="341">
        <v>0</v>
      </c>
      <c r="W149" s="341">
        <v>0</v>
      </c>
      <c r="X149" s="341">
        <v>0</v>
      </c>
      <c r="Y149" s="341">
        <v>0</v>
      </c>
      <c r="Z149" s="341">
        <v>0</v>
      </c>
      <c r="AA149" s="341">
        <v>0</v>
      </c>
      <c r="AB149" s="341">
        <v>0</v>
      </c>
      <c r="AC149" s="341">
        <v>0</v>
      </c>
      <c r="AD149" s="341">
        <v>0</v>
      </c>
      <c r="AE149" s="341">
        <v>0</v>
      </c>
      <c r="AF149" s="341">
        <v>0</v>
      </c>
      <c r="AG149" s="341">
        <v>0</v>
      </c>
      <c r="AH149" s="341">
        <v>0</v>
      </c>
      <c r="AI149" s="341">
        <v>0</v>
      </c>
      <c r="AJ149" s="341">
        <v>0</v>
      </c>
      <c r="AK149" s="341">
        <v>0</v>
      </c>
      <c r="AL149" s="341">
        <v>0</v>
      </c>
      <c r="AM149" s="341">
        <v>0</v>
      </c>
      <c r="AN149" s="341">
        <v>0</v>
      </c>
      <c r="AO149" s="341">
        <v>0</v>
      </c>
      <c r="AP149" s="341">
        <v>0</v>
      </c>
      <c r="AQ149" s="341">
        <v>0</v>
      </c>
      <c r="AR149" s="341">
        <v>0</v>
      </c>
      <c r="AS149" s="341">
        <v>0</v>
      </c>
      <c r="AT149" s="341">
        <v>0</v>
      </c>
      <c r="AU149" s="341">
        <v>0</v>
      </c>
      <c r="AV149" s="341">
        <v>0</v>
      </c>
      <c r="AW149" s="341">
        <v>0</v>
      </c>
      <c r="AX149" s="341">
        <v>0</v>
      </c>
      <c r="AY149" s="341">
        <v>0</v>
      </c>
      <c r="AZ149" s="341">
        <v>0</v>
      </c>
    </row>
    <row r="150" spans="1:52" ht="15.75" customHeight="1">
      <c r="A150" s="14"/>
      <c r="B150" s="14"/>
      <c r="C150" s="14"/>
      <c r="D150" s="340"/>
      <c r="E150" s="340"/>
      <c r="F150" s="341"/>
      <c r="G150" s="341"/>
      <c r="H150" s="341"/>
      <c r="I150" s="341"/>
      <c r="J150" s="341"/>
      <c r="K150" s="341"/>
      <c r="L150" s="341"/>
      <c r="M150" s="341"/>
      <c r="N150" s="341">
        <v>0</v>
      </c>
      <c r="O150" s="341">
        <v>0</v>
      </c>
      <c r="P150" s="341">
        <v>0</v>
      </c>
      <c r="Q150" s="341">
        <v>0</v>
      </c>
      <c r="R150" s="341">
        <v>0</v>
      </c>
      <c r="S150" s="341">
        <v>0</v>
      </c>
      <c r="T150" s="341">
        <v>0</v>
      </c>
      <c r="U150" s="341">
        <v>0</v>
      </c>
      <c r="V150" s="341">
        <v>0</v>
      </c>
      <c r="W150" s="341">
        <v>0</v>
      </c>
      <c r="X150" s="341">
        <v>0</v>
      </c>
      <c r="Y150" s="341">
        <v>0</v>
      </c>
      <c r="Z150" s="341">
        <v>0</v>
      </c>
      <c r="AA150" s="341">
        <v>0</v>
      </c>
      <c r="AB150" s="341">
        <v>0</v>
      </c>
      <c r="AC150" s="341">
        <v>0</v>
      </c>
      <c r="AD150" s="341">
        <v>0</v>
      </c>
      <c r="AE150" s="341">
        <v>0</v>
      </c>
      <c r="AF150" s="341">
        <v>0</v>
      </c>
      <c r="AG150" s="341">
        <v>0</v>
      </c>
      <c r="AH150" s="341">
        <v>0</v>
      </c>
      <c r="AI150" s="341">
        <v>0</v>
      </c>
      <c r="AJ150" s="341">
        <v>0</v>
      </c>
      <c r="AK150" s="341">
        <v>0</v>
      </c>
      <c r="AL150" s="341">
        <v>0</v>
      </c>
      <c r="AM150" s="341">
        <v>0</v>
      </c>
      <c r="AN150" s="341">
        <v>0</v>
      </c>
      <c r="AO150" s="341">
        <v>0</v>
      </c>
      <c r="AP150" s="341">
        <v>0</v>
      </c>
      <c r="AQ150" s="341">
        <v>0</v>
      </c>
      <c r="AR150" s="341">
        <v>0</v>
      </c>
      <c r="AS150" s="341">
        <v>0</v>
      </c>
      <c r="AT150" s="341">
        <v>0</v>
      </c>
      <c r="AU150" s="341">
        <v>0</v>
      </c>
      <c r="AV150" s="341">
        <v>0</v>
      </c>
      <c r="AW150" s="341">
        <v>0</v>
      </c>
      <c r="AX150" s="341">
        <v>0</v>
      </c>
      <c r="AY150" s="341">
        <v>0</v>
      </c>
      <c r="AZ150" s="341">
        <v>0</v>
      </c>
    </row>
    <row r="151" spans="1:52" ht="15.75" customHeight="1">
      <c r="A151" s="14"/>
      <c r="B151" s="14"/>
      <c r="C151" s="14"/>
      <c r="D151" s="340"/>
      <c r="E151" s="340"/>
      <c r="F151" s="341"/>
      <c r="G151" s="341"/>
      <c r="H151" s="341"/>
      <c r="I151" s="341"/>
      <c r="J151" s="341"/>
      <c r="K151" s="341"/>
      <c r="L151" s="341"/>
      <c r="M151" s="341"/>
      <c r="N151" s="341">
        <v>0</v>
      </c>
      <c r="O151" s="341">
        <v>0</v>
      </c>
      <c r="P151" s="341">
        <v>0</v>
      </c>
      <c r="Q151" s="341">
        <v>0</v>
      </c>
      <c r="R151" s="341">
        <v>0</v>
      </c>
      <c r="S151" s="341">
        <v>0</v>
      </c>
      <c r="T151" s="341">
        <v>0</v>
      </c>
      <c r="U151" s="341">
        <v>0</v>
      </c>
      <c r="V151" s="341">
        <v>0</v>
      </c>
      <c r="W151" s="341">
        <v>0</v>
      </c>
      <c r="X151" s="341">
        <v>0</v>
      </c>
      <c r="Y151" s="341">
        <v>0</v>
      </c>
      <c r="Z151" s="341">
        <v>0</v>
      </c>
      <c r="AA151" s="341">
        <v>0</v>
      </c>
      <c r="AB151" s="341">
        <v>0</v>
      </c>
      <c r="AC151" s="341">
        <v>0</v>
      </c>
      <c r="AD151" s="341">
        <v>0</v>
      </c>
      <c r="AE151" s="341">
        <v>0</v>
      </c>
      <c r="AF151" s="341">
        <v>0</v>
      </c>
      <c r="AG151" s="341">
        <v>0</v>
      </c>
      <c r="AH151" s="341">
        <v>0</v>
      </c>
      <c r="AI151" s="341">
        <v>0</v>
      </c>
      <c r="AJ151" s="341">
        <v>0</v>
      </c>
      <c r="AK151" s="341">
        <v>0</v>
      </c>
      <c r="AL151" s="341">
        <v>0</v>
      </c>
      <c r="AM151" s="341">
        <v>0</v>
      </c>
      <c r="AN151" s="341">
        <v>0</v>
      </c>
      <c r="AO151" s="341">
        <v>0</v>
      </c>
      <c r="AP151" s="341">
        <v>0</v>
      </c>
      <c r="AQ151" s="341">
        <v>0</v>
      </c>
      <c r="AR151" s="341">
        <v>0</v>
      </c>
      <c r="AS151" s="341">
        <v>0</v>
      </c>
      <c r="AT151" s="341">
        <v>0</v>
      </c>
      <c r="AU151" s="341">
        <v>0</v>
      </c>
      <c r="AV151" s="341">
        <v>0</v>
      </c>
      <c r="AW151" s="341">
        <v>0</v>
      </c>
      <c r="AX151" s="341">
        <v>0</v>
      </c>
      <c r="AY151" s="341">
        <v>0</v>
      </c>
      <c r="AZ151" s="341">
        <v>0</v>
      </c>
    </row>
    <row r="152" spans="1:52" ht="15.75" customHeight="1">
      <c r="A152" s="14"/>
      <c r="B152" s="14"/>
      <c r="C152" s="14"/>
      <c r="D152" s="340"/>
      <c r="E152" s="340"/>
      <c r="F152" s="341"/>
      <c r="G152" s="341"/>
      <c r="H152" s="341"/>
      <c r="I152" s="341"/>
      <c r="J152" s="341"/>
      <c r="K152" s="341"/>
      <c r="L152" s="341"/>
      <c r="M152" s="341"/>
      <c r="N152" s="341">
        <v>0</v>
      </c>
      <c r="O152" s="341">
        <v>0</v>
      </c>
      <c r="P152" s="341">
        <v>0</v>
      </c>
      <c r="Q152" s="341">
        <v>0</v>
      </c>
      <c r="R152" s="341">
        <v>0</v>
      </c>
      <c r="S152" s="341">
        <v>0</v>
      </c>
      <c r="T152" s="341">
        <v>0</v>
      </c>
      <c r="U152" s="341">
        <v>0</v>
      </c>
      <c r="V152" s="341">
        <v>0</v>
      </c>
      <c r="W152" s="341">
        <v>0</v>
      </c>
      <c r="X152" s="341">
        <v>0</v>
      </c>
      <c r="Y152" s="341">
        <v>0</v>
      </c>
      <c r="Z152" s="341">
        <v>0</v>
      </c>
      <c r="AA152" s="341">
        <v>0</v>
      </c>
      <c r="AB152" s="341">
        <v>0</v>
      </c>
      <c r="AC152" s="341">
        <v>0</v>
      </c>
      <c r="AD152" s="341">
        <v>0</v>
      </c>
      <c r="AE152" s="341">
        <v>0</v>
      </c>
      <c r="AF152" s="341">
        <v>0</v>
      </c>
      <c r="AG152" s="341">
        <v>0</v>
      </c>
      <c r="AH152" s="341">
        <v>0</v>
      </c>
      <c r="AI152" s="341">
        <v>0</v>
      </c>
      <c r="AJ152" s="341">
        <v>0</v>
      </c>
      <c r="AK152" s="341">
        <v>0</v>
      </c>
      <c r="AL152" s="341">
        <v>0</v>
      </c>
      <c r="AM152" s="341">
        <v>0</v>
      </c>
      <c r="AN152" s="341">
        <v>0</v>
      </c>
      <c r="AO152" s="341">
        <v>0</v>
      </c>
      <c r="AP152" s="341">
        <v>0</v>
      </c>
      <c r="AQ152" s="341">
        <v>0</v>
      </c>
      <c r="AR152" s="341">
        <v>0</v>
      </c>
      <c r="AS152" s="341">
        <v>0</v>
      </c>
      <c r="AT152" s="341">
        <v>0</v>
      </c>
      <c r="AU152" s="341">
        <v>0</v>
      </c>
      <c r="AV152" s="341">
        <v>0</v>
      </c>
      <c r="AW152" s="341">
        <v>0</v>
      </c>
      <c r="AX152" s="341">
        <v>0</v>
      </c>
      <c r="AY152" s="341">
        <v>0</v>
      </c>
      <c r="AZ152" s="341">
        <v>0</v>
      </c>
    </row>
    <row r="153" spans="1:52" ht="15.75" customHeight="1">
      <c r="A153" s="14"/>
      <c r="B153" s="14"/>
      <c r="C153" s="14"/>
      <c r="D153" s="340"/>
      <c r="E153" s="340"/>
      <c r="F153" s="341"/>
      <c r="G153" s="341"/>
      <c r="H153" s="341"/>
      <c r="I153" s="341"/>
      <c r="J153" s="341"/>
      <c r="K153" s="341"/>
      <c r="L153" s="341"/>
      <c r="M153" s="341"/>
      <c r="N153" s="341">
        <v>0</v>
      </c>
      <c r="O153" s="341">
        <v>0</v>
      </c>
      <c r="P153" s="341">
        <v>0</v>
      </c>
      <c r="Q153" s="341">
        <v>0</v>
      </c>
      <c r="R153" s="341">
        <v>0</v>
      </c>
      <c r="S153" s="341">
        <v>0</v>
      </c>
      <c r="T153" s="341">
        <v>0</v>
      </c>
      <c r="U153" s="341">
        <v>0</v>
      </c>
      <c r="V153" s="341">
        <v>0</v>
      </c>
      <c r="W153" s="341">
        <v>0</v>
      </c>
      <c r="X153" s="341">
        <v>0</v>
      </c>
      <c r="Y153" s="341">
        <v>0</v>
      </c>
      <c r="Z153" s="341">
        <v>0</v>
      </c>
      <c r="AA153" s="341">
        <v>0</v>
      </c>
      <c r="AB153" s="341">
        <v>0</v>
      </c>
      <c r="AC153" s="341">
        <v>0</v>
      </c>
      <c r="AD153" s="341">
        <v>0</v>
      </c>
      <c r="AE153" s="341">
        <v>0</v>
      </c>
      <c r="AF153" s="341">
        <v>0</v>
      </c>
      <c r="AG153" s="341">
        <v>0</v>
      </c>
      <c r="AH153" s="341">
        <v>0</v>
      </c>
      <c r="AI153" s="341">
        <v>0</v>
      </c>
      <c r="AJ153" s="341">
        <v>0</v>
      </c>
      <c r="AK153" s="341">
        <v>0</v>
      </c>
      <c r="AL153" s="341">
        <v>0</v>
      </c>
      <c r="AM153" s="341">
        <v>0</v>
      </c>
      <c r="AN153" s="341">
        <v>0</v>
      </c>
      <c r="AO153" s="341">
        <v>0</v>
      </c>
      <c r="AP153" s="341">
        <v>0</v>
      </c>
      <c r="AQ153" s="341">
        <v>0</v>
      </c>
      <c r="AR153" s="341">
        <v>0</v>
      </c>
      <c r="AS153" s="341">
        <v>0</v>
      </c>
      <c r="AT153" s="341">
        <v>0</v>
      </c>
      <c r="AU153" s="341">
        <v>0</v>
      </c>
      <c r="AV153" s="341">
        <v>0</v>
      </c>
      <c r="AW153" s="341">
        <v>0</v>
      </c>
      <c r="AX153" s="341">
        <v>0</v>
      </c>
      <c r="AY153" s="341">
        <v>0</v>
      </c>
      <c r="AZ153" s="341">
        <v>0</v>
      </c>
    </row>
    <row r="154" spans="1:52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29"/>
      <c r="AX154" s="14"/>
      <c r="AY154" s="14"/>
      <c r="AZ154" s="14"/>
    </row>
    <row r="155" spans="1:52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29"/>
      <c r="AX155" s="14"/>
      <c r="AY155" s="14"/>
      <c r="AZ155" s="14"/>
    </row>
    <row r="156" spans="1:52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29"/>
      <c r="AX156" s="14"/>
      <c r="AY156" s="14"/>
      <c r="AZ156" s="14"/>
    </row>
    <row r="157" spans="1:52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29"/>
      <c r="AX157" s="14"/>
      <c r="AY157" s="14"/>
      <c r="AZ157" s="14"/>
    </row>
    <row r="158" spans="1:52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29"/>
      <c r="AX158" s="14"/>
      <c r="AY158" s="14"/>
      <c r="AZ158" s="14"/>
    </row>
    <row r="159" spans="1:52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29"/>
      <c r="AX159" s="14"/>
      <c r="AY159" s="14"/>
      <c r="AZ159" s="14"/>
    </row>
    <row r="160" spans="1:52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29"/>
      <c r="AX160" s="14"/>
      <c r="AY160" s="14"/>
      <c r="AZ160" s="14"/>
    </row>
    <row r="161" spans="1:52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29"/>
      <c r="AX161" s="14"/>
      <c r="AY161" s="14"/>
      <c r="AZ161" s="14"/>
    </row>
    <row r="162" spans="1:52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29"/>
      <c r="AX162" s="14"/>
      <c r="AY162" s="14"/>
      <c r="AZ162" s="14"/>
    </row>
    <row r="163" spans="1:52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29"/>
      <c r="AX163" s="14"/>
      <c r="AY163" s="14"/>
      <c r="AZ163" s="14"/>
    </row>
    <row r="164" spans="1:52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29"/>
      <c r="AX164" s="14"/>
      <c r="AY164" s="14"/>
      <c r="AZ164" s="14"/>
    </row>
    <row r="165" spans="1:52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29"/>
      <c r="AX165" s="14"/>
      <c r="AY165" s="14"/>
      <c r="AZ165" s="14"/>
    </row>
    <row r="166" spans="1:52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29"/>
      <c r="AX166" s="14"/>
      <c r="AY166" s="14"/>
      <c r="AZ166" s="14"/>
    </row>
    <row r="167" spans="1:52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29"/>
      <c r="AX167" s="14"/>
      <c r="AY167" s="14"/>
      <c r="AZ167" s="14"/>
    </row>
    <row r="168" spans="1:52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29"/>
      <c r="AX168" s="14"/>
      <c r="AY168" s="14"/>
      <c r="AZ168" s="14"/>
    </row>
    <row r="169" spans="1:52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29"/>
      <c r="AX169" s="14"/>
      <c r="AY169" s="14"/>
      <c r="AZ169" s="14"/>
    </row>
    <row r="170" spans="1:52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29"/>
      <c r="AX170" s="14"/>
      <c r="AY170" s="14"/>
      <c r="AZ170" s="14"/>
    </row>
    <row r="171" spans="1:52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29"/>
      <c r="AX171" s="14"/>
      <c r="AY171" s="14"/>
      <c r="AZ171" s="14"/>
    </row>
    <row r="172" spans="1:52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29"/>
      <c r="AX172" s="14"/>
      <c r="AY172" s="14"/>
      <c r="AZ172" s="14"/>
    </row>
    <row r="173" spans="1:52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29"/>
      <c r="AX173" s="14"/>
      <c r="AY173" s="14"/>
      <c r="AZ173" s="14"/>
    </row>
    <row r="174" spans="1:52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29"/>
      <c r="AX174" s="14"/>
      <c r="AY174" s="14"/>
      <c r="AZ174" s="14"/>
    </row>
    <row r="175" spans="1:52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29"/>
      <c r="AX175" s="14"/>
      <c r="AY175" s="14"/>
      <c r="AZ175" s="14"/>
    </row>
    <row r="176" spans="1:52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29"/>
      <c r="AX176" s="14"/>
      <c r="AY176" s="14"/>
      <c r="AZ176" s="14"/>
    </row>
    <row r="177" spans="1:52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29"/>
      <c r="AX177" s="14"/>
      <c r="AY177" s="14"/>
      <c r="AZ177" s="14"/>
    </row>
    <row r="178" spans="1:52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29"/>
      <c r="AX178" s="14"/>
      <c r="AY178" s="14"/>
      <c r="AZ178" s="14"/>
    </row>
    <row r="179" spans="1:52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29"/>
      <c r="AX179" s="14"/>
      <c r="AY179" s="14"/>
      <c r="AZ179" s="14"/>
    </row>
    <row r="180" spans="1:52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29"/>
      <c r="AX180" s="14"/>
      <c r="AY180" s="14"/>
      <c r="AZ180" s="14"/>
    </row>
    <row r="181" spans="1:52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29"/>
      <c r="AX181" s="14"/>
      <c r="AY181" s="14"/>
      <c r="AZ181" s="14"/>
    </row>
    <row r="182" spans="1:52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29"/>
      <c r="AX182" s="14"/>
      <c r="AY182" s="14"/>
      <c r="AZ182" s="14"/>
    </row>
    <row r="183" spans="1:52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29"/>
      <c r="AX183" s="14"/>
      <c r="AY183" s="14"/>
      <c r="AZ183" s="14"/>
    </row>
    <row r="184" spans="1:52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29"/>
      <c r="AX184" s="14"/>
      <c r="AY184" s="14"/>
      <c r="AZ184" s="14"/>
    </row>
    <row r="185" spans="1:52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29"/>
      <c r="AX185" s="14"/>
      <c r="AY185" s="14"/>
      <c r="AZ185" s="14"/>
    </row>
    <row r="186" spans="1:52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29"/>
      <c r="AX186" s="14"/>
      <c r="AY186" s="14"/>
      <c r="AZ186" s="14"/>
    </row>
    <row r="187" spans="1:52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29"/>
      <c r="AX187" s="14"/>
      <c r="AY187" s="14"/>
      <c r="AZ187" s="14"/>
    </row>
    <row r="188" spans="1:52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29"/>
      <c r="AX188" s="14"/>
      <c r="AY188" s="14"/>
      <c r="AZ188" s="14"/>
    </row>
    <row r="189" spans="1:52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29"/>
      <c r="AX189" s="14"/>
      <c r="AY189" s="14"/>
      <c r="AZ189" s="14"/>
    </row>
    <row r="190" spans="1:52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29"/>
      <c r="AX190" s="14"/>
      <c r="AY190" s="14"/>
      <c r="AZ190" s="14"/>
    </row>
    <row r="191" spans="1:52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29"/>
      <c r="AX191" s="14"/>
      <c r="AY191" s="14"/>
      <c r="AZ191" s="14"/>
    </row>
    <row r="192" spans="1:52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29"/>
      <c r="AX192" s="14"/>
      <c r="AY192" s="14"/>
      <c r="AZ192" s="14"/>
    </row>
    <row r="193" spans="1:52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29"/>
      <c r="AX193" s="14"/>
      <c r="AY193" s="14"/>
      <c r="AZ193" s="14"/>
    </row>
    <row r="194" spans="1:52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29"/>
      <c r="AX194" s="14"/>
      <c r="AY194" s="14"/>
      <c r="AZ194" s="14"/>
    </row>
    <row r="195" spans="1:52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29"/>
      <c r="AX195" s="14"/>
      <c r="AY195" s="14"/>
      <c r="AZ195" s="14"/>
    </row>
    <row r="196" spans="1:52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29"/>
      <c r="AX196" s="14"/>
      <c r="AY196" s="14"/>
      <c r="AZ196" s="14"/>
    </row>
    <row r="197" spans="1:52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29"/>
      <c r="AX197" s="14"/>
      <c r="AY197" s="14"/>
      <c r="AZ197" s="14"/>
    </row>
    <row r="198" spans="1:52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29"/>
      <c r="AX198" s="14"/>
      <c r="AY198" s="14"/>
      <c r="AZ198" s="14"/>
    </row>
    <row r="199" spans="1:52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29"/>
      <c r="AX199" s="14"/>
      <c r="AY199" s="14"/>
      <c r="AZ199" s="14"/>
    </row>
    <row r="200" spans="1:52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29"/>
      <c r="AX200" s="14"/>
      <c r="AY200" s="14"/>
      <c r="AZ200" s="14"/>
    </row>
    <row r="201" spans="1:52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29"/>
      <c r="AX201" s="14"/>
      <c r="AY201" s="14"/>
      <c r="AZ201" s="14"/>
    </row>
    <row r="202" spans="1:52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29"/>
      <c r="AX202" s="14"/>
      <c r="AY202" s="14"/>
      <c r="AZ202" s="14"/>
    </row>
    <row r="203" spans="1:52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29"/>
      <c r="AX203" s="14"/>
      <c r="AY203" s="14"/>
      <c r="AZ203" s="14"/>
    </row>
    <row r="204" spans="1:52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29"/>
      <c r="AX204" s="14"/>
      <c r="AY204" s="14"/>
      <c r="AZ204" s="14"/>
    </row>
    <row r="205" spans="1:52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29"/>
      <c r="AX205" s="14"/>
      <c r="AY205" s="14"/>
      <c r="AZ205" s="14"/>
    </row>
    <row r="206" spans="1:52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29"/>
      <c r="AX206" s="14"/>
      <c r="AY206" s="14"/>
      <c r="AZ206" s="14"/>
    </row>
    <row r="207" spans="1:52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29"/>
      <c r="AX207" s="14"/>
      <c r="AY207" s="14"/>
      <c r="AZ207" s="14"/>
    </row>
    <row r="208" spans="1:52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29"/>
      <c r="AX208" s="14"/>
      <c r="AY208" s="14"/>
      <c r="AZ208" s="14"/>
    </row>
    <row r="209" spans="1:52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29"/>
      <c r="AX209" s="14"/>
      <c r="AY209" s="14"/>
      <c r="AZ209" s="14"/>
    </row>
    <row r="210" spans="1:52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29"/>
      <c r="AX210" s="14"/>
      <c r="AY210" s="14"/>
      <c r="AZ210" s="14"/>
    </row>
    <row r="211" spans="1:52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29"/>
      <c r="AX211" s="14"/>
      <c r="AY211" s="14"/>
      <c r="AZ211" s="14"/>
    </row>
    <row r="212" spans="1:52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29"/>
      <c r="AX212" s="14"/>
      <c r="AY212" s="14"/>
      <c r="AZ212" s="14"/>
    </row>
    <row r="213" spans="1:52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29"/>
      <c r="AX213" s="14"/>
      <c r="AY213" s="14"/>
      <c r="AZ213" s="14"/>
    </row>
    <row r="214" spans="1:52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29"/>
      <c r="AX214" s="14"/>
      <c r="AY214" s="14"/>
      <c r="AZ214" s="14"/>
    </row>
    <row r="215" spans="1:52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29"/>
      <c r="AX215" s="14"/>
      <c r="AY215" s="14"/>
      <c r="AZ215" s="14"/>
    </row>
    <row r="216" spans="1:52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29"/>
      <c r="AX216" s="14"/>
      <c r="AY216" s="14"/>
      <c r="AZ216" s="14"/>
    </row>
    <row r="217" spans="1:52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29"/>
      <c r="AX217" s="14"/>
      <c r="AY217" s="14"/>
      <c r="AZ217" s="14"/>
    </row>
    <row r="218" spans="1:52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29"/>
      <c r="AX218" s="14"/>
      <c r="AY218" s="14"/>
      <c r="AZ218" s="14"/>
    </row>
    <row r="219" spans="1:52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29"/>
      <c r="AX219" s="14"/>
      <c r="AY219" s="14"/>
      <c r="AZ219" s="14"/>
    </row>
    <row r="220" spans="1:52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29"/>
      <c r="AX220" s="14"/>
      <c r="AY220" s="14"/>
      <c r="AZ220" s="14"/>
    </row>
    <row r="221" spans="1:52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29"/>
      <c r="AX221" s="14"/>
      <c r="AY221" s="14"/>
      <c r="AZ221" s="14"/>
    </row>
    <row r="222" spans="1:52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29"/>
      <c r="AX222" s="14"/>
      <c r="AY222" s="14"/>
      <c r="AZ222" s="14"/>
    </row>
    <row r="223" spans="1:52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29"/>
      <c r="AX223" s="14"/>
      <c r="AY223" s="14"/>
      <c r="AZ223" s="14"/>
    </row>
    <row r="224" spans="1:52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29"/>
      <c r="AX224" s="14"/>
      <c r="AY224" s="14"/>
      <c r="AZ224" s="14"/>
    </row>
    <row r="225" spans="1:52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29"/>
      <c r="AX225" s="14"/>
      <c r="AY225" s="14"/>
      <c r="AZ225" s="14"/>
    </row>
    <row r="226" spans="1:52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29"/>
      <c r="AX226" s="14"/>
      <c r="AY226" s="14"/>
      <c r="AZ226" s="14"/>
    </row>
    <row r="227" spans="1:52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29"/>
      <c r="AX227" s="14"/>
      <c r="AY227" s="14"/>
      <c r="AZ227" s="14"/>
    </row>
    <row r="228" spans="1:52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29"/>
      <c r="AX228" s="14"/>
      <c r="AY228" s="14"/>
      <c r="AZ228" s="14"/>
    </row>
    <row r="229" spans="1:52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29"/>
      <c r="AX229" s="14"/>
      <c r="AY229" s="14"/>
      <c r="AZ229" s="14"/>
    </row>
    <row r="230" spans="1:52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29"/>
      <c r="AX230" s="14"/>
      <c r="AY230" s="14"/>
      <c r="AZ230" s="14"/>
    </row>
    <row r="231" spans="1:52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29"/>
      <c r="AX231" s="14"/>
      <c r="AY231" s="14"/>
      <c r="AZ231" s="14"/>
    </row>
    <row r="232" spans="1:52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29"/>
      <c r="AX232" s="14"/>
      <c r="AY232" s="14"/>
      <c r="AZ232" s="14"/>
    </row>
    <row r="233" spans="1:52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29"/>
      <c r="AX233" s="14"/>
      <c r="AY233" s="14"/>
      <c r="AZ233" s="14"/>
    </row>
    <row r="234" spans="1:52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29"/>
      <c r="AX234" s="14"/>
      <c r="AY234" s="14"/>
      <c r="AZ234" s="14"/>
    </row>
    <row r="235" spans="1:52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29"/>
      <c r="AX235" s="14"/>
      <c r="AY235" s="14"/>
      <c r="AZ235" s="14"/>
    </row>
    <row r="236" spans="1:52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29"/>
      <c r="AX236" s="14"/>
      <c r="AY236" s="14"/>
      <c r="AZ236" s="14"/>
    </row>
    <row r="237" spans="1:52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29"/>
      <c r="AX237" s="14"/>
      <c r="AY237" s="14"/>
      <c r="AZ237" s="14"/>
    </row>
    <row r="238" spans="1:52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29"/>
      <c r="AX238" s="14"/>
      <c r="AY238" s="14"/>
      <c r="AZ238" s="14"/>
    </row>
    <row r="239" spans="1:52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29"/>
      <c r="AX239" s="14"/>
      <c r="AY239" s="14"/>
      <c r="AZ239" s="14"/>
    </row>
    <row r="240" spans="1:52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29"/>
      <c r="AX240" s="14"/>
      <c r="AY240" s="14"/>
      <c r="AZ240" s="14"/>
    </row>
    <row r="241" spans="1:52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29"/>
      <c r="AX241" s="14"/>
      <c r="AY241" s="14"/>
      <c r="AZ241" s="14"/>
    </row>
    <row r="242" spans="1:52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29"/>
      <c r="AX242" s="14"/>
      <c r="AY242" s="14"/>
      <c r="AZ242" s="14"/>
    </row>
    <row r="243" spans="1:52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29"/>
      <c r="AX243" s="14"/>
      <c r="AY243" s="14"/>
      <c r="AZ243" s="14"/>
    </row>
    <row r="244" spans="1:52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29"/>
      <c r="AX244" s="14"/>
      <c r="AY244" s="14"/>
      <c r="AZ244" s="14"/>
    </row>
    <row r="245" spans="1:52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29"/>
      <c r="AX245" s="14"/>
      <c r="AY245" s="14"/>
      <c r="AZ245" s="14"/>
    </row>
    <row r="246" spans="1:52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29"/>
      <c r="AX246" s="14"/>
      <c r="AY246" s="14"/>
      <c r="AZ246" s="14"/>
    </row>
    <row r="247" spans="1:52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29"/>
      <c r="AX247" s="14"/>
      <c r="AY247" s="14"/>
      <c r="AZ247" s="14"/>
    </row>
    <row r="248" spans="1:52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29"/>
      <c r="AX248" s="14"/>
      <c r="AY248" s="14"/>
      <c r="AZ248" s="14"/>
    </row>
    <row r="249" spans="1:52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29"/>
      <c r="AX249" s="14"/>
      <c r="AY249" s="14"/>
      <c r="AZ249" s="14"/>
    </row>
    <row r="250" spans="1:52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29"/>
      <c r="AX250" s="14"/>
      <c r="AY250" s="14"/>
      <c r="AZ250" s="14"/>
    </row>
    <row r="251" spans="1:52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29"/>
      <c r="AX251" s="14"/>
      <c r="AY251" s="14"/>
      <c r="AZ251" s="14"/>
    </row>
    <row r="252" spans="1:52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29"/>
      <c r="AX252" s="14"/>
      <c r="AY252" s="14"/>
      <c r="AZ252" s="14"/>
    </row>
    <row r="253" spans="1:52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29"/>
      <c r="AX253" s="14"/>
      <c r="AY253" s="14"/>
      <c r="AZ253" s="14"/>
    </row>
    <row r="254" spans="1:52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29"/>
      <c r="AX254" s="14"/>
      <c r="AY254" s="14"/>
      <c r="AZ254" s="14"/>
    </row>
    <row r="255" spans="1:52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29"/>
      <c r="AX255" s="14"/>
      <c r="AY255" s="14"/>
      <c r="AZ255" s="14"/>
    </row>
    <row r="256" spans="1:52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29"/>
      <c r="AX256" s="14"/>
      <c r="AY256" s="14"/>
      <c r="AZ256" s="14"/>
    </row>
    <row r="257" spans="1:52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29"/>
      <c r="AX257" s="14"/>
      <c r="AY257" s="14"/>
      <c r="AZ257" s="14"/>
    </row>
    <row r="258" spans="1:52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29"/>
      <c r="AX258" s="14"/>
      <c r="AY258" s="14"/>
      <c r="AZ258" s="14"/>
    </row>
    <row r="259" spans="1:52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29"/>
      <c r="AX259" s="14"/>
      <c r="AY259" s="14"/>
      <c r="AZ259" s="14"/>
    </row>
    <row r="260" spans="1:52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29"/>
      <c r="AX260" s="14"/>
      <c r="AY260" s="14"/>
      <c r="AZ260" s="14"/>
    </row>
    <row r="261" spans="1:52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29"/>
      <c r="AX261" s="14"/>
      <c r="AY261" s="14"/>
      <c r="AZ261" s="14"/>
    </row>
    <row r="262" spans="1:52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29"/>
      <c r="AX262" s="14"/>
      <c r="AY262" s="14"/>
      <c r="AZ262" s="14"/>
    </row>
    <row r="263" spans="1:52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29"/>
      <c r="AX263" s="14"/>
      <c r="AY263" s="14"/>
      <c r="AZ263" s="14"/>
    </row>
    <row r="264" spans="1:52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29"/>
      <c r="AX264" s="14"/>
      <c r="AY264" s="14"/>
      <c r="AZ264" s="14"/>
    </row>
    <row r="265" spans="1:52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29"/>
      <c r="AX265" s="14"/>
      <c r="AY265" s="14"/>
      <c r="AZ265" s="14"/>
    </row>
    <row r="266" spans="1:52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29"/>
      <c r="AX266" s="14"/>
      <c r="AY266" s="14"/>
      <c r="AZ266" s="14"/>
    </row>
    <row r="267" spans="1:52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29"/>
      <c r="AX267" s="14"/>
      <c r="AY267" s="14"/>
      <c r="AZ267" s="14"/>
    </row>
    <row r="268" spans="1:52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29"/>
      <c r="AX268" s="14"/>
      <c r="AY268" s="14"/>
      <c r="AZ268" s="14"/>
    </row>
    <row r="269" spans="1:52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29"/>
      <c r="AX269" s="14"/>
      <c r="AY269" s="14"/>
      <c r="AZ269" s="14"/>
    </row>
    <row r="270" spans="1:52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29"/>
      <c r="AX270" s="14"/>
      <c r="AY270" s="14"/>
      <c r="AZ270" s="14"/>
    </row>
    <row r="271" spans="1:52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29"/>
      <c r="AX271" s="14"/>
      <c r="AY271" s="14"/>
      <c r="AZ271" s="14"/>
    </row>
    <row r="272" spans="1:52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29"/>
      <c r="AX272" s="14"/>
      <c r="AY272" s="14"/>
      <c r="AZ272" s="14"/>
    </row>
    <row r="273" spans="1:52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29"/>
      <c r="AX273" s="14"/>
      <c r="AY273" s="14"/>
      <c r="AZ273" s="14"/>
    </row>
    <row r="274" spans="1:52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29"/>
      <c r="AX274" s="14"/>
      <c r="AY274" s="14"/>
      <c r="AZ274" s="14"/>
    </row>
    <row r="275" spans="1:52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29"/>
      <c r="AX275" s="14"/>
      <c r="AY275" s="14"/>
      <c r="AZ275" s="14"/>
    </row>
    <row r="276" spans="1:52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29"/>
      <c r="AX276" s="14"/>
      <c r="AY276" s="14"/>
      <c r="AZ276" s="14"/>
    </row>
    <row r="277" spans="1:52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29"/>
      <c r="AX277" s="14"/>
      <c r="AY277" s="14"/>
      <c r="AZ277" s="14"/>
    </row>
    <row r="278" spans="1:52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29"/>
      <c r="AX278" s="14"/>
      <c r="AY278" s="14"/>
      <c r="AZ278" s="14"/>
    </row>
    <row r="279" spans="1:52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29"/>
      <c r="AX279" s="14"/>
      <c r="AY279" s="14"/>
      <c r="AZ279" s="14"/>
    </row>
    <row r="280" spans="1:52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29"/>
      <c r="AX280" s="14"/>
      <c r="AY280" s="14"/>
      <c r="AZ280" s="14"/>
    </row>
    <row r="281" spans="1:52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29"/>
      <c r="AX281" s="14"/>
      <c r="AY281" s="14"/>
      <c r="AZ281" s="14"/>
    </row>
    <row r="282" spans="1:52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29"/>
      <c r="AX282" s="14"/>
      <c r="AY282" s="14"/>
      <c r="AZ282" s="14"/>
    </row>
    <row r="283" spans="1:52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29"/>
      <c r="AX283" s="14"/>
      <c r="AY283" s="14"/>
      <c r="AZ283" s="14"/>
    </row>
    <row r="284" spans="1:52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29"/>
      <c r="AX284" s="14"/>
      <c r="AY284" s="14"/>
      <c r="AZ284" s="14"/>
    </row>
    <row r="285" spans="1:52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29"/>
      <c r="AX285" s="14"/>
      <c r="AY285" s="14"/>
      <c r="AZ285" s="14"/>
    </row>
    <row r="286" spans="1:52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29"/>
      <c r="AX286" s="14"/>
      <c r="AY286" s="14"/>
      <c r="AZ286" s="14"/>
    </row>
    <row r="287" spans="1:52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29"/>
      <c r="AX287" s="14"/>
      <c r="AY287" s="14"/>
      <c r="AZ287" s="14"/>
    </row>
    <row r="288" spans="1:52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29"/>
      <c r="AX288" s="14"/>
      <c r="AY288" s="14"/>
      <c r="AZ288" s="14"/>
    </row>
    <row r="289" spans="1:52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29"/>
      <c r="AX289" s="14"/>
      <c r="AY289" s="14"/>
      <c r="AZ289" s="14"/>
    </row>
    <row r="290" spans="1:52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29"/>
      <c r="AX290" s="14"/>
      <c r="AY290" s="14"/>
      <c r="AZ290" s="14"/>
    </row>
    <row r="291" spans="1:52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29"/>
      <c r="AX291" s="14"/>
      <c r="AY291" s="14"/>
      <c r="AZ291" s="14"/>
    </row>
    <row r="292" spans="1:52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29"/>
      <c r="AX292" s="14"/>
      <c r="AY292" s="14"/>
      <c r="AZ292" s="14"/>
    </row>
    <row r="293" spans="1:52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29"/>
      <c r="AX293" s="14"/>
      <c r="AY293" s="14"/>
      <c r="AZ293" s="14"/>
    </row>
    <row r="294" spans="1:52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29"/>
      <c r="AX294" s="14"/>
      <c r="AY294" s="14"/>
      <c r="AZ294" s="14"/>
    </row>
    <row r="295" spans="1:52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29"/>
      <c r="AX295" s="14"/>
      <c r="AY295" s="14"/>
      <c r="AZ295" s="14"/>
    </row>
    <row r="296" spans="1:52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29"/>
      <c r="AX296" s="14"/>
      <c r="AY296" s="14"/>
      <c r="AZ296" s="14"/>
    </row>
    <row r="297" spans="1:52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29"/>
      <c r="AX297" s="14"/>
      <c r="AY297" s="14"/>
      <c r="AZ297" s="14"/>
    </row>
    <row r="298" spans="1:52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29"/>
      <c r="AX298" s="14"/>
      <c r="AY298" s="14"/>
      <c r="AZ298" s="14"/>
    </row>
    <row r="299" spans="1:52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29"/>
      <c r="AX299" s="14"/>
      <c r="AY299" s="14"/>
      <c r="AZ299" s="14"/>
    </row>
    <row r="300" spans="1:52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29"/>
      <c r="AX300" s="14"/>
      <c r="AY300" s="14"/>
      <c r="AZ300" s="14"/>
    </row>
    <row r="301" spans="1:52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29"/>
      <c r="AX301" s="14"/>
      <c r="AY301" s="14"/>
      <c r="AZ301" s="14"/>
    </row>
    <row r="302" spans="1:52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29"/>
      <c r="AX302" s="14"/>
      <c r="AY302" s="14"/>
      <c r="AZ302" s="14"/>
    </row>
    <row r="303" spans="1:52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29"/>
      <c r="AX303" s="14"/>
      <c r="AY303" s="14"/>
      <c r="AZ303" s="14"/>
    </row>
    <row r="304" spans="1:52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29"/>
      <c r="AX304" s="14"/>
      <c r="AY304" s="14"/>
      <c r="AZ304" s="14"/>
    </row>
    <row r="305" spans="1:52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29"/>
      <c r="AX305" s="14"/>
      <c r="AY305" s="14"/>
      <c r="AZ305" s="14"/>
    </row>
    <row r="306" spans="1:52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29"/>
      <c r="AX306" s="14"/>
      <c r="AY306" s="14"/>
      <c r="AZ306" s="14"/>
    </row>
    <row r="307" spans="1:52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29"/>
      <c r="AX307" s="14"/>
      <c r="AY307" s="14"/>
      <c r="AZ307" s="14"/>
    </row>
    <row r="308" spans="1:52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29"/>
      <c r="AX308" s="14"/>
      <c r="AY308" s="14"/>
      <c r="AZ308" s="14"/>
    </row>
    <row r="309" spans="1:52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29"/>
      <c r="AX309" s="14"/>
      <c r="AY309" s="14"/>
      <c r="AZ309" s="14"/>
    </row>
    <row r="310" spans="1:52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29"/>
      <c r="AX310" s="14"/>
      <c r="AY310" s="14"/>
      <c r="AZ310" s="14"/>
    </row>
    <row r="311" spans="1:52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29"/>
      <c r="AX311" s="14"/>
      <c r="AY311" s="14"/>
      <c r="AZ311" s="14"/>
    </row>
    <row r="312" spans="1:52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29"/>
      <c r="AX312" s="14"/>
      <c r="AY312" s="14"/>
      <c r="AZ312" s="14"/>
    </row>
    <row r="313" spans="1:52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29"/>
      <c r="AX313" s="14"/>
      <c r="AY313" s="14"/>
      <c r="AZ313" s="14"/>
    </row>
    <row r="314" spans="1:52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29"/>
      <c r="AX314" s="14"/>
      <c r="AY314" s="14"/>
      <c r="AZ314" s="14"/>
    </row>
    <row r="315" spans="1:52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29"/>
      <c r="AX315" s="14"/>
      <c r="AY315" s="14"/>
      <c r="AZ315" s="14"/>
    </row>
    <row r="316" spans="1:52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29"/>
      <c r="AX316" s="14"/>
      <c r="AY316" s="14"/>
      <c r="AZ316" s="14"/>
    </row>
    <row r="317" spans="1:52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29"/>
      <c r="AX317" s="14"/>
      <c r="AY317" s="14"/>
      <c r="AZ317" s="14"/>
    </row>
    <row r="318" spans="1:52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29"/>
      <c r="AX318" s="14"/>
      <c r="AY318" s="14"/>
      <c r="AZ318" s="14"/>
    </row>
    <row r="319" spans="1:52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29"/>
      <c r="AX319" s="14"/>
      <c r="AY319" s="14"/>
      <c r="AZ319" s="14"/>
    </row>
    <row r="320" spans="1:52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29"/>
      <c r="AX320" s="14"/>
      <c r="AY320" s="14"/>
      <c r="AZ320" s="14"/>
    </row>
    <row r="321" spans="1:52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29"/>
      <c r="AX321" s="14"/>
      <c r="AY321" s="14"/>
      <c r="AZ321" s="14"/>
    </row>
    <row r="322" spans="1:52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29"/>
      <c r="AX322" s="14"/>
      <c r="AY322" s="14"/>
      <c r="AZ322" s="14"/>
    </row>
    <row r="323" spans="1:52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29"/>
      <c r="AX323" s="14"/>
      <c r="AY323" s="14"/>
      <c r="AZ323" s="14"/>
    </row>
    <row r="324" spans="1:52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29"/>
      <c r="AX324" s="14"/>
      <c r="AY324" s="14"/>
      <c r="AZ324" s="14"/>
    </row>
    <row r="325" spans="1:52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29"/>
      <c r="AX325" s="14"/>
      <c r="AY325" s="14"/>
      <c r="AZ325" s="14"/>
    </row>
    <row r="326" spans="1:52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29"/>
      <c r="AX326" s="14"/>
      <c r="AY326" s="14"/>
      <c r="AZ326" s="14"/>
    </row>
    <row r="327" spans="1:52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29"/>
      <c r="AX327" s="14"/>
      <c r="AY327" s="14"/>
      <c r="AZ327" s="14"/>
    </row>
    <row r="328" spans="1:52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29"/>
      <c r="AX328" s="14"/>
      <c r="AY328" s="14"/>
      <c r="AZ328" s="14"/>
    </row>
    <row r="329" spans="1:52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29"/>
      <c r="AX329" s="14"/>
      <c r="AY329" s="14"/>
      <c r="AZ329" s="14"/>
    </row>
    <row r="330" spans="1:52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29"/>
      <c r="AX330" s="14"/>
      <c r="AY330" s="14"/>
      <c r="AZ330" s="14"/>
    </row>
    <row r="331" spans="1:52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29"/>
      <c r="AX331" s="14"/>
      <c r="AY331" s="14"/>
      <c r="AZ331" s="14"/>
    </row>
    <row r="332" spans="1:52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29"/>
      <c r="AX332" s="14"/>
      <c r="AY332" s="14"/>
      <c r="AZ332" s="14"/>
    </row>
    <row r="333" spans="1:52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29"/>
      <c r="AX333" s="14"/>
      <c r="AY333" s="14"/>
      <c r="AZ333" s="14"/>
    </row>
    <row r="334" spans="1:52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29"/>
      <c r="AX334" s="14"/>
      <c r="AY334" s="14"/>
      <c r="AZ334" s="14"/>
    </row>
    <row r="335" spans="1:52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29"/>
      <c r="AX335" s="14"/>
      <c r="AY335" s="14"/>
      <c r="AZ335" s="14"/>
    </row>
    <row r="336" spans="1:52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29"/>
      <c r="AX336" s="14"/>
      <c r="AY336" s="14"/>
      <c r="AZ336" s="14"/>
    </row>
    <row r="337" spans="1:52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29"/>
      <c r="AX337" s="14"/>
      <c r="AY337" s="14"/>
      <c r="AZ337" s="14"/>
    </row>
    <row r="338" spans="1:52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29"/>
      <c r="AX338" s="14"/>
      <c r="AY338" s="14"/>
      <c r="AZ338" s="14"/>
    </row>
    <row r="339" spans="1:52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29"/>
      <c r="AX339" s="14"/>
      <c r="AY339" s="14"/>
      <c r="AZ339" s="14"/>
    </row>
    <row r="340" spans="1:52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29"/>
      <c r="AX340" s="14"/>
      <c r="AY340" s="14"/>
      <c r="AZ340" s="14"/>
    </row>
    <row r="341" spans="1:52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29"/>
      <c r="AX341" s="14"/>
      <c r="AY341" s="14"/>
      <c r="AZ341" s="14"/>
    </row>
    <row r="342" spans="1:52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29"/>
      <c r="AX342" s="14"/>
      <c r="AY342" s="14"/>
      <c r="AZ342" s="14"/>
    </row>
    <row r="343" spans="1:52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29"/>
      <c r="AX343" s="14"/>
      <c r="AY343" s="14"/>
      <c r="AZ343" s="14"/>
    </row>
    <row r="344" spans="1:52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29"/>
      <c r="AX344" s="14"/>
      <c r="AY344" s="14"/>
      <c r="AZ344" s="14"/>
    </row>
    <row r="345" spans="1:52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29"/>
      <c r="AX345" s="14"/>
      <c r="AY345" s="14"/>
      <c r="AZ345" s="14"/>
    </row>
    <row r="346" spans="1:52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29"/>
      <c r="AX346" s="14"/>
      <c r="AY346" s="14"/>
      <c r="AZ346" s="14"/>
    </row>
    <row r="347" spans="1:52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29"/>
      <c r="AX347" s="14"/>
      <c r="AY347" s="14"/>
      <c r="AZ347" s="14"/>
    </row>
    <row r="348" spans="1:52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29"/>
      <c r="AX348" s="14"/>
      <c r="AY348" s="14"/>
      <c r="AZ348" s="14"/>
    </row>
    <row r="349" spans="1:52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29"/>
      <c r="AX349" s="14"/>
      <c r="AY349" s="14"/>
      <c r="AZ349" s="14"/>
    </row>
    <row r="350" spans="1:52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29"/>
      <c r="AX350" s="14"/>
      <c r="AY350" s="14"/>
      <c r="AZ350" s="14"/>
    </row>
    <row r="351" spans="1:52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29"/>
      <c r="AX351" s="14"/>
      <c r="AY351" s="14"/>
      <c r="AZ351" s="14"/>
    </row>
    <row r="352" spans="1:52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29"/>
      <c r="AX352" s="14"/>
      <c r="AY352" s="14"/>
      <c r="AZ352" s="14"/>
    </row>
    <row r="353" spans="1:52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29"/>
      <c r="AX353" s="14"/>
      <c r="AY353" s="14"/>
      <c r="AZ353" s="14"/>
    </row>
    <row r="354" spans="1:52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29"/>
      <c r="AX354" s="14"/>
      <c r="AY354" s="14"/>
      <c r="AZ354" s="14"/>
    </row>
    <row r="355" spans="1:52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29"/>
      <c r="AX355" s="14"/>
      <c r="AY355" s="14"/>
      <c r="AZ355" s="14"/>
    </row>
    <row r="356" spans="1:52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29"/>
      <c r="AX356" s="14"/>
      <c r="AY356" s="14"/>
      <c r="AZ356" s="14"/>
    </row>
    <row r="357" spans="1:52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29"/>
      <c r="AX357" s="14"/>
      <c r="AY357" s="14"/>
      <c r="AZ357" s="14"/>
    </row>
    <row r="358" spans="1:52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29"/>
      <c r="AX358" s="14"/>
      <c r="AY358" s="14"/>
      <c r="AZ358" s="14"/>
    </row>
    <row r="359" spans="1:52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29"/>
      <c r="AX359" s="14"/>
      <c r="AY359" s="14"/>
      <c r="AZ359" s="14"/>
    </row>
    <row r="360" spans="1:52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29"/>
      <c r="AX360" s="14"/>
      <c r="AY360" s="14"/>
      <c r="AZ360" s="14"/>
    </row>
    <row r="361" spans="1:52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29"/>
      <c r="AX361" s="14"/>
      <c r="AY361" s="14"/>
      <c r="AZ361" s="14"/>
    </row>
    <row r="362" spans="1:52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29"/>
      <c r="AX362" s="14"/>
      <c r="AY362" s="14"/>
      <c r="AZ362" s="14"/>
    </row>
    <row r="363" spans="1:52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29"/>
      <c r="AX363" s="14"/>
      <c r="AY363" s="14"/>
      <c r="AZ363" s="14"/>
    </row>
    <row r="364" spans="1:52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29"/>
      <c r="AX364" s="14"/>
      <c r="AY364" s="14"/>
      <c r="AZ364" s="14"/>
    </row>
    <row r="365" spans="1:52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29"/>
      <c r="AX365" s="14"/>
      <c r="AY365" s="14"/>
      <c r="AZ365" s="14"/>
    </row>
    <row r="366" spans="1:52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29"/>
      <c r="AX366" s="14"/>
      <c r="AY366" s="14"/>
      <c r="AZ366" s="14"/>
    </row>
    <row r="367" spans="1:52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29"/>
      <c r="AX367" s="14"/>
      <c r="AY367" s="14"/>
      <c r="AZ367" s="14"/>
    </row>
    <row r="368" spans="1:52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29"/>
      <c r="AX368" s="14"/>
      <c r="AY368" s="14"/>
      <c r="AZ368" s="14"/>
    </row>
    <row r="369" spans="1:52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29"/>
      <c r="AX369" s="14"/>
      <c r="AY369" s="14"/>
      <c r="AZ369" s="14"/>
    </row>
    <row r="370" spans="1:52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29"/>
      <c r="AX370" s="14"/>
      <c r="AY370" s="14"/>
      <c r="AZ370" s="14"/>
    </row>
    <row r="371" spans="1:52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29"/>
      <c r="AX371" s="14"/>
      <c r="AY371" s="14"/>
      <c r="AZ371" s="14"/>
    </row>
    <row r="372" spans="1:52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29"/>
      <c r="AX372" s="14"/>
      <c r="AY372" s="14"/>
      <c r="AZ372" s="14"/>
    </row>
    <row r="373" spans="1:52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29"/>
      <c r="AX373" s="14"/>
      <c r="AY373" s="14"/>
      <c r="AZ373" s="14"/>
    </row>
    <row r="374" spans="1:52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29"/>
      <c r="AX374" s="14"/>
      <c r="AY374" s="14"/>
      <c r="AZ374" s="14"/>
    </row>
    <row r="375" spans="1:52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29"/>
      <c r="AX375" s="14"/>
      <c r="AY375" s="14"/>
      <c r="AZ375" s="14"/>
    </row>
    <row r="376" spans="1:52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29"/>
      <c r="AX376" s="14"/>
      <c r="AY376" s="14"/>
      <c r="AZ376" s="14"/>
    </row>
    <row r="377" spans="1:52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29"/>
      <c r="AX377" s="14"/>
      <c r="AY377" s="14"/>
      <c r="AZ377" s="14"/>
    </row>
    <row r="378" spans="1:52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29"/>
      <c r="AX378" s="14"/>
      <c r="AY378" s="14"/>
      <c r="AZ378" s="14"/>
    </row>
    <row r="379" spans="1:52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29"/>
      <c r="AX379" s="14"/>
      <c r="AY379" s="14"/>
      <c r="AZ379" s="14"/>
    </row>
    <row r="380" spans="1:52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29"/>
      <c r="AX380" s="14"/>
      <c r="AY380" s="14"/>
      <c r="AZ380" s="14"/>
    </row>
    <row r="381" spans="1:52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29"/>
      <c r="AX381" s="14"/>
      <c r="AY381" s="14"/>
      <c r="AZ381" s="14"/>
    </row>
    <row r="382" spans="1:52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29"/>
      <c r="AX382" s="14"/>
      <c r="AY382" s="14"/>
      <c r="AZ382" s="14"/>
    </row>
    <row r="383" spans="1:52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29"/>
      <c r="AX383" s="14"/>
      <c r="AY383" s="14"/>
      <c r="AZ383" s="14"/>
    </row>
    <row r="384" spans="1:52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29"/>
      <c r="AX384" s="14"/>
      <c r="AY384" s="14"/>
      <c r="AZ384" s="14"/>
    </row>
    <row r="385" spans="1:52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29"/>
      <c r="AX385" s="14"/>
      <c r="AY385" s="14"/>
      <c r="AZ385" s="14"/>
    </row>
    <row r="386" spans="1:52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29"/>
      <c r="AX386" s="14"/>
      <c r="AY386" s="14"/>
      <c r="AZ386" s="14"/>
    </row>
    <row r="387" spans="1:52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29"/>
      <c r="AX387" s="14"/>
      <c r="AY387" s="14"/>
      <c r="AZ387" s="14"/>
    </row>
    <row r="388" spans="1:52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29"/>
      <c r="AX388" s="14"/>
      <c r="AY388" s="14"/>
      <c r="AZ388" s="14"/>
    </row>
    <row r="389" spans="1:52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29"/>
      <c r="AX389" s="14"/>
      <c r="AY389" s="14"/>
      <c r="AZ389" s="14"/>
    </row>
    <row r="390" spans="1:52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29"/>
      <c r="AX390" s="14"/>
      <c r="AY390" s="14"/>
      <c r="AZ390" s="14"/>
    </row>
    <row r="391" spans="1:52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29"/>
      <c r="AX391" s="14"/>
      <c r="AY391" s="14"/>
      <c r="AZ391" s="14"/>
    </row>
    <row r="392" spans="1:52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29"/>
      <c r="AX392" s="14"/>
      <c r="AY392" s="14"/>
      <c r="AZ392" s="14"/>
    </row>
    <row r="393" spans="1:52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29"/>
      <c r="AX393" s="14"/>
      <c r="AY393" s="14"/>
      <c r="AZ393" s="14"/>
    </row>
    <row r="394" spans="1:52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29"/>
      <c r="AX394" s="14"/>
      <c r="AY394" s="14"/>
      <c r="AZ394" s="14"/>
    </row>
    <row r="395" spans="1:52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29"/>
      <c r="AX395" s="14"/>
      <c r="AY395" s="14"/>
      <c r="AZ395" s="14"/>
    </row>
    <row r="396" spans="1:52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29"/>
      <c r="AX396" s="14"/>
      <c r="AY396" s="14"/>
      <c r="AZ396" s="14"/>
    </row>
    <row r="397" spans="1:52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29"/>
      <c r="AX397" s="14"/>
      <c r="AY397" s="14"/>
      <c r="AZ397" s="14"/>
    </row>
    <row r="398" spans="1:52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29"/>
      <c r="AX398" s="14"/>
      <c r="AY398" s="14"/>
      <c r="AZ398" s="14"/>
    </row>
    <row r="399" spans="1:52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29"/>
      <c r="AX399" s="14"/>
      <c r="AY399" s="14"/>
      <c r="AZ399" s="14"/>
    </row>
    <row r="400" spans="1:52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29"/>
      <c r="AX400" s="14"/>
      <c r="AY400" s="14"/>
      <c r="AZ400" s="14"/>
    </row>
    <row r="401" spans="1:52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29"/>
      <c r="AX401" s="14"/>
      <c r="AY401" s="14"/>
      <c r="AZ401" s="14"/>
    </row>
    <row r="402" spans="1:52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29"/>
      <c r="AX402" s="14"/>
      <c r="AY402" s="14"/>
      <c r="AZ402" s="14"/>
    </row>
    <row r="403" spans="1:52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29"/>
      <c r="AX403" s="14"/>
      <c r="AY403" s="14"/>
      <c r="AZ403" s="14"/>
    </row>
    <row r="404" spans="1:52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29"/>
      <c r="AX404" s="14"/>
      <c r="AY404" s="14"/>
      <c r="AZ404" s="14"/>
    </row>
    <row r="405" spans="1:52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29"/>
      <c r="AX405" s="14"/>
      <c r="AY405" s="14"/>
      <c r="AZ405" s="14"/>
    </row>
    <row r="406" spans="1:52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29"/>
      <c r="AX406" s="14"/>
      <c r="AY406" s="14"/>
      <c r="AZ406" s="14"/>
    </row>
    <row r="407" spans="1:52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29"/>
      <c r="AX407" s="14"/>
      <c r="AY407" s="14"/>
      <c r="AZ407" s="14"/>
    </row>
    <row r="408" spans="1:52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29"/>
      <c r="AX408" s="14"/>
      <c r="AY408" s="14"/>
      <c r="AZ408" s="14"/>
    </row>
    <row r="409" spans="1:52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29"/>
      <c r="AX409" s="14"/>
      <c r="AY409" s="14"/>
      <c r="AZ409" s="14"/>
    </row>
    <row r="410" spans="1:52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29"/>
      <c r="AX410" s="14"/>
      <c r="AY410" s="14"/>
      <c r="AZ410" s="14"/>
    </row>
    <row r="411" spans="1:52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29"/>
      <c r="AX411" s="14"/>
      <c r="AY411" s="14"/>
      <c r="AZ411" s="14"/>
    </row>
    <row r="412" spans="1:52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29"/>
      <c r="AX412" s="14"/>
      <c r="AY412" s="14"/>
      <c r="AZ412" s="14"/>
    </row>
    <row r="413" spans="1:52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29"/>
      <c r="AX413" s="14"/>
      <c r="AY413" s="14"/>
      <c r="AZ413" s="14"/>
    </row>
    <row r="414" spans="1:52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29"/>
      <c r="AX414" s="14"/>
      <c r="AY414" s="14"/>
      <c r="AZ414" s="14"/>
    </row>
    <row r="415" spans="1:52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29"/>
      <c r="AX415" s="14"/>
      <c r="AY415" s="14"/>
      <c r="AZ415" s="14"/>
    </row>
    <row r="416" spans="1:52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29"/>
      <c r="AX416" s="14"/>
      <c r="AY416" s="14"/>
      <c r="AZ416" s="14"/>
    </row>
    <row r="417" spans="1:52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29"/>
      <c r="AX417" s="14"/>
      <c r="AY417" s="14"/>
      <c r="AZ417" s="14"/>
    </row>
    <row r="418" spans="1:52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29"/>
      <c r="AX418" s="14"/>
      <c r="AY418" s="14"/>
      <c r="AZ418" s="14"/>
    </row>
    <row r="419" spans="1:52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29"/>
      <c r="AX419" s="14"/>
      <c r="AY419" s="14"/>
      <c r="AZ419" s="14"/>
    </row>
    <row r="420" spans="1:52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29"/>
      <c r="AX420" s="14"/>
      <c r="AY420" s="14"/>
      <c r="AZ420" s="14"/>
    </row>
    <row r="421" spans="1:52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29"/>
      <c r="AX421" s="14"/>
      <c r="AY421" s="14"/>
      <c r="AZ421" s="14"/>
    </row>
    <row r="422" spans="1:52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29"/>
      <c r="AX422" s="14"/>
      <c r="AY422" s="14"/>
      <c r="AZ422" s="14"/>
    </row>
    <row r="423" spans="1:52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29"/>
      <c r="AX423" s="14"/>
      <c r="AY423" s="14"/>
      <c r="AZ423" s="14"/>
    </row>
    <row r="424" spans="1:52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29"/>
      <c r="AX424" s="14"/>
      <c r="AY424" s="14"/>
      <c r="AZ424" s="14"/>
    </row>
    <row r="425" spans="1:52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29"/>
      <c r="AX425" s="14"/>
      <c r="AY425" s="14"/>
      <c r="AZ425" s="14"/>
    </row>
    <row r="426" spans="1:52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29"/>
      <c r="AX426" s="14"/>
      <c r="AY426" s="14"/>
      <c r="AZ426" s="14"/>
    </row>
    <row r="427" spans="1:52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29"/>
      <c r="AX427" s="14"/>
      <c r="AY427" s="14"/>
      <c r="AZ427" s="14"/>
    </row>
    <row r="428" spans="1:52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29"/>
      <c r="AX428" s="14"/>
      <c r="AY428" s="14"/>
      <c r="AZ428" s="14"/>
    </row>
    <row r="429" spans="1:52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29"/>
      <c r="AX429" s="14"/>
      <c r="AY429" s="14"/>
      <c r="AZ429" s="14"/>
    </row>
    <row r="430" spans="1:52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29"/>
      <c r="AX430" s="14"/>
      <c r="AY430" s="14"/>
      <c r="AZ430" s="14"/>
    </row>
    <row r="431" spans="1:52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29"/>
      <c r="AX431" s="14"/>
      <c r="AY431" s="14"/>
      <c r="AZ431" s="14"/>
    </row>
    <row r="432" spans="1:52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29"/>
      <c r="AX432" s="14"/>
      <c r="AY432" s="14"/>
      <c r="AZ432" s="14"/>
    </row>
    <row r="433" spans="1:52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29"/>
      <c r="AX433" s="14"/>
      <c r="AY433" s="14"/>
      <c r="AZ433" s="14"/>
    </row>
    <row r="434" spans="1:52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29"/>
      <c r="AX434" s="14"/>
      <c r="AY434" s="14"/>
      <c r="AZ434" s="14"/>
    </row>
    <row r="435" spans="1:52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29"/>
      <c r="AX435" s="14"/>
      <c r="AY435" s="14"/>
      <c r="AZ435" s="14"/>
    </row>
    <row r="436" spans="1:52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29"/>
      <c r="AX436" s="14"/>
      <c r="AY436" s="14"/>
      <c r="AZ436" s="14"/>
    </row>
    <row r="437" spans="1:52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29"/>
      <c r="AX437" s="14"/>
      <c r="AY437" s="14"/>
      <c r="AZ437" s="14"/>
    </row>
    <row r="438" spans="1:52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29"/>
      <c r="AX438" s="14"/>
      <c r="AY438" s="14"/>
      <c r="AZ438" s="14"/>
    </row>
    <row r="439" spans="1:52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29"/>
      <c r="AX439" s="14"/>
      <c r="AY439" s="14"/>
      <c r="AZ439" s="14"/>
    </row>
    <row r="440" spans="1:52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29"/>
      <c r="AX440" s="14"/>
      <c r="AY440" s="14"/>
      <c r="AZ440" s="14"/>
    </row>
    <row r="441" spans="1:52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29"/>
      <c r="AX441" s="14"/>
      <c r="AY441" s="14"/>
      <c r="AZ441" s="14"/>
    </row>
    <row r="442" spans="1:52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29"/>
      <c r="AX442" s="14"/>
      <c r="AY442" s="14"/>
      <c r="AZ442" s="14"/>
    </row>
    <row r="443" spans="1:52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29"/>
      <c r="AX443" s="14"/>
      <c r="AY443" s="14"/>
      <c r="AZ443" s="14"/>
    </row>
    <row r="444" spans="1:52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29"/>
      <c r="AX444" s="14"/>
      <c r="AY444" s="14"/>
      <c r="AZ444" s="14"/>
    </row>
    <row r="445" spans="1:52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29"/>
      <c r="AX445" s="14"/>
      <c r="AY445" s="14"/>
      <c r="AZ445" s="14"/>
    </row>
    <row r="446" spans="1:52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29"/>
      <c r="AX446" s="14"/>
      <c r="AY446" s="14"/>
      <c r="AZ446" s="14"/>
    </row>
    <row r="447" spans="1:52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29"/>
      <c r="AX447" s="14"/>
      <c r="AY447" s="14"/>
      <c r="AZ447" s="14"/>
    </row>
    <row r="448" spans="1:52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29"/>
      <c r="AX448" s="14"/>
      <c r="AY448" s="14"/>
      <c r="AZ448" s="14"/>
    </row>
    <row r="449" spans="1:52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29"/>
      <c r="AX449" s="14"/>
      <c r="AY449" s="14"/>
      <c r="AZ449" s="14"/>
    </row>
    <row r="450" spans="1:52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29"/>
      <c r="AX450" s="14"/>
      <c r="AY450" s="14"/>
      <c r="AZ450" s="14"/>
    </row>
    <row r="451" spans="1:52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29"/>
      <c r="AX451" s="14"/>
      <c r="AY451" s="14"/>
      <c r="AZ451" s="14"/>
    </row>
    <row r="452" spans="1:52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29"/>
      <c r="AX452" s="14"/>
      <c r="AY452" s="14"/>
      <c r="AZ452" s="14"/>
    </row>
    <row r="453" spans="1:52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29"/>
      <c r="AX453" s="14"/>
      <c r="AY453" s="14"/>
      <c r="AZ453" s="14"/>
    </row>
    <row r="454" spans="1:52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29"/>
      <c r="AX454" s="14"/>
      <c r="AY454" s="14"/>
      <c r="AZ454" s="14"/>
    </row>
    <row r="455" spans="1:52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29"/>
      <c r="AX455" s="14"/>
      <c r="AY455" s="14"/>
      <c r="AZ455" s="14"/>
    </row>
    <row r="456" spans="1:52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29"/>
      <c r="AX456" s="14"/>
      <c r="AY456" s="14"/>
      <c r="AZ456" s="14"/>
    </row>
    <row r="457" spans="1:52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29"/>
      <c r="AX457" s="14"/>
      <c r="AY457" s="14"/>
      <c r="AZ457" s="14"/>
    </row>
    <row r="458" spans="1:52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29"/>
      <c r="AX458" s="14"/>
      <c r="AY458" s="14"/>
      <c r="AZ458" s="14"/>
    </row>
    <row r="459" spans="1:52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29"/>
      <c r="AX459" s="14"/>
      <c r="AY459" s="14"/>
      <c r="AZ459" s="14"/>
    </row>
    <row r="460" spans="1:52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29"/>
      <c r="AX460" s="14"/>
      <c r="AY460" s="14"/>
      <c r="AZ460" s="14"/>
    </row>
    <row r="461" spans="1:52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29"/>
      <c r="AX461" s="14"/>
      <c r="AY461" s="14"/>
      <c r="AZ461" s="14"/>
    </row>
    <row r="462" spans="1:52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29"/>
      <c r="AX462" s="14"/>
      <c r="AY462" s="14"/>
      <c r="AZ462" s="14"/>
    </row>
    <row r="463" spans="1:52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29"/>
      <c r="AX463" s="14"/>
      <c r="AY463" s="14"/>
      <c r="AZ463" s="14"/>
    </row>
    <row r="464" spans="1:52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29"/>
      <c r="AX464" s="14"/>
      <c r="AY464" s="14"/>
      <c r="AZ464" s="14"/>
    </row>
    <row r="465" spans="1:52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29"/>
      <c r="AX465" s="14"/>
      <c r="AY465" s="14"/>
      <c r="AZ465" s="14"/>
    </row>
    <row r="466" spans="1:52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29"/>
      <c r="AX466" s="14"/>
      <c r="AY466" s="14"/>
      <c r="AZ466" s="14"/>
    </row>
    <row r="467" spans="1:52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29"/>
      <c r="AX467" s="14"/>
      <c r="AY467" s="14"/>
      <c r="AZ467" s="14"/>
    </row>
    <row r="468" spans="1:52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29"/>
      <c r="AX468" s="14"/>
      <c r="AY468" s="14"/>
      <c r="AZ468" s="14"/>
    </row>
    <row r="469" spans="1:52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29"/>
      <c r="AX469" s="14"/>
      <c r="AY469" s="14"/>
      <c r="AZ469" s="14"/>
    </row>
    <row r="470" spans="1:52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29"/>
      <c r="AX470" s="14"/>
      <c r="AY470" s="14"/>
      <c r="AZ470" s="14"/>
    </row>
    <row r="471" spans="1:52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29"/>
      <c r="AX471" s="14"/>
      <c r="AY471" s="14"/>
      <c r="AZ471" s="14"/>
    </row>
    <row r="472" spans="1:52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29"/>
      <c r="AX472" s="14"/>
      <c r="AY472" s="14"/>
      <c r="AZ472" s="14"/>
    </row>
    <row r="473" spans="1:52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29"/>
      <c r="AX473" s="14"/>
      <c r="AY473" s="14"/>
      <c r="AZ473" s="14"/>
    </row>
    <row r="474" spans="1:52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29"/>
      <c r="AX474" s="14"/>
      <c r="AY474" s="14"/>
      <c r="AZ474" s="14"/>
    </row>
    <row r="475" spans="1:52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29"/>
      <c r="AX475" s="14"/>
      <c r="AY475" s="14"/>
      <c r="AZ475" s="14"/>
    </row>
    <row r="476" spans="1:52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29"/>
      <c r="AX476" s="14"/>
      <c r="AY476" s="14"/>
      <c r="AZ476" s="14"/>
    </row>
    <row r="477" spans="1:52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29"/>
      <c r="AX477" s="14"/>
      <c r="AY477" s="14"/>
      <c r="AZ477" s="14"/>
    </row>
    <row r="478" spans="1:52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29"/>
      <c r="AX478" s="14"/>
      <c r="AY478" s="14"/>
      <c r="AZ478" s="14"/>
    </row>
    <row r="479" spans="1:52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29"/>
      <c r="AX479" s="14"/>
      <c r="AY479" s="14"/>
      <c r="AZ479" s="14"/>
    </row>
    <row r="480" spans="1:52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29"/>
      <c r="AX480" s="14"/>
      <c r="AY480" s="14"/>
      <c r="AZ480" s="14"/>
    </row>
    <row r="481" spans="1:52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29"/>
      <c r="AX481" s="14"/>
      <c r="AY481" s="14"/>
      <c r="AZ481" s="14"/>
    </row>
    <row r="482" spans="1:52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29"/>
      <c r="AX482" s="14"/>
      <c r="AY482" s="14"/>
      <c r="AZ482" s="14"/>
    </row>
    <row r="483" spans="1:52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29"/>
      <c r="AX483" s="14"/>
      <c r="AY483" s="14"/>
      <c r="AZ483" s="14"/>
    </row>
    <row r="484" spans="1:52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29"/>
      <c r="AX484" s="14"/>
      <c r="AY484" s="14"/>
      <c r="AZ484" s="14"/>
    </row>
    <row r="485" spans="1:52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29"/>
      <c r="AX485" s="14"/>
      <c r="AY485" s="14"/>
      <c r="AZ485" s="14"/>
    </row>
    <row r="486" spans="1:52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29"/>
      <c r="AX486" s="14"/>
      <c r="AY486" s="14"/>
      <c r="AZ486" s="14"/>
    </row>
    <row r="487" spans="1:52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29"/>
      <c r="AX487" s="14"/>
      <c r="AY487" s="14"/>
      <c r="AZ487" s="14"/>
    </row>
    <row r="488" spans="1:52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29"/>
      <c r="AX488" s="14"/>
      <c r="AY488" s="14"/>
      <c r="AZ488" s="14"/>
    </row>
    <row r="489" spans="1:52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29"/>
      <c r="AX489" s="14"/>
      <c r="AY489" s="14"/>
      <c r="AZ489" s="14"/>
    </row>
    <row r="490" spans="1:52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29"/>
      <c r="AX490" s="14"/>
      <c r="AY490" s="14"/>
      <c r="AZ490" s="14"/>
    </row>
    <row r="491" spans="1:52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29"/>
      <c r="AX491" s="14"/>
      <c r="AY491" s="14"/>
      <c r="AZ491" s="14"/>
    </row>
    <row r="492" spans="1:52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29"/>
      <c r="AX492" s="14"/>
      <c r="AY492" s="14"/>
      <c r="AZ492" s="14"/>
    </row>
    <row r="493" spans="1:52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29"/>
      <c r="AX493" s="14"/>
      <c r="AY493" s="14"/>
      <c r="AZ493" s="14"/>
    </row>
    <row r="494" spans="1:52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29"/>
      <c r="AX494" s="14"/>
      <c r="AY494" s="14"/>
      <c r="AZ494" s="14"/>
    </row>
    <row r="495" spans="1:52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29"/>
      <c r="AX495" s="14"/>
      <c r="AY495" s="14"/>
      <c r="AZ495" s="14"/>
    </row>
    <row r="496" spans="1:52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29"/>
      <c r="AX496" s="14"/>
      <c r="AY496" s="14"/>
      <c r="AZ496" s="14"/>
    </row>
    <row r="497" spans="1:52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29"/>
      <c r="AX497" s="14"/>
      <c r="AY497" s="14"/>
      <c r="AZ497" s="14"/>
    </row>
    <row r="498" spans="1:52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29"/>
      <c r="AX498" s="14"/>
      <c r="AY498" s="14"/>
      <c r="AZ498" s="14"/>
    </row>
    <row r="499" spans="1:52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29"/>
      <c r="AX499" s="14"/>
      <c r="AY499" s="14"/>
      <c r="AZ499" s="14"/>
    </row>
    <row r="500" spans="1:52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29"/>
      <c r="AX500" s="14"/>
      <c r="AY500" s="14"/>
      <c r="AZ500" s="14"/>
    </row>
    <row r="501" spans="1:52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29"/>
      <c r="AX501" s="14"/>
      <c r="AY501" s="14"/>
      <c r="AZ501" s="14"/>
    </row>
    <row r="502" spans="1:52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29"/>
      <c r="AX502" s="14"/>
      <c r="AY502" s="14"/>
      <c r="AZ502" s="14"/>
    </row>
    <row r="503" spans="1:52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29"/>
      <c r="AX503" s="14"/>
      <c r="AY503" s="14"/>
      <c r="AZ503" s="14"/>
    </row>
    <row r="504" spans="1:52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29"/>
      <c r="AX504" s="14"/>
      <c r="AY504" s="14"/>
      <c r="AZ504" s="14"/>
    </row>
    <row r="505" spans="1:52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29"/>
      <c r="AX505" s="14"/>
      <c r="AY505" s="14"/>
      <c r="AZ505" s="14"/>
    </row>
    <row r="506" spans="1:52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29"/>
      <c r="AX506" s="14"/>
      <c r="AY506" s="14"/>
      <c r="AZ506" s="14"/>
    </row>
    <row r="507" spans="1:52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29"/>
      <c r="AX507" s="14"/>
      <c r="AY507" s="14"/>
      <c r="AZ507" s="14"/>
    </row>
    <row r="508" spans="1:52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29"/>
      <c r="AX508" s="14"/>
      <c r="AY508" s="14"/>
      <c r="AZ508" s="14"/>
    </row>
    <row r="509" spans="1:52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29"/>
      <c r="AX509" s="14"/>
      <c r="AY509" s="14"/>
      <c r="AZ509" s="14"/>
    </row>
    <row r="510" spans="1:52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29"/>
      <c r="AX510" s="14"/>
      <c r="AY510" s="14"/>
      <c r="AZ510" s="14"/>
    </row>
    <row r="511" spans="1:52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29"/>
      <c r="AX511" s="14"/>
      <c r="AY511" s="14"/>
      <c r="AZ511" s="14"/>
    </row>
    <row r="512" spans="1:52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29"/>
      <c r="AX512" s="14"/>
      <c r="AY512" s="14"/>
      <c r="AZ512" s="14"/>
    </row>
    <row r="513" spans="1:52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29"/>
      <c r="AX513" s="14"/>
      <c r="AY513" s="14"/>
      <c r="AZ513" s="14"/>
    </row>
    <row r="514" spans="1:52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29"/>
      <c r="AX514" s="14"/>
      <c r="AY514" s="14"/>
      <c r="AZ514" s="14"/>
    </row>
    <row r="515" spans="1:52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29"/>
      <c r="AX515" s="14"/>
      <c r="AY515" s="14"/>
      <c r="AZ515" s="14"/>
    </row>
    <row r="516" spans="1:52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29"/>
      <c r="AX516" s="14"/>
      <c r="AY516" s="14"/>
      <c r="AZ516" s="14"/>
    </row>
    <row r="517" spans="1:52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29"/>
      <c r="AX517" s="14"/>
      <c r="AY517" s="14"/>
      <c r="AZ517" s="14"/>
    </row>
    <row r="518" spans="1:52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29"/>
      <c r="AX518" s="14"/>
      <c r="AY518" s="14"/>
      <c r="AZ518" s="14"/>
    </row>
    <row r="519" spans="1:52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29"/>
      <c r="AX519" s="14"/>
      <c r="AY519" s="14"/>
      <c r="AZ519" s="14"/>
    </row>
    <row r="520" spans="1:52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29"/>
      <c r="AX520" s="14"/>
      <c r="AY520" s="14"/>
      <c r="AZ520" s="14"/>
    </row>
    <row r="521" spans="1:52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29"/>
      <c r="AX521" s="14"/>
      <c r="AY521" s="14"/>
      <c r="AZ521" s="14"/>
    </row>
    <row r="522" spans="1:52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29"/>
      <c r="AX522" s="14"/>
      <c r="AY522" s="14"/>
      <c r="AZ522" s="14"/>
    </row>
    <row r="523" spans="1:52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29"/>
      <c r="AX523" s="14"/>
      <c r="AY523" s="14"/>
      <c r="AZ523" s="14"/>
    </row>
    <row r="524" spans="1:52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29"/>
      <c r="AX524" s="14"/>
      <c r="AY524" s="14"/>
      <c r="AZ524" s="14"/>
    </row>
    <row r="525" spans="1:52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29"/>
      <c r="AX525" s="14"/>
      <c r="AY525" s="14"/>
      <c r="AZ525" s="14"/>
    </row>
    <row r="526" spans="1:52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29"/>
      <c r="AX526" s="14"/>
      <c r="AY526" s="14"/>
      <c r="AZ526" s="14"/>
    </row>
    <row r="527" spans="1:52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29"/>
      <c r="AX527" s="14"/>
      <c r="AY527" s="14"/>
      <c r="AZ527" s="14"/>
    </row>
    <row r="528" spans="1:52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29"/>
      <c r="AX528" s="14"/>
      <c r="AY528" s="14"/>
      <c r="AZ528" s="14"/>
    </row>
    <row r="529" spans="1:52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29"/>
      <c r="AX529" s="14"/>
      <c r="AY529" s="14"/>
      <c r="AZ529" s="14"/>
    </row>
    <row r="530" spans="1:52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29"/>
      <c r="AX530" s="14"/>
      <c r="AY530" s="14"/>
      <c r="AZ530" s="14"/>
    </row>
    <row r="531" spans="1:52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29"/>
      <c r="AX531" s="14"/>
      <c r="AY531" s="14"/>
      <c r="AZ531" s="14"/>
    </row>
    <row r="532" spans="1:52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29"/>
      <c r="AX532" s="14"/>
      <c r="AY532" s="14"/>
      <c r="AZ532" s="14"/>
    </row>
    <row r="533" spans="1:52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29"/>
      <c r="AX533" s="14"/>
      <c r="AY533" s="14"/>
      <c r="AZ533" s="14"/>
    </row>
    <row r="534" spans="1:52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29"/>
      <c r="AX534" s="14"/>
      <c r="AY534" s="14"/>
      <c r="AZ534" s="14"/>
    </row>
    <row r="535" spans="1:52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29"/>
      <c r="AX535" s="14"/>
      <c r="AY535" s="14"/>
      <c r="AZ535" s="14"/>
    </row>
    <row r="536" spans="1:52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29"/>
      <c r="AX536" s="14"/>
      <c r="AY536" s="14"/>
      <c r="AZ536" s="14"/>
    </row>
    <row r="537" spans="1:52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29"/>
      <c r="AX537" s="14"/>
      <c r="AY537" s="14"/>
      <c r="AZ537" s="14"/>
    </row>
    <row r="538" spans="1:52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29"/>
      <c r="AX538" s="14"/>
      <c r="AY538" s="14"/>
      <c r="AZ538" s="14"/>
    </row>
    <row r="539" spans="1:52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29"/>
      <c r="AX539" s="14"/>
      <c r="AY539" s="14"/>
      <c r="AZ539" s="14"/>
    </row>
    <row r="540" spans="1:52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29"/>
      <c r="AX540" s="14"/>
      <c r="AY540" s="14"/>
      <c r="AZ540" s="14"/>
    </row>
    <row r="541" spans="1:52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29"/>
      <c r="AX541" s="14"/>
      <c r="AY541" s="14"/>
      <c r="AZ541" s="14"/>
    </row>
    <row r="542" spans="1:52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29"/>
      <c r="AX542" s="14"/>
      <c r="AY542" s="14"/>
      <c r="AZ542" s="14"/>
    </row>
    <row r="543" spans="1:52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29"/>
      <c r="AX543" s="14"/>
      <c r="AY543" s="14"/>
      <c r="AZ543" s="14"/>
    </row>
    <row r="544" spans="1:52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29"/>
      <c r="AX544" s="14"/>
      <c r="AY544" s="14"/>
      <c r="AZ544" s="14"/>
    </row>
    <row r="545" spans="1:52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29"/>
      <c r="AX545" s="14"/>
      <c r="AY545" s="14"/>
      <c r="AZ545" s="14"/>
    </row>
    <row r="546" spans="1:52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29"/>
      <c r="AX546" s="14"/>
      <c r="AY546" s="14"/>
      <c r="AZ546" s="14"/>
    </row>
    <row r="547" spans="1:52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29"/>
      <c r="AX547" s="14"/>
      <c r="AY547" s="14"/>
      <c r="AZ547" s="14"/>
    </row>
    <row r="548" spans="1:52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29"/>
      <c r="AX548" s="14"/>
      <c r="AY548" s="14"/>
      <c r="AZ548" s="14"/>
    </row>
    <row r="549" spans="1:52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29"/>
      <c r="AX549" s="14"/>
      <c r="AY549" s="14"/>
      <c r="AZ549" s="14"/>
    </row>
    <row r="550" spans="1:52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29"/>
      <c r="AX550" s="14"/>
      <c r="AY550" s="14"/>
      <c r="AZ550" s="14"/>
    </row>
    <row r="551" spans="1:52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29"/>
      <c r="AX551" s="14"/>
      <c r="AY551" s="14"/>
      <c r="AZ551" s="14"/>
    </row>
    <row r="552" spans="1:52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29"/>
      <c r="AX552" s="14"/>
      <c r="AY552" s="14"/>
      <c r="AZ552" s="14"/>
    </row>
    <row r="553" spans="1:52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29"/>
      <c r="AX553" s="14"/>
      <c r="AY553" s="14"/>
      <c r="AZ553" s="14"/>
    </row>
    <row r="554" spans="1:52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29"/>
      <c r="AX554" s="14"/>
      <c r="AY554" s="14"/>
      <c r="AZ554" s="14"/>
    </row>
    <row r="555" spans="1:52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29"/>
      <c r="AX555" s="14"/>
      <c r="AY555" s="14"/>
      <c r="AZ555" s="14"/>
    </row>
    <row r="556" spans="1:52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29"/>
      <c r="AX556" s="14"/>
      <c r="AY556" s="14"/>
      <c r="AZ556" s="14"/>
    </row>
    <row r="557" spans="1:52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29"/>
      <c r="AX557" s="14"/>
      <c r="AY557" s="14"/>
      <c r="AZ557" s="14"/>
    </row>
    <row r="558" spans="1:52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29"/>
      <c r="AX558" s="14"/>
      <c r="AY558" s="14"/>
      <c r="AZ558" s="14"/>
    </row>
    <row r="559" spans="1:52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29"/>
      <c r="AX559" s="14"/>
      <c r="AY559" s="14"/>
      <c r="AZ559" s="14"/>
    </row>
    <row r="560" spans="1:52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29"/>
      <c r="AX560" s="14"/>
      <c r="AY560" s="14"/>
      <c r="AZ560" s="14"/>
    </row>
    <row r="561" spans="1:52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29"/>
      <c r="AX561" s="14"/>
      <c r="AY561" s="14"/>
      <c r="AZ561" s="14"/>
    </row>
    <row r="562" spans="1:52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29"/>
      <c r="AX562" s="14"/>
      <c r="AY562" s="14"/>
      <c r="AZ562" s="14"/>
    </row>
    <row r="563" spans="1:52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29"/>
      <c r="AX563" s="14"/>
      <c r="AY563" s="14"/>
      <c r="AZ563" s="14"/>
    </row>
    <row r="564" spans="1:52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29"/>
      <c r="AX564" s="14"/>
      <c r="AY564" s="14"/>
      <c r="AZ564" s="14"/>
    </row>
    <row r="565" spans="1:52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29"/>
      <c r="AX565" s="14"/>
      <c r="AY565" s="14"/>
      <c r="AZ565" s="14"/>
    </row>
    <row r="566" spans="1:52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29"/>
      <c r="AX566" s="14"/>
      <c r="AY566" s="14"/>
      <c r="AZ566" s="14"/>
    </row>
    <row r="567" spans="1:52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29"/>
      <c r="AX567" s="14"/>
      <c r="AY567" s="14"/>
      <c r="AZ567" s="14"/>
    </row>
    <row r="568" spans="1:52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29"/>
      <c r="AX568" s="14"/>
      <c r="AY568" s="14"/>
      <c r="AZ568" s="14"/>
    </row>
    <row r="569" spans="1:52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29"/>
      <c r="AX569" s="14"/>
      <c r="AY569" s="14"/>
      <c r="AZ569" s="14"/>
    </row>
    <row r="570" spans="1:52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29"/>
      <c r="AX570" s="14"/>
      <c r="AY570" s="14"/>
      <c r="AZ570" s="14"/>
    </row>
    <row r="571" spans="1:52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29"/>
      <c r="AX571" s="14"/>
      <c r="AY571" s="14"/>
      <c r="AZ571" s="14"/>
    </row>
    <row r="572" spans="1:52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29"/>
      <c r="AX572" s="14"/>
      <c r="AY572" s="14"/>
      <c r="AZ572" s="14"/>
    </row>
    <row r="573" spans="1:52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29"/>
      <c r="AX573" s="14"/>
      <c r="AY573" s="14"/>
      <c r="AZ573" s="14"/>
    </row>
    <row r="574" spans="1:52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29"/>
      <c r="AX574" s="14"/>
      <c r="AY574" s="14"/>
      <c r="AZ574" s="14"/>
    </row>
    <row r="575" spans="1:52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29"/>
      <c r="AX575" s="14"/>
      <c r="AY575" s="14"/>
      <c r="AZ575" s="14"/>
    </row>
    <row r="576" spans="1:52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29"/>
      <c r="AX576" s="14"/>
      <c r="AY576" s="14"/>
      <c r="AZ576" s="14"/>
    </row>
    <row r="577" spans="1:52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29"/>
      <c r="AX577" s="14"/>
      <c r="AY577" s="14"/>
      <c r="AZ577" s="14"/>
    </row>
    <row r="578" spans="1:52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29"/>
      <c r="AX578" s="14"/>
      <c r="AY578" s="14"/>
      <c r="AZ578" s="14"/>
    </row>
    <row r="579" spans="1:52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29"/>
      <c r="AX579" s="14"/>
      <c r="AY579" s="14"/>
      <c r="AZ579" s="14"/>
    </row>
    <row r="580" spans="1:52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29"/>
      <c r="AX580" s="14"/>
      <c r="AY580" s="14"/>
      <c r="AZ580" s="14"/>
    </row>
    <row r="581" spans="1:52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29"/>
      <c r="AX581" s="14"/>
      <c r="AY581" s="14"/>
      <c r="AZ581" s="14"/>
    </row>
    <row r="582" spans="1:52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29"/>
      <c r="AX582" s="14"/>
      <c r="AY582" s="14"/>
      <c r="AZ582" s="14"/>
    </row>
    <row r="583" spans="1:52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29"/>
      <c r="AX583" s="14"/>
      <c r="AY583" s="14"/>
      <c r="AZ583" s="14"/>
    </row>
    <row r="584" spans="1:52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29"/>
      <c r="AX584" s="14"/>
      <c r="AY584" s="14"/>
      <c r="AZ584" s="14"/>
    </row>
    <row r="585" spans="1:52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29"/>
      <c r="AX585" s="14"/>
      <c r="AY585" s="14"/>
      <c r="AZ585" s="14"/>
    </row>
    <row r="586" spans="1:52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29"/>
      <c r="AX586" s="14"/>
      <c r="AY586" s="14"/>
      <c r="AZ586" s="14"/>
    </row>
    <row r="587" spans="1:52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29"/>
      <c r="AX587" s="14"/>
      <c r="AY587" s="14"/>
      <c r="AZ587" s="14"/>
    </row>
    <row r="588" spans="1:52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29"/>
      <c r="AX588" s="14"/>
      <c r="AY588" s="14"/>
      <c r="AZ588" s="14"/>
    </row>
    <row r="589" spans="1:52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29"/>
      <c r="AX589" s="14"/>
      <c r="AY589" s="14"/>
      <c r="AZ589" s="14"/>
    </row>
    <row r="590" spans="1:52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29"/>
      <c r="AX590" s="14"/>
      <c r="AY590" s="14"/>
      <c r="AZ590" s="14"/>
    </row>
    <row r="591" spans="1:52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29"/>
      <c r="AX591" s="14"/>
      <c r="AY591" s="14"/>
      <c r="AZ591" s="14"/>
    </row>
    <row r="592" spans="1:52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29"/>
      <c r="AX592" s="14"/>
      <c r="AY592" s="14"/>
      <c r="AZ592" s="14"/>
    </row>
    <row r="593" spans="1:52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29"/>
      <c r="AX593" s="14"/>
      <c r="AY593" s="14"/>
      <c r="AZ593" s="14"/>
    </row>
    <row r="594" spans="1:52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29"/>
      <c r="AX594" s="14"/>
      <c r="AY594" s="14"/>
      <c r="AZ594" s="14"/>
    </row>
    <row r="595" spans="1:52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29"/>
      <c r="AX595" s="14"/>
      <c r="AY595" s="14"/>
      <c r="AZ595" s="14"/>
    </row>
    <row r="596" spans="1:52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29"/>
      <c r="AX596" s="14"/>
      <c r="AY596" s="14"/>
      <c r="AZ596" s="14"/>
    </row>
    <row r="597" spans="1:52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29"/>
      <c r="AX597" s="14"/>
      <c r="AY597" s="14"/>
      <c r="AZ597" s="14"/>
    </row>
    <row r="598" spans="1:52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29"/>
      <c r="AX598" s="14"/>
      <c r="AY598" s="14"/>
      <c r="AZ598" s="14"/>
    </row>
    <row r="599" spans="1:52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29"/>
      <c r="AX599" s="14"/>
      <c r="AY599" s="14"/>
      <c r="AZ599" s="14"/>
    </row>
    <row r="600" spans="1:52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29"/>
      <c r="AX600" s="14"/>
      <c r="AY600" s="14"/>
      <c r="AZ600" s="14"/>
    </row>
    <row r="601" spans="1:52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29"/>
      <c r="AX601" s="14"/>
      <c r="AY601" s="14"/>
      <c r="AZ601" s="14"/>
    </row>
    <row r="602" spans="1:52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29"/>
      <c r="AX602" s="14"/>
      <c r="AY602" s="14"/>
      <c r="AZ602" s="14"/>
    </row>
    <row r="603" spans="1:52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29"/>
      <c r="AX603" s="14"/>
      <c r="AY603" s="14"/>
      <c r="AZ603" s="14"/>
    </row>
    <row r="604" spans="1:52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29"/>
      <c r="AX604" s="14"/>
      <c r="AY604" s="14"/>
      <c r="AZ604" s="14"/>
    </row>
    <row r="605" spans="1:52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29"/>
      <c r="AX605" s="14"/>
      <c r="AY605" s="14"/>
      <c r="AZ605" s="14"/>
    </row>
    <row r="606" spans="1:52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29"/>
      <c r="AX606" s="14"/>
      <c r="AY606" s="14"/>
      <c r="AZ606" s="14"/>
    </row>
    <row r="607" spans="1:52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29"/>
      <c r="AX607" s="14"/>
      <c r="AY607" s="14"/>
      <c r="AZ607" s="14"/>
    </row>
    <row r="608" spans="1:52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29"/>
      <c r="AX608" s="14"/>
      <c r="AY608" s="14"/>
      <c r="AZ608" s="14"/>
    </row>
    <row r="609" spans="1:52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29"/>
      <c r="AX609" s="14"/>
      <c r="AY609" s="14"/>
      <c r="AZ609" s="14"/>
    </row>
    <row r="610" spans="1:52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29"/>
      <c r="AX610" s="14"/>
      <c r="AY610" s="14"/>
      <c r="AZ610" s="14"/>
    </row>
    <row r="611" spans="1:52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29"/>
      <c r="AX611" s="14"/>
      <c r="AY611" s="14"/>
      <c r="AZ611" s="14"/>
    </row>
    <row r="612" spans="1:52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29"/>
      <c r="AX612" s="14"/>
      <c r="AY612" s="14"/>
      <c r="AZ612" s="14"/>
    </row>
    <row r="613" spans="1:52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29"/>
      <c r="AX613" s="14"/>
      <c r="AY613" s="14"/>
      <c r="AZ613" s="14"/>
    </row>
    <row r="614" spans="1:52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29"/>
      <c r="AX614" s="14"/>
      <c r="AY614" s="14"/>
      <c r="AZ614" s="14"/>
    </row>
    <row r="615" spans="1:52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29"/>
      <c r="AX615" s="14"/>
      <c r="AY615" s="14"/>
      <c r="AZ615" s="14"/>
    </row>
    <row r="616" spans="1:52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29"/>
      <c r="AX616" s="14"/>
      <c r="AY616" s="14"/>
      <c r="AZ616" s="14"/>
    </row>
    <row r="617" spans="1:52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29"/>
      <c r="AX617" s="14"/>
      <c r="AY617" s="14"/>
      <c r="AZ617" s="14"/>
    </row>
    <row r="618" spans="1:52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29"/>
      <c r="AX618" s="14"/>
      <c r="AY618" s="14"/>
      <c r="AZ618" s="14"/>
    </row>
    <row r="619" spans="1:52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29"/>
      <c r="AX619" s="14"/>
      <c r="AY619" s="14"/>
      <c r="AZ619" s="14"/>
    </row>
    <row r="620" spans="1:52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29"/>
      <c r="AX620" s="14"/>
      <c r="AY620" s="14"/>
      <c r="AZ620" s="14"/>
    </row>
    <row r="621" spans="1:52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29"/>
      <c r="AX621" s="14"/>
      <c r="AY621" s="14"/>
      <c r="AZ621" s="14"/>
    </row>
    <row r="622" spans="1:52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29"/>
      <c r="AX622" s="14"/>
      <c r="AY622" s="14"/>
      <c r="AZ622" s="14"/>
    </row>
    <row r="623" spans="1:52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29"/>
      <c r="AX623" s="14"/>
      <c r="AY623" s="14"/>
      <c r="AZ623" s="14"/>
    </row>
    <row r="624" spans="1:52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29"/>
      <c r="AX624" s="14"/>
      <c r="AY624" s="14"/>
      <c r="AZ624" s="14"/>
    </row>
    <row r="625" spans="1:52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29"/>
      <c r="AX625" s="14"/>
      <c r="AY625" s="14"/>
      <c r="AZ625" s="14"/>
    </row>
    <row r="626" spans="1:52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29"/>
      <c r="AX626" s="14"/>
      <c r="AY626" s="14"/>
      <c r="AZ626" s="14"/>
    </row>
    <row r="627" spans="1:52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29"/>
      <c r="AX627" s="14"/>
      <c r="AY627" s="14"/>
      <c r="AZ627" s="14"/>
    </row>
    <row r="628" spans="1:52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29"/>
      <c r="AX628" s="14"/>
      <c r="AY628" s="14"/>
      <c r="AZ628" s="14"/>
    </row>
    <row r="629" spans="1:52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29"/>
      <c r="AX629" s="14"/>
      <c r="AY629" s="14"/>
      <c r="AZ629" s="14"/>
    </row>
    <row r="630" spans="1:52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29"/>
      <c r="AX630" s="14"/>
      <c r="AY630" s="14"/>
      <c r="AZ630" s="14"/>
    </row>
    <row r="631" spans="1:52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29"/>
      <c r="AX631" s="14"/>
      <c r="AY631" s="14"/>
      <c r="AZ631" s="14"/>
    </row>
    <row r="632" spans="1:52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29"/>
      <c r="AX632" s="14"/>
      <c r="AY632" s="14"/>
      <c r="AZ632" s="14"/>
    </row>
    <row r="633" spans="1:52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29"/>
      <c r="AX633" s="14"/>
      <c r="AY633" s="14"/>
      <c r="AZ633" s="14"/>
    </row>
    <row r="634" spans="1:52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29"/>
      <c r="AX634" s="14"/>
      <c r="AY634" s="14"/>
      <c r="AZ634" s="14"/>
    </row>
    <row r="635" spans="1:52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29"/>
      <c r="AX635" s="14"/>
      <c r="AY635" s="14"/>
      <c r="AZ635" s="14"/>
    </row>
    <row r="636" spans="1:52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29"/>
      <c r="AX636" s="14"/>
      <c r="AY636" s="14"/>
      <c r="AZ636" s="14"/>
    </row>
    <row r="637" spans="1:52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29"/>
      <c r="AX637" s="14"/>
      <c r="AY637" s="14"/>
      <c r="AZ637" s="14"/>
    </row>
    <row r="638" spans="1:52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29"/>
      <c r="AX638" s="14"/>
      <c r="AY638" s="14"/>
      <c r="AZ638" s="14"/>
    </row>
    <row r="639" spans="1:52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29"/>
      <c r="AX639" s="14"/>
      <c r="AY639" s="14"/>
      <c r="AZ639" s="14"/>
    </row>
    <row r="640" spans="1:52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29"/>
      <c r="AX640" s="14"/>
      <c r="AY640" s="14"/>
      <c r="AZ640" s="14"/>
    </row>
    <row r="641" spans="1:52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29"/>
      <c r="AX641" s="14"/>
      <c r="AY641" s="14"/>
      <c r="AZ641" s="14"/>
    </row>
    <row r="642" spans="1:52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29"/>
      <c r="AX642" s="14"/>
      <c r="AY642" s="14"/>
      <c r="AZ642" s="14"/>
    </row>
    <row r="643" spans="1:52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29"/>
      <c r="AX643" s="14"/>
      <c r="AY643" s="14"/>
      <c r="AZ643" s="14"/>
    </row>
    <row r="644" spans="1:52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29"/>
      <c r="AX644" s="14"/>
      <c r="AY644" s="14"/>
      <c r="AZ644" s="14"/>
    </row>
    <row r="645" spans="1:52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29"/>
      <c r="AX645" s="14"/>
      <c r="AY645" s="14"/>
      <c r="AZ645" s="14"/>
    </row>
    <row r="646" spans="1:52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29"/>
      <c r="AX646" s="14"/>
      <c r="AY646" s="14"/>
      <c r="AZ646" s="14"/>
    </row>
    <row r="647" spans="1:52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29"/>
      <c r="AX647" s="14"/>
      <c r="AY647" s="14"/>
      <c r="AZ647" s="14"/>
    </row>
    <row r="648" spans="1:52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29"/>
      <c r="AX648" s="14"/>
      <c r="AY648" s="14"/>
      <c r="AZ648" s="14"/>
    </row>
    <row r="649" spans="1:52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29"/>
      <c r="AX649" s="14"/>
      <c r="AY649" s="14"/>
      <c r="AZ649" s="14"/>
    </row>
    <row r="650" spans="1:52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29"/>
      <c r="AX650" s="14"/>
      <c r="AY650" s="14"/>
      <c r="AZ650" s="14"/>
    </row>
    <row r="651" spans="1:52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29"/>
      <c r="AX651" s="14"/>
      <c r="AY651" s="14"/>
      <c r="AZ651" s="14"/>
    </row>
    <row r="652" spans="1:52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29"/>
      <c r="AX652" s="14"/>
      <c r="AY652" s="14"/>
      <c r="AZ652" s="14"/>
    </row>
    <row r="653" spans="1:52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29"/>
      <c r="AX653" s="14"/>
      <c r="AY653" s="14"/>
      <c r="AZ653" s="14"/>
    </row>
    <row r="654" spans="1:52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29"/>
      <c r="AX654" s="14"/>
      <c r="AY654" s="14"/>
      <c r="AZ654" s="14"/>
    </row>
    <row r="655" spans="1:52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29"/>
      <c r="AX655" s="14"/>
      <c r="AY655" s="14"/>
      <c r="AZ655" s="14"/>
    </row>
    <row r="656" spans="1:52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29"/>
      <c r="AX656" s="14"/>
      <c r="AY656" s="14"/>
      <c r="AZ656" s="14"/>
    </row>
    <row r="657" spans="1:52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29"/>
      <c r="AX657" s="14"/>
      <c r="AY657" s="14"/>
      <c r="AZ657" s="14"/>
    </row>
    <row r="658" spans="1:52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29"/>
      <c r="AX658" s="14"/>
      <c r="AY658" s="14"/>
      <c r="AZ658" s="14"/>
    </row>
    <row r="659" spans="1:52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29"/>
      <c r="AX659" s="14"/>
      <c r="AY659" s="14"/>
      <c r="AZ659" s="14"/>
    </row>
    <row r="660" spans="1:52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29"/>
      <c r="AX660" s="14"/>
      <c r="AY660" s="14"/>
      <c r="AZ660" s="14"/>
    </row>
    <row r="661" spans="1:52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29"/>
      <c r="AX661" s="14"/>
      <c r="AY661" s="14"/>
      <c r="AZ661" s="14"/>
    </row>
    <row r="662" spans="1:52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29"/>
      <c r="AX662" s="14"/>
      <c r="AY662" s="14"/>
      <c r="AZ662" s="14"/>
    </row>
    <row r="663" spans="1:52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29"/>
      <c r="AX663" s="14"/>
      <c r="AY663" s="14"/>
      <c r="AZ663" s="14"/>
    </row>
    <row r="664" spans="1:52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29"/>
      <c r="AX664" s="14"/>
      <c r="AY664" s="14"/>
      <c r="AZ664" s="14"/>
    </row>
    <row r="665" spans="1:52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29"/>
      <c r="AX665" s="14"/>
      <c r="AY665" s="14"/>
      <c r="AZ665" s="14"/>
    </row>
    <row r="666" spans="1:52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29"/>
      <c r="AX666" s="14"/>
      <c r="AY666" s="14"/>
      <c r="AZ666" s="14"/>
    </row>
    <row r="667" spans="1:52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29"/>
      <c r="AX667" s="14"/>
      <c r="AY667" s="14"/>
      <c r="AZ667" s="14"/>
    </row>
    <row r="668" spans="1:52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29"/>
      <c r="AX668" s="14"/>
      <c r="AY668" s="14"/>
      <c r="AZ668" s="14"/>
    </row>
    <row r="669" spans="1:52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29"/>
      <c r="AX669" s="14"/>
      <c r="AY669" s="14"/>
      <c r="AZ669" s="14"/>
    </row>
    <row r="670" spans="1:52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29"/>
      <c r="AX670" s="14"/>
      <c r="AY670" s="14"/>
      <c r="AZ670" s="14"/>
    </row>
    <row r="671" spans="1:52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29"/>
      <c r="AX671" s="14"/>
      <c r="AY671" s="14"/>
      <c r="AZ671" s="14"/>
    </row>
    <row r="672" spans="1:52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29"/>
      <c r="AX672" s="14"/>
      <c r="AY672" s="14"/>
      <c r="AZ672" s="14"/>
    </row>
    <row r="673" spans="1:52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29"/>
      <c r="AX673" s="14"/>
      <c r="AY673" s="14"/>
      <c r="AZ673" s="14"/>
    </row>
    <row r="674" spans="1:52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29"/>
      <c r="AX674" s="14"/>
      <c r="AY674" s="14"/>
      <c r="AZ674" s="14"/>
    </row>
    <row r="675" spans="1:52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29"/>
      <c r="AX675" s="14"/>
      <c r="AY675" s="14"/>
      <c r="AZ675" s="14"/>
    </row>
    <row r="676" spans="1:52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29"/>
      <c r="AX676" s="14"/>
      <c r="AY676" s="14"/>
      <c r="AZ676" s="14"/>
    </row>
    <row r="677" spans="1:52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29"/>
      <c r="AX677" s="14"/>
      <c r="AY677" s="14"/>
      <c r="AZ677" s="14"/>
    </row>
    <row r="678" spans="1:52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29"/>
      <c r="AX678" s="14"/>
      <c r="AY678" s="14"/>
      <c r="AZ678" s="14"/>
    </row>
    <row r="679" spans="1:52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29"/>
      <c r="AX679" s="14"/>
      <c r="AY679" s="14"/>
      <c r="AZ679" s="14"/>
    </row>
    <row r="680" spans="1:52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29"/>
      <c r="AX680" s="14"/>
      <c r="AY680" s="14"/>
      <c r="AZ680" s="14"/>
    </row>
    <row r="681" spans="1:52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29"/>
      <c r="AX681" s="14"/>
      <c r="AY681" s="14"/>
      <c r="AZ681" s="14"/>
    </row>
    <row r="682" spans="1:52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29"/>
      <c r="AX682" s="14"/>
      <c r="AY682" s="14"/>
      <c r="AZ682" s="14"/>
    </row>
    <row r="683" spans="1:52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29"/>
      <c r="AX683" s="14"/>
      <c r="AY683" s="14"/>
      <c r="AZ683" s="14"/>
    </row>
    <row r="684" spans="1:52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29"/>
      <c r="AX684" s="14"/>
      <c r="AY684" s="14"/>
      <c r="AZ684" s="14"/>
    </row>
    <row r="685" spans="1:52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29"/>
      <c r="AX685" s="14"/>
      <c r="AY685" s="14"/>
      <c r="AZ685" s="14"/>
    </row>
    <row r="686" spans="1:52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29"/>
      <c r="AX686" s="14"/>
      <c r="AY686" s="14"/>
      <c r="AZ686" s="14"/>
    </row>
    <row r="687" spans="1:52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29"/>
      <c r="AX687" s="14"/>
      <c r="AY687" s="14"/>
      <c r="AZ687" s="14"/>
    </row>
    <row r="688" spans="1:52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29"/>
      <c r="AX688" s="14"/>
      <c r="AY688" s="14"/>
      <c r="AZ688" s="14"/>
    </row>
    <row r="689" spans="1:52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29"/>
      <c r="AX689" s="14"/>
      <c r="AY689" s="14"/>
      <c r="AZ689" s="14"/>
    </row>
    <row r="690" spans="1:52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29"/>
      <c r="AX690" s="14"/>
      <c r="AY690" s="14"/>
      <c r="AZ690" s="14"/>
    </row>
    <row r="691" spans="1:52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29"/>
      <c r="AX691" s="14"/>
      <c r="AY691" s="14"/>
      <c r="AZ691" s="14"/>
    </row>
    <row r="692" spans="1:52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29"/>
      <c r="AX692" s="14"/>
      <c r="AY692" s="14"/>
      <c r="AZ692" s="14"/>
    </row>
    <row r="693" spans="1:52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29"/>
      <c r="AX693" s="14"/>
      <c r="AY693" s="14"/>
      <c r="AZ693" s="14"/>
    </row>
    <row r="694" spans="1:52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29"/>
      <c r="AX694" s="14"/>
      <c r="AY694" s="14"/>
      <c r="AZ694" s="14"/>
    </row>
    <row r="695" spans="1:52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29"/>
      <c r="AX695" s="14"/>
      <c r="AY695" s="14"/>
      <c r="AZ695" s="14"/>
    </row>
    <row r="696" spans="1:52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29"/>
      <c r="AX696" s="14"/>
      <c r="AY696" s="14"/>
      <c r="AZ696" s="14"/>
    </row>
    <row r="697" spans="1:52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29"/>
      <c r="AX697" s="14"/>
      <c r="AY697" s="14"/>
      <c r="AZ697" s="14"/>
    </row>
    <row r="698" spans="1:52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29"/>
      <c r="AX698" s="14"/>
      <c r="AY698" s="14"/>
      <c r="AZ698" s="14"/>
    </row>
    <row r="699" spans="1:52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29"/>
      <c r="AX699" s="14"/>
      <c r="AY699" s="14"/>
      <c r="AZ699" s="14"/>
    </row>
    <row r="700" spans="1:52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29"/>
      <c r="AX700" s="14"/>
      <c r="AY700" s="14"/>
      <c r="AZ700" s="14"/>
    </row>
    <row r="701" spans="1:52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29"/>
      <c r="AX701" s="14"/>
      <c r="AY701" s="14"/>
      <c r="AZ701" s="14"/>
    </row>
    <row r="702" spans="1:52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29"/>
      <c r="AX702" s="14"/>
      <c r="AY702" s="14"/>
      <c r="AZ702" s="14"/>
    </row>
    <row r="703" spans="1:52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29"/>
      <c r="AX703" s="14"/>
      <c r="AY703" s="14"/>
      <c r="AZ703" s="14"/>
    </row>
    <row r="704" spans="1:52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29"/>
      <c r="AX704" s="14"/>
      <c r="AY704" s="14"/>
      <c r="AZ704" s="14"/>
    </row>
    <row r="705" spans="1:52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29"/>
      <c r="AX705" s="14"/>
      <c r="AY705" s="14"/>
      <c r="AZ705" s="14"/>
    </row>
    <row r="706" spans="1:52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29"/>
      <c r="AX706" s="14"/>
      <c r="AY706" s="14"/>
      <c r="AZ706" s="14"/>
    </row>
    <row r="707" spans="1:52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29"/>
      <c r="AX707" s="14"/>
      <c r="AY707" s="14"/>
      <c r="AZ707" s="14"/>
    </row>
    <row r="708" spans="1:52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29"/>
      <c r="AX708" s="14"/>
      <c r="AY708" s="14"/>
      <c r="AZ708" s="14"/>
    </row>
    <row r="709" spans="1:52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29"/>
      <c r="AX709" s="14"/>
      <c r="AY709" s="14"/>
      <c r="AZ709" s="14"/>
    </row>
    <row r="710" spans="1:52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29"/>
      <c r="AX710" s="14"/>
      <c r="AY710" s="14"/>
      <c r="AZ710" s="14"/>
    </row>
    <row r="711" spans="1:52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29"/>
      <c r="AX711" s="14"/>
      <c r="AY711" s="14"/>
      <c r="AZ711" s="14"/>
    </row>
    <row r="712" spans="1:52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29"/>
      <c r="AX712" s="14"/>
      <c r="AY712" s="14"/>
      <c r="AZ712" s="14"/>
    </row>
    <row r="713" spans="1:52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29"/>
      <c r="AX713" s="14"/>
      <c r="AY713" s="14"/>
      <c r="AZ713" s="14"/>
    </row>
    <row r="714" spans="1:52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29"/>
      <c r="AX714" s="14"/>
      <c r="AY714" s="14"/>
      <c r="AZ714" s="14"/>
    </row>
    <row r="715" spans="1:52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29"/>
      <c r="AX715" s="14"/>
      <c r="AY715" s="14"/>
      <c r="AZ715" s="14"/>
    </row>
    <row r="716" spans="1:52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29"/>
      <c r="AX716" s="14"/>
      <c r="AY716" s="14"/>
      <c r="AZ716" s="14"/>
    </row>
    <row r="717" spans="1:52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29"/>
      <c r="AX717" s="14"/>
      <c r="AY717" s="14"/>
      <c r="AZ717" s="14"/>
    </row>
    <row r="718" spans="1:52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29"/>
      <c r="AX718" s="14"/>
      <c r="AY718" s="14"/>
      <c r="AZ718" s="14"/>
    </row>
    <row r="719" spans="1:52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29"/>
      <c r="AX719" s="14"/>
      <c r="AY719" s="14"/>
      <c r="AZ719" s="14"/>
    </row>
    <row r="720" spans="1:52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29"/>
      <c r="AX720" s="14"/>
      <c r="AY720" s="14"/>
      <c r="AZ720" s="14"/>
    </row>
    <row r="721" spans="1:52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29"/>
      <c r="AX721" s="14"/>
      <c r="AY721" s="14"/>
      <c r="AZ721" s="14"/>
    </row>
    <row r="722" spans="1:52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29"/>
      <c r="AX722" s="14"/>
      <c r="AY722" s="14"/>
      <c r="AZ722" s="14"/>
    </row>
    <row r="723" spans="1:52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29"/>
      <c r="AX723" s="14"/>
      <c r="AY723" s="14"/>
      <c r="AZ723" s="14"/>
    </row>
    <row r="724" spans="1:52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29"/>
      <c r="AX724" s="14"/>
      <c r="AY724" s="14"/>
      <c r="AZ724" s="14"/>
    </row>
    <row r="725" spans="1:52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29"/>
      <c r="AX725" s="14"/>
      <c r="AY725" s="14"/>
      <c r="AZ725" s="14"/>
    </row>
    <row r="726" spans="1:52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29"/>
      <c r="AX726" s="14"/>
      <c r="AY726" s="14"/>
      <c r="AZ726" s="14"/>
    </row>
    <row r="727" spans="1:52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29"/>
      <c r="AX727" s="14"/>
      <c r="AY727" s="14"/>
      <c r="AZ727" s="14"/>
    </row>
    <row r="728" spans="1:52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29"/>
      <c r="AX728" s="14"/>
      <c r="AY728" s="14"/>
      <c r="AZ728" s="14"/>
    </row>
    <row r="729" spans="1:52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29"/>
      <c r="AX729" s="14"/>
      <c r="AY729" s="14"/>
      <c r="AZ729" s="14"/>
    </row>
    <row r="730" spans="1:52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29"/>
      <c r="AX730" s="14"/>
      <c r="AY730" s="14"/>
      <c r="AZ730" s="14"/>
    </row>
    <row r="731" spans="1:52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29"/>
      <c r="AX731" s="14"/>
      <c r="AY731" s="14"/>
      <c r="AZ731" s="14"/>
    </row>
    <row r="732" spans="1:52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29"/>
      <c r="AX732" s="14"/>
      <c r="AY732" s="14"/>
      <c r="AZ732" s="14"/>
    </row>
    <row r="733" spans="1:52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29"/>
      <c r="AX733" s="14"/>
      <c r="AY733" s="14"/>
      <c r="AZ733" s="14"/>
    </row>
    <row r="734" spans="1:52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29"/>
      <c r="AX734" s="14"/>
      <c r="AY734" s="14"/>
      <c r="AZ734" s="14"/>
    </row>
    <row r="735" spans="1:52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29"/>
      <c r="AX735" s="14"/>
      <c r="AY735" s="14"/>
      <c r="AZ735" s="14"/>
    </row>
    <row r="736" spans="1:52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29"/>
      <c r="AX736" s="14"/>
      <c r="AY736" s="14"/>
      <c r="AZ736" s="14"/>
    </row>
    <row r="737" spans="1:52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29"/>
      <c r="AX737" s="14"/>
      <c r="AY737" s="14"/>
      <c r="AZ737" s="14"/>
    </row>
    <row r="738" spans="1:52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29"/>
      <c r="AX738" s="14"/>
      <c r="AY738" s="14"/>
      <c r="AZ738" s="14"/>
    </row>
    <row r="739" spans="1:52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29"/>
      <c r="AX739" s="14"/>
      <c r="AY739" s="14"/>
      <c r="AZ739" s="14"/>
    </row>
    <row r="740" spans="1:52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29"/>
      <c r="AX740" s="14"/>
      <c r="AY740" s="14"/>
      <c r="AZ740" s="14"/>
    </row>
    <row r="741" spans="1:52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29"/>
      <c r="AX741" s="14"/>
      <c r="AY741" s="14"/>
      <c r="AZ741" s="14"/>
    </row>
    <row r="742" spans="1:52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29"/>
      <c r="AX742" s="14"/>
      <c r="AY742" s="14"/>
      <c r="AZ742" s="14"/>
    </row>
    <row r="743" spans="1:52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29"/>
      <c r="AX743" s="14"/>
      <c r="AY743" s="14"/>
      <c r="AZ743" s="14"/>
    </row>
    <row r="744" spans="1:52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29"/>
      <c r="AX744" s="14"/>
      <c r="AY744" s="14"/>
      <c r="AZ744" s="14"/>
    </row>
    <row r="745" spans="1:52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29"/>
      <c r="AX745" s="14"/>
      <c r="AY745" s="14"/>
      <c r="AZ745" s="14"/>
    </row>
    <row r="746" spans="1:52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29"/>
      <c r="AX746" s="14"/>
      <c r="AY746" s="14"/>
      <c r="AZ746" s="14"/>
    </row>
    <row r="747" spans="1:52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29"/>
      <c r="AX747" s="14"/>
      <c r="AY747" s="14"/>
      <c r="AZ747" s="14"/>
    </row>
    <row r="748" spans="1:52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29"/>
      <c r="AX748" s="14"/>
      <c r="AY748" s="14"/>
      <c r="AZ748" s="14"/>
    </row>
    <row r="749" spans="1:52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29"/>
      <c r="AX749" s="14"/>
      <c r="AY749" s="14"/>
      <c r="AZ749" s="14"/>
    </row>
    <row r="750" spans="1:52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29"/>
      <c r="AX750" s="14"/>
      <c r="AY750" s="14"/>
      <c r="AZ750" s="14"/>
    </row>
    <row r="751" spans="1:52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29"/>
      <c r="AX751" s="14"/>
      <c r="AY751" s="14"/>
      <c r="AZ751" s="14"/>
    </row>
    <row r="752" spans="1:52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29"/>
      <c r="AX752" s="14"/>
      <c r="AY752" s="14"/>
      <c r="AZ752" s="14"/>
    </row>
    <row r="753" spans="1:52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29"/>
      <c r="AX753" s="14"/>
      <c r="AY753" s="14"/>
      <c r="AZ753" s="14"/>
    </row>
    <row r="754" spans="1:52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29"/>
      <c r="AX754" s="14"/>
      <c r="AY754" s="14"/>
      <c r="AZ754" s="14"/>
    </row>
    <row r="755" spans="1:52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29"/>
      <c r="AX755" s="14"/>
      <c r="AY755" s="14"/>
      <c r="AZ755" s="14"/>
    </row>
    <row r="756" spans="1:52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29"/>
      <c r="AX756" s="14"/>
      <c r="AY756" s="14"/>
      <c r="AZ756" s="14"/>
    </row>
    <row r="757" spans="1:52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29"/>
      <c r="AX757" s="14"/>
      <c r="AY757" s="14"/>
      <c r="AZ757" s="14"/>
    </row>
    <row r="758" spans="1:52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29"/>
      <c r="AX758" s="14"/>
      <c r="AY758" s="14"/>
      <c r="AZ758" s="14"/>
    </row>
    <row r="759" spans="1:52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29"/>
      <c r="AX759" s="14"/>
      <c r="AY759" s="14"/>
      <c r="AZ759" s="14"/>
    </row>
    <row r="760" spans="1:52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29"/>
      <c r="AX760" s="14"/>
      <c r="AY760" s="14"/>
      <c r="AZ760" s="14"/>
    </row>
    <row r="761" spans="1:52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29"/>
      <c r="AX761" s="14"/>
      <c r="AY761" s="14"/>
      <c r="AZ761" s="14"/>
    </row>
    <row r="762" spans="1:52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29"/>
      <c r="AX762" s="14"/>
      <c r="AY762" s="14"/>
      <c r="AZ762" s="14"/>
    </row>
    <row r="763" spans="1:52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29"/>
      <c r="AX763" s="14"/>
      <c r="AY763" s="14"/>
      <c r="AZ763" s="14"/>
    </row>
    <row r="764" spans="1:52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29"/>
      <c r="AX764" s="14"/>
      <c r="AY764" s="14"/>
      <c r="AZ764" s="14"/>
    </row>
    <row r="765" spans="1:52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29"/>
      <c r="AX765" s="14"/>
      <c r="AY765" s="14"/>
      <c r="AZ765" s="14"/>
    </row>
    <row r="766" spans="1:52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29"/>
      <c r="AX766" s="14"/>
      <c r="AY766" s="14"/>
      <c r="AZ766" s="14"/>
    </row>
    <row r="767" spans="1:52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29"/>
      <c r="AX767" s="14"/>
      <c r="AY767" s="14"/>
      <c r="AZ767" s="14"/>
    </row>
    <row r="768" spans="1:52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29"/>
      <c r="AX768" s="14"/>
      <c r="AY768" s="14"/>
      <c r="AZ768" s="14"/>
    </row>
    <row r="769" spans="1:52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29"/>
      <c r="AX769" s="14"/>
      <c r="AY769" s="14"/>
      <c r="AZ769" s="14"/>
    </row>
    <row r="770" spans="1:52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29"/>
      <c r="AX770" s="14"/>
      <c r="AY770" s="14"/>
      <c r="AZ770" s="14"/>
    </row>
    <row r="771" spans="1:52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29"/>
      <c r="AX771" s="14"/>
      <c r="AY771" s="14"/>
      <c r="AZ771" s="14"/>
    </row>
    <row r="772" spans="1:52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29"/>
      <c r="AX772" s="14"/>
      <c r="AY772" s="14"/>
      <c r="AZ772" s="14"/>
    </row>
    <row r="773" spans="1:52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29"/>
      <c r="AX773" s="14"/>
      <c r="AY773" s="14"/>
      <c r="AZ773" s="14"/>
    </row>
    <row r="774" spans="1:52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29"/>
      <c r="AX774" s="14"/>
      <c r="AY774" s="14"/>
      <c r="AZ774" s="14"/>
    </row>
    <row r="775" spans="1:52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29"/>
      <c r="AX775" s="14"/>
      <c r="AY775" s="14"/>
      <c r="AZ775" s="14"/>
    </row>
    <row r="776" spans="1:52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29"/>
      <c r="AX776" s="14"/>
      <c r="AY776" s="14"/>
      <c r="AZ776" s="14"/>
    </row>
    <row r="777" spans="1:52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29"/>
      <c r="AX777" s="14"/>
      <c r="AY777" s="14"/>
      <c r="AZ777" s="14"/>
    </row>
    <row r="778" spans="1:52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29"/>
      <c r="AX778" s="14"/>
      <c r="AY778" s="14"/>
      <c r="AZ778" s="14"/>
    </row>
    <row r="779" spans="1:52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29"/>
      <c r="AX779" s="14"/>
      <c r="AY779" s="14"/>
      <c r="AZ779" s="14"/>
    </row>
    <row r="780" spans="1:52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29"/>
      <c r="AX780" s="14"/>
      <c r="AY780" s="14"/>
      <c r="AZ780" s="14"/>
    </row>
    <row r="781" spans="1:52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29"/>
      <c r="AX781" s="14"/>
      <c r="AY781" s="14"/>
      <c r="AZ781" s="14"/>
    </row>
    <row r="782" spans="1:52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29"/>
      <c r="AX782" s="14"/>
      <c r="AY782" s="14"/>
      <c r="AZ782" s="14"/>
    </row>
    <row r="783" spans="1:52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29"/>
      <c r="AX783" s="14"/>
      <c r="AY783" s="14"/>
      <c r="AZ783" s="14"/>
    </row>
    <row r="784" spans="1:52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29"/>
      <c r="AX784" s="14"/>
      <c r="AY784" s="14"/>
      <c r="AZ784" s="14"/>
    </row>
    <row r="785" spans="1:52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29"/>
      <c r="AX785" s="14"/>
      <c r="AY785" s="14"/>
      <c r="AZ785" s="14"/>
    </row>
    <row r="786" spans="1:52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29"/>
      <c r="AX786" s="14"/>
      <c r="AY786" s="14"/>
      <c r="AZ786" s="14"/>
    </row>
    <row r="787" spans="1:52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29"/>
      <c r="AX787" s="14"/>
      <c r="AY787" s="14"/>
      <c r="AZ787" s="14"/>
    </row>
    <row r="788" spans="1:52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29"/>
      <c r="AX788" s="14"/>
      <c r="AY788" s="14"/>
      <c r="AZ788" s="14"/>
    </row>
    <row r="789" spans="1:52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29"/>
      <c r="AX789" s="14"/>
      <c r="AY789" s="14"/>
      <c r="AZ789" s="14"/>
    </row>
    <row r="790" spans="1:52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29"/>
      <c r="AX790" s="14"/>
      <c r="AY790" s="14"/>
      <c r="AZ790" s="14"/>
    </row>
    <row r="791" spans="1:52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29"/>
      <c r="AX791" s="14"/>
      <c r="AY791" s="14"/>
      <c r="AZ791" s="14"/>
    </row>
    <row r="792" spans="1:52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29"/>
      <c r="AX792" s="14"/>
      <c r="AY792" s="14"/>
      <c r="AZ792" s="14"/>
    </row>
    <row r="793" spans="1:52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29"/>
      <c r="AX793" s="14"/>
      <c r="AY793" s="14"/>
      <c r="AZ793" s="14"/>
    </row>
    <row r="794" spans="1:52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29"/>
      <c r="AX794" s="14"/>
      <c r="AY794" s="14"/>
      <c r="AZ794" s="14"/>
    </row>
    <row r="795" spans="1:52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29"/>
      <c r="AX795" s="14"/>
      <c r="AY795" s="14"/>
      <c r="AZ795" s="14"/>
    </row>
    <row r="796" spans="1:52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29"/>
      <c r="AX796" s="14"/>
      <c r="AY796" s="14"/>
      <c r="AZ796" s="14"/>
    </row>
    <row r="797" spans="1:52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29"/>
      <c r="AX797" s="14"/>
      <c r="AY797" s="14"/>
      <c r="AZ797" s="14"/>
    </row>
    <row r="798" spans="1:52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29"/>
      <c r="AX798" s="14"/>
      <c r="AY798" s="14"/>
      <c r="AZ798" s="14"/>
    </row>
    <row r="799" spans="1:52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29"/>
      <c r="AX799" s="14"/>
      <c r="AY799" s="14"/>
      <c r="AZ799" s="14"/>
    </row>
    <row r="800" spans="1:52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29"/>
      <c r="AX800" s="14"/>
      <c r="AY800" s="14"/>
      <c r="AZ800" s="14"/>
    </row>
    <row r="801" spans="1:52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29"/>
      <c r="AX801" s="14"/>
      <c r="AY801" s="14"/>
      <c r="AZ801" s="14"/>
    </row>
    <row r="802" spans="1:52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29"/>
      <c r="AX802" s="14"/>
      <c r="AY802" s="14"/>
      <c r="AZ802" s="14"/>
    </row>
    <row r="803" spans="1:52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29"/>
      <c r="AX803" s="14"/>
      <c r="AY803" s="14"/>
      <c r="AZ803" s="14"/>
    </row>
    <row r="804" spans="1:52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29"/>
      <c r="AX804" s="14"/>
      <c r="AY804" s="14"/>
      <c r="AZ804" s="14"/>
    </row>
    <row r="805" spans="1:52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29"/>
      <c r="AX805" s="14"/>
      <c r="AY805" s="14"/>
      <c r="AZ805" s="14"/>
    </row>
    <row r="806" spans="1:52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29"/>
      <c r="AX806" s="14"/>
      <c r="AY806" s="14"/>
      <c r="AZ806" s="14"/>
    </row>
    <row r="807" spans="1:52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29"/>
      <c r="AX807" s="14"/>
      <c r="AY807" s="14"/>
      <c r="AZ807" s="14"/>
    </row>
    <row r="808" spans="1:52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29"/>
      <c r="AX808" s="14"/>
      <c r="AY808" s="14"/>
      <c r="AZ808" s="14"/>
    </row>
    <row r="809" spans="1:52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29"/>
      <c r="AX809" s="14"/>
      <c r="AY809" s="14"/>
      <c r="AZ809" s="14"/>
    </row>
    <row r="810" spans="1:52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29"/>
      <c r="AX810" s="14"/>
      <c r="AY810" s="14"/>
      <c r="AZ810" s="14"/>
    </row>
    <row r="811" spans="1:52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29"/>
      <c r="AX811" s="14"/>
      <c r="AY811" s="14"/>
      <c r="AZ811" s="14"/>
    </row>
    <row r="812" spans="1:52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29"/>
      <c r="AX812" s="14"/>
      <c r="AY812" s="14"/>
      <c r="AZ812" s="14"/>
    </row>
    <row r="813" spans="1:52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29"/>
      <c r="AX813" s="14"/>
      <c r="AY813" s="14"/>
      <c r="AZ813" s="14"/>
    </row>
    <row r="814" spans="1:52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29"/>
      <c r="AX814" s="14"/>
      <c r="AY814" s="14"/>
      <c r="AZ814" s="14"/>
    </row>
    <row r="815" spans="1:52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29"/>
      <c r="AX815" s="14"/>
      <c r="AY815" s="14"/>
      <c r="AZ815" s="14"/>
    </row>
    <row r="816" spans="1:52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29"/>
      <c r="AX816" s="14"/>
      <c r="AY816" s="14"/>
      <c r="AZ816" s="14"/>
    </row>
    <row r="817" spans="1:52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29"/>
      <c r="AX817" s="14"/>
      <c r="AY817" s="14"/>
      <c r="AZ817" s="14"/>
    </row>
    <row r="818" spans="1:52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29"/>
      <c r="AX818" s="14"/>
      <c r="AY818" s="14"/>
      <c r="AZ818" s="14"/>
    </row>
    <row r="819" spans="1:52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29"/>
      <c r="AX819" s="14"/>
      <c r="AY819" s="14"/>
      <c r="AZ819" s="14"/>
    </row>
    <row r="820" spans="1:52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29"/>
      <c r="AX820" s="14"/>
      <c r="AY820" s="14"/>
      <c r="AZ820" s="14"/>
    </row>
    <row r="821" spans="1:52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29"/>
      <c r="AX821" s="14"/>
      <c r="AY821" s="14"/>
      <c r="AZ821" s="14"/>
    </row>
    <row r="822" spans="1:52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29"/>
      <c r="AX822" s="14"/>
      <c r="AY822" s="14"/>
      <c r="AZ822" s="14"/>
    </row>
    <row r="823" spans="1:52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29"/>
      <c r="AX823" s="14"/>
      <c r="AY823" s="14"/>
      <c r="AZ823" s="14"/>
    </row>
    <row r="824" spans="1:52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29"/>
      <c r="AX824" s="14"/>
      <c r="AY824" s="14"/>
      <c r="AZ824" s="14"/>
    </row>
    <row r="825" spans="1:52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29"/>
      <c r="AX825" s="14"/>
      <c r="AY825" s="14"/>
      <c r="AZ825" s="14"/>
    </row>
    <row r="826" spans="1:52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29"/>
      <c r="AX826" s="14"/>
      <c r="AY826" s="14"/>
      <c r="AZ826" s="14"/>
    </row>
    <row r="827" spans="1:52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29"/>
      <c r="AX827" s="14"/>
      <c r="AY827" s="14"/>
      <c r="AZ827" s="14"/>
    </row>
    <row r="828" spans="1:52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29"/>
      <c r="AX828" s="14"/>
      <c r="AY828" s="14"/>
      <c r="AZ828" s="14"/>
    </row>
    <row r="829" spans="1:52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29"/>
      <c r="AX829" s="14"/>
      <c r="AY829" s="14"/>
      <c r="AZ829" s="14"/>
    </row>
    <row r="830" spans="1:52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29"/>
      <c r="AX830" s="14"/>
      <c r="AY830" s="14"/>
      <c r="AZ830" s="14"/>
    </row>
    <row r="831" spans="1:52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29"/>
      <c r="AX831" s="14"/>
      <c r="AY831" s="14"/>
      <c r="AZ831" s="14"/>
    </row>
    <row r="832" spans="1:52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29"/>
      <c r="AX832" s="14"/>
      <c r="AY832" s="14"/>
      <c r="AZ832" s="14"/>
    </row>
    <row r="833" spans="1:52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29"/>
      <c r="AX833" s="14"/>
      <c r="AY833" s="14"/>
      <c r="AZ833" s="14"/>
    </row>
    <row r="834" spans="1:52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29"/>
      <c r="AX834" s="14"/>
      <c r="AY834" s="14"/>
      <c r="AZ834" s="14"/>
    </row>
    <row r="835" spans="1:52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29"/>
      <c r="AX835" s="14"/>
      <c r="AY835" s="14"/>
      <c r="AZ835" s="14"/>
    </row>
    <row r="836" spans="1:52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29"/>
      <c r="AX836" s="14"/>
      <c r="AY836" s="14"/>
      <c r="AZ836" s="14"/>
    </row>
    <row r="837" spans="1:52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29"/>
      <c r="AX837" s="14"/>
      <c r="AY837" s="14"/>
      <c r="AZ837" s="14"/>
    </row>
    <row r="838" spans="1:52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29"/>
      <c r="AX838" s="14"/>
      <c r="AY838" s="14"/>
      <c r="AZ838" s="14"/>
    </row>
    <row r="839" spans="1:52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29"/>
      <c r="AX839" s="14"/>
      <c r="AY839" s="14"/>
      <c r="AZ839" s="14"/>
    </row>
    <row r="840" spans="1:52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29"/>
      <c r="AX840" s="14"/>
      <c r="AY840" s="14"/>
      <c r="AZ840" s="14"/>
    </row>
    <row r="841" spans="1:52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29"/>
      <c r="AX841" s="14"/>
      <c r="AY841" s="14"/>
      <c r="AZ841" s="14"/>
    </row>
    <row r="842" spans="1:52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29"/>
      <c r="AX842" s="14"/>
      <c r="AY842" s="14"/>
      <c r="AZ842" s="14"/>
    </row>
    <row r="843" spans="1:52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29"/>
      <c r="AX843" s="14"/>
      <c r="AY843" s="14"/>
      <c r="AZ843" s="14"/>
    </row>
    <row r="844" spans="1:52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29"/>
      <c r="AX844" s="14"/>
      <c r="AY844" s="14"/>
      <c r="AZ844" s="14"/>
    </row>
    <row r="845" spans="1:52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29"/>
      <c r="AX845" s="14"/>
      <c r="AY845" s="14"/>
      <c r="AZ845" s="14"/>
    </row>
    <row r="846" spans="1:52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29"/>
      <c r="AX846" s="14"/>
      <c r="AY846" s="14"/>
      <c r="AZ846" s="14"/>
    </row>
    <row r="847" spans="1:52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29"/>
      <c r="AX847" s="14"/>
      <c r="AY847" s="14"/>
      <c r="AZ847" s="14"/>
    </row>
    <row r="848" spans="1:52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29"/>
      <c r="AX848" s="14"/>
      <c r="AY848" s="14"/>
      <c r="AZ848" s="14"/>
    </row>
    <row r="849" spans="1:52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29"/>
      <c r="AX849" s="14"/>
      <c r="AY849" s="14"/>
      <c r="AZ849" s="14"/>
    </row>
    <row r="850" spans="1:52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29"/>
      <c r="AX850" s="14"/>
      <c r="AY850" s="14"/>
      <c r="AZ850" s="14"/>
    </row>
    <row r="851" spans="1:52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29"/>
      <c r="AX851" s="14"/>
      <c r="AY851" s="14"/>
      <c r="AZ851" s="14"/>
    </row>
    <row r="852" spans="1:52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29"/>
      <c r="AX852" s="14"/>
      <c r="AY852" s="14"/>
      <c r="AZ852" s="14"/>
    </row>
    <row r="853" spans="1:52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29"/>
      <c r="AX853" s="14"/>
      <c r="AY853" s="14"/>
      <c r="AZ853" s="14"/>
    </row>
    <row r="854" spans="1:52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29"/>
      <c r="AX854" s="14"/>
      <c r="AY854" s="14"/>
      <c r="AZ854" s="14"/>
    </row>
    <row r="855" spans="1:52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29"/>
      <c r="AX855" s="14"/>
      <c r="AY855" s="14"/>
      <c r="AZ855" s="14"/>
    </row>
    <row r="856" spans="1:52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29"/>
      <c r="AX856" s="14"/>
      <c r="AY856" s="14"/>
      <c r="AZ856" s="14"/>
    </row>
    <row r="857" spans="1:52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29"/>
      <c r="AX857" s="14"/>
      <c r="AY857" s="14"/>
      <c r="AZ857" s="14"/>
    </row>
    <row r="858" spans="1:52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29"/>
      <c r="AX858" s="14"/>
      <c r="AY858" s="14"/>
      <c r="AZ858" s="14"/>
    </row>
    <row r="859" spans="1:52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29"/>
      <c r="AX859" s="14"/>
      <c r="AY859" s="14"/>
      <c r="AZ859" s="14"/>
    </row>
    <row r="860" spans="1:52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29"/>
      <c r="AX860" s="14"/>
      <c r="AY860" s="14"/>
      <c r="AZ860" s="14"/>
    </row>
    <row r="861" spans="1:52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29"/>
      <c r="AX861" s="14"/>
      <c r="AY861" s="14"/>
      <c r="AZ861" s="14"/>
    </row>
    <row r="862" spans="1:52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29"/>
      <c r="AX862" s="14"/>
      <c r="AY862" s="14"/>
      <c r="AZ862" s="14"/>
    </row>
    <row r="863" spans="1:52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29"/>
      <c r="AX863" s="14"/>
      <c r="AY863" s="14"/>
      <c r="AZ863" s="14"/>
    </row>
    <row r="864" spans="1:52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29"/>
      <c r="AX864" s="14"/>
      <c r="AY864" s="14"/>
      <c r="AZ864" s="14"/>
    </row>
    <row r="865" spans="1:52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29"/>
      <c r="AX865" s="14"/>
      <c r="AY865" s="14"/>
      <c r="AZ865" s="14"/>
    </row>
    <row r="866" spans="1:52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29"/>
      <c r="AX866" s="14"/>
      <c r="AY866" s="14"/>
      <c r="AZ866" s="14"/>
    </row>
    <row r="867" spans="1:52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29"/>
      <c r="AX867" s="14"/>
      <c r="AY867" s="14"/>
      <c r="AZ867" s="14"/>
    </row>
    <row r="868" spans="1:52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29"/>
      <c r="AX868" s="14"/>
      <c r="AY868" s="14"/>
      <c r="AZ868" s="14"/>
    </row>
    <row r="869" spans="1:52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29"/>
      <c r="AX869" s="14"/>
      <c r="AY869" s="14"/>
      <c r="AZ869" s="14"/>
    </row>
    <row r="870" spans="1:52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29"/>
      <c r="AX870" s="14"/>
      <c r="AY870" s="14"/>
      <c r="AZ870" s="14"/>
    </row>
    <row r="871" spans="1:52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29"/>
      <c r="AX871" s="14"/>
      <c r="AY871" s="14"/>
      <c r="AZ871" s="14"/>
    </row>
    <row r="872" spans="1:52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29"/>
      <c r="AX872" s="14"/>
      <c r="AY872" s="14"/>
      <c r="AZ872" s="14"/>
    </row>
    <row r="873" spans="1:52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29"/>
      <c r="AX873" s="14"/>
      <c r="AY873" s="14"/>
      <c r="AZ873" s="14"/>
    </row>
    <row r="874" spans="1:52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29"/>
      <c r="AX874" s="14"/>
      <c r="AY874" s="14"/>
      <c r="AZ874" s="14"/>
    </row>
    <row r="875" spans="1:52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29"/>
      <c r="AX875" s="14"/>
      <c r="AY875" s="14"/>
      <c r="AZ875" s="14"/>
    </row>
    <row r="876" spans="1:52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29"/>
      <c r="AX876" s="14"/>
      <c r="AY876" s="14"/>
      <c r="AZ876" s="14"/>
    </row>
    <row r="877" spans="1:52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29"/>
      <c r="AX877" s="14"/>
      <c r="AY877" s="14"/>
      <c r="AZ877" s="14"/>
    </row>
    <row r="878" spans="1:52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29"/>
      <c r="AX878" s="14"/>
      <c r="AY878" s="14"/>
      <c r="AZ878" s="14"/>
    </row>
    <row r="879" spans="1:52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29"/>
      <c r="AX879" s="14"/>
      <c r="AY879" s="14"/>
      <c r="AZ879" s="14"/>
    </row>
    <row r="880" spans="1:52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29"/>
      <c r="AX880" s="14"/>
      <c r="AY880" s="14"/>
      <c r="AZ880" s="14"/>
    </row>
    <row r="881" spans="1:52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29"/>
      <c r="AX881" s="14"/>
      <c r="AY881" s="14"/>
      <c r="AZ881" s="14"/>
    </row>
    <row r="882" spans="1:52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29"/>
      <c r="AX882" s="14"/>
      <c r="AY882" s="14"/>
      <c r="AZ882" s="14"/>
    </row>
    <row r="883" spans="1:52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29"/>
      <c r="AX883" s="14"/>
      <c r="AY883" s="14"/>
      <c r="AZ883" s="14"/>
    </row>
    <row r="884" spans="1:52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29"/>
      <c r="AX884" s="14"/>
      <c r="AY884" s="14"/>
      <c r="AZ884" s="14"/>
    </row>
    <row r="885" spans="1:52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29"/>
      <c r="AX885" s="14"/>
      <c r="AY885" s="14"/>
      <c r="AZ885" s="14"/>
    </row>
    <row r="886" spans="1:52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29"/>
      <c r="AX886" s="14"/>
      <c r="AY886" s="14"/>
      <c r="AZ886" s="14"/>
    </row>
    <row r="887" spans="1:52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29"/>
      <c r="AX887" s="14"/>
      <c r="AY887" s="14"/>
      <c r="AZ887" s="14"/>
    </row>
    <row r="888" spans="1:52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29"/>
      <c r="AX888" s="14"/>
      <c r="AY888" s="14"/>
      <c r="AZ888" s="14"/>
    </row>
    <row r="889" spans="1:52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29"/>
      <c r="AX889" s="14"/>
      <c r="AY889" s="14"/>
      <c r="AZ889" s="14"/>
    </row>
    <row r="890" spans="1:52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29"/>
      <c r="AX890" s="14"/>
      <c r="AY890" s="14"/>
      <c r="AZ890" s="14"/>
    </row>
    <row r="891" spans="1:52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29"/>
      <c r="AX891" s="14"/>
      <c r="AY891" s="14"/>
      <c r="AZ891" s="14"/>
    </row>
    <row r="892" spans="1:52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29"/>
      <c r="AX892" s="14"/>
      <c r="AY892" s="14"/>
      <c r="AZ892" s="14"/>
    </row>
    <row r="893" spans="1:52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29"/>
      <c r="AX893" s="14"/>
      <c r="AY893" s="14"/>
      <c r="AZ893" s="14"/>
    </row>
    <row r="894" spans="1:52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29"/>
      <c r="AX894" s="14"/>
      <c r="AY894" s="14"/>
      <c r="AZ894" s="14"/>
    </row>
    <row r="895" spans="1:52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29"/>
      <c r="AX895" s="14"/>
      <c r="AY895" s="14"/>
      <c r="AZ895" s="14"/>
    </row>
    <row r="896" spans="1:52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29"/>
      <c r="AX896" s="14"/>
      <c r="AY896" s="14"/>
      <c r="AZ896" s="14"/>
    </row>
    <row r="897" spans="1:52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29"/>
      <c r="AX897" s="14"/>
      <c r="AY897" s="14"/>
      <c r="AZ897" s="14"/>
    </row>
    <row r="898" spans="1:52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29"/>
      <c r="AX898" s="14"/>
      <c r="AY898" s="14"/>
      <c r="AZ898" s="14"/>
    </row>
    <row r="899" spans="1:52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29"/>
      <c r="AX899" s="14"/>
      <c r="AY899" s="14"/>
      <c r="AZ899" s="14"/>
    </row>
    <row r="900" spans="1:52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29"/>
      <c r="AX900" s="14"/>
      <c r="AY900" s="14"/>
      <c r="AZ900" s="14"/>
    </row>
    <row r="901" spans="1:52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29"/>
      <c r="AX901" s="14"/>
      <c r="AY901" s="14"/>
      <c r="AZ901" s="14"/>
    </row>
    <row r="902" spans="1:52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29"/>
      <c r="AX902" s="14"/>
      <c r="AY902" s="14"/>
      <c r="AZ902" s="14"/>
    </row>
    <row r="903" spans="1:52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29"/>
      <c r="AX903" s="14"/>
      <c r="AY903" s="14"/>
      <c r="AZ903" s="14"/>
    </row>
    <row r="904" spans="1:52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29"/>
      <c r="AX904" s="14"/>
      <c r="AY904" s="14"/>
      <c r="AZ904" s="14"/>
    </row>
    <row r="905" spans="1:52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29"/>
      <c r="AX905" s="14"/>
      <c r="AY905" s="14"/>
      <c r="AZ905" s="14"/>
    </row>
    <row r="906" spans="1:52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29"/>
      <c r="AX906" s="14"/>
      <c r="AY906" s="14"/>
      <c r="AZ906" s="14"/>
    </row>
    <row r="907" spans="1:52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29"/>
      <c r="AX907" s="14"/>
      <c r="AY907" s="14"/>
      <c r="AZ907" s="14"/>
    </row>
    <row r="908" spans="1:52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29"/>
      <c r="AX908" s="14"/>
      <c r="AY908" s="14"/>
      <c r="AZ908" s="14"/>
    </row>
    <row r="909" spans="1:52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29"/>
      <c r="AX909" s="14"/>
      <c r="AY909" s="14"/>
      <c r="AZ909" s="14"/>
    </row>
    <row r="910" spans="1:52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29"/>
      <c r="AX910" s="14"/>
      <c r="AY910" s="14"/>
      <c r="AZ910" s="14"/>
    </row>
    <row r="911" spans="1:52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29"/>
      <c r="AX911" s="14"/>
      <c r="AY911" s="14"/>
      <c r="AZ911" s="14"/>
    </row>
    <row r="912" spans="1:52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29"/>
      <c r="AX912" s="14"/>
      <c r="AY912" s="14"/>
      <c r="AZ912" s="14"/>
    </row>
    <row r="913" spans="1:52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29"/>
      <c r="AX913" s="14"/>
      <c r="AY913" s="14"/>
      <c r="AZ913" s="14"/>
    </row>
    <row r="914" spans="1:52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29"/>
      <c r="AX914" s="14"/>
      <c r="AY914" s="14"/>
      <c r="AZ914" s="14"/>
    </row>
    <row r="915" spans="1:52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29"/>
      <c r="AX915" s="14"/>
      <c r="AY915" s="14"/>
      <c r="AZ915" s="14"/>
    </row>
    <row r="916" spans="1:52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29"/>
      <c r="AX916" s="14"/>
      <c r="AY916" s="14"/>
      <c r="AZ916" s="14"/>
    </row>
    <row r="917" spans="1:52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29"/>
      <c r="AX917" s="14"/>
      <c r="AY917" s="14"/>
      <c r="AZ917" s="14"/>
    </row>
    <row r="918" spans="1:52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29"/>
      <c r="AX918" s="14"/>
      <c r="AY918" s="14"/>
      <c r="AZ918" s="14"/>
    </row>
    <row r="919" spans="1:52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29"/>
      <c r="AX919" s="14"/>
      <c r="AY919" s="14"/>
      <c r="AZ919" s="14"/>
    </row>
    <row r="920" spans="1:52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29"/>
      <c r="AX920" s="14"/>
      <c r="AY920" s="14"/>
      <c r="AZ920" s="14"/>
    </row>
    <row r="921" spans="1:52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29"/>
      <c r="AX921" s="14"/>
      <c r="AY921" s="14"/>
      <c r="AZ921" s="14"/>
    </row>
    <row r="922" spans="1:52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29"/>
      <c r="AX922" s="14"/>
      <c r="AY922" s="14"/>
      <c r="AZ922" s="14"/>
    </row>
    <row r="923" spans="1:52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29"/>
      <c r="AX923" s="14"/>
      <c r="AY923" s="14"/>
      <c r="AZ923" s="14"/>
    </row>
    <row r="924" spans="1:52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29"/>
      <c r="AX924" s="14"/>
      <c r="AY924" s="14"/>
      <c r="AZ924" s="14"/>
    </row>
    <row r="925" spans="1:52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29"/>
      <c r="AX925" s="14"/>
      <c r="AY925" s="14"/>
      <c r="AZ925" s="14"/>
    </row>
    <row r="926" spans="1:52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29"/>
      <c r="AX926" s="14"/>
      <c r="AY926" s="14"/>
      <c r="AZ926" s="14"/>
    </row>
    <row r="927" spans="1:52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29"/>
      <c r="AX927" s="14"/>
      <c r="AY927" s="14"/>
      <c r="AZ927" s="14"/>
    </row>
    <row r="928" spans="1:52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29"/>
      <c r="AX928" s="14"/>
      <c r="AY928" s="14"/>
      <c r="AZ928" s="14"/>
    </row>
    <row r="929" spans="1:52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29"/>
      <c r="AX929" s="14"/>
      <c r="AY929" s="14"/>
      <c r="AZ929" s="14"/>
    </row>
    <row r="930" spans="1:52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29"/>
      <c r="AX930" s="14"/>
      <c r="AY930" s="14"/>
      <c r="AZ930" s="14"/>
    </row>
    <row r="931" spans="1:52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29"/>
      <c r="AX931" s="14"/>
      <c r="AY931" s="14"/>
      <c r="AZ931" s="14"/>
    </row>
    <row r="932" spans="1:52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29"/>
      <c r="AX932" s="14"/>
      <c r="AY932" s="14"/>
      <c r="AZ932" s="14"/>
    </row>
    <row r="933" spans="1:52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29"/>
      <c r="AX933" s="14"/>
      <c r="AY933" s="14"/>
      <c r="AZ933" s="14"/>
    </row>
    <row r="934" spans="1:52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29"/>
      <c r="AX934" s="14"/>
      <c r="AY934" s="14"/>
      <c r="AZ934" s="14"/>
    </row>
    <row r="935" spans="1:52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29"/>
      <c r="AX935" s="14"/>
      <c r="AY935" s="14"/>
      <c r="AZ935" s="14"/>
    </row>
    <row r="936" spans="1:52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29"/>
      <c r="AX936" s="14"/>
      <c r="AY936" s="14"/>
      <c r="AZ936" s="14"/>
    </row>
    <row r="937" spans="1:52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29"/>
      <c r="AX937" s="14"/>
      <c r="AY937" s="14"/>
      <c r="AZ937" s="14"/>
    </row>
    <row r="938" spans="1:52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29"/>
      <c r="AX938" s="14"/>
      <c r="AY938" s="14"/>
      <c r="AZ938" s="14"/>
    </row>
    <row r="939" spans="1:52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29"/>
      <c r="AX939" s="14"/>
      <c r="AY939" s="14"/>
      <c r="AZ939" s="14"/>
    </row>
    <row r="940" spans="1:52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29"/>
      <c r="AX940" s="14"/>
      <c r="AY940" s="14"/>
      <c r="AZ940" s="14"/>
    </row>
    <row r="941" spans="1:52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29"/>
      <c r="AX941" s="14"/>
      <c r="AY941" s="14"/>
      <c r="AZ941" s="14"/>
    </row>
    <row r="942" spans="1:52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29"/>
      <c r="AX942" s="14"/>
      <c r="AY942" s="14"/>
      <c r="AZ942" s="14"/>
    </row>
    <row r="943" spans="1:52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29"/>
      <c r="AX943" s="14"/>
      <c r="AY943" s="14"/>
      <c r="AZ943" s="14"/>
    </row>
    <row r="944" spans="1:52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29"/>
      <c r="AX944" s="14"/>
      <c r="AY944" s="14"/>
      <c r="AZ944" s="14"/>
    </row>
    <row r="945" spans="1:52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29"/>
      <c r="AX945" s="14"/>
      <c r="AY945" s="14"/>
      <c r="AZ945" s="14"/>
    </row>
    <row r="946" spans="1:52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29"/>
      <c r="AX946" s="14"/>
      <c r="AY946" s="14"/>
      <c r="AZ946" s="14"/>
    </row>
    <row r="947" spans="1:52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29"/>
      <c r="AX947" s="14"/>
      <c r="AY947" s="14"/>
      <c r="AZ947" s="14"/>
    </row>
    <row r="948" spans="1:52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29"/>
      <c r="AX948" s="14"/>
      <c r="AY948" s="14"/>
      <c r="AZ948" s="14"/>
    </row>
    <row r="949" spans="1:52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29"/>
      <c r="AX949" s="14"/>
      <c r="AY949" s="14"/>
      <c r="AZ949" s="14"/>
    </row>
    <row r="950" spans="1:52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29"/>
      <c r="AX950" s="14"/>
      <c r="AY950" s="14"/>
      <c r="AZ950" s="14"/>
    </row>
    <row r="951" spans="1:52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29"/>
      <c r="AX951" s="14"/>
      <c r="AY951" s="14"/>
      <c r="AZ951" s="14"/>
    </row>
    <row r="952" spans="1:52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29"/>
      <c r="AX952" s="14"/>
      <c r="AY952" s="14"/>
      <c r="AZ952" s="14"/>
    </row>
    <row r="953" spans="1:52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29"/>
      <c r="AX953" s="14"/>
      <c r="AY953" s="14"/>
      <c r="AZ953" s="14"/>
    </row>
    <row r="954" spans="1:52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29"/>
      <c r="AX954" s="14"/>
      <c r="AY954" s="14"/>
      <c r="AZ954" s="14"/>
    </row>
    <row r="955" spans="1:52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29"/>
      <c r="AX955" s="14"/>
      <c r="AY955" s="14"/>
      <c r="AZ955" s="14"/>
    </row>
    <row r="956" spans="1:52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29"/>
      <c r="AX956" s="14"/>
      <c r="AY956" s="14"/>
      <c r="AZ956" s="14"/>
    </row>
    <row r="957" spans="1:52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29"/>
      <c r="AX957" s="14"/>
      <c r="AY957" s="14"/>
      <c r="AZ957" s="14"/>
    </row>
    <row r="958" spans="1:52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29"/>
      <c r="AX958" s="14"/>
      <c r="AY958" s="14"/>
      <c r="AZ958" s="14"/>
    </row>
    <row r="959" spans="1:52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29"/>
      <c r="AX959" s="14"/>
      <c r="AY959" s="14"/>
      <c r="AZ959" s="14"/>
    </row>
    <row r="960" spans="1:52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29"/>
      <c r="AX960" s="14"/>
      <c r="AY960" s="14"/>
      <c r="AZ960" s="14"/>
    </row>
    <row r="961" spans="1:52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29"/>
      <c r="AX961" s="14"/>
      <c r="AY961" s="14"/>
      <c r="AZ961" s="14"/>
    </row>
    <row r="962" spans="1:52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29"/>
      <c r="AX962" s="14"/>
      <c r="AY962" s="14"/>
      <c r="AZ962" s="14"/>
    </row>
    <row r="963" spans="1:52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29"/>
      <c r="AX963" s="14"/>
      <c r="AY963" s="14"/>
      <c r="AZ963" s="14"/>
    </row>
    <row r="964" spans="1:52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29"/>
      <c r="AX964" s="14"/>
      <c r="AY964" s="14"/>
      <c r="AZ964" s="14"/>
    </row>
    <row r="965" spans="1:52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29"/>
      <c r="AX965" s="14"/>
      <c r="AY965" s="14"/>
      <c r="AZ965" s="14"/>
    </row>
    <row r="966" spans="1:52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29"/>
      <c r="AX966" s="14"/>
      <c r="AY966" s="14"/>
      <c r="AZ966" s="14"/>
    </row>
    <row r="967" spans="1:52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29"/>
      <c r="AX967" s="14"/>
      <c r="AY967" s="14"/>
      <c r="AZ967" s="14"/>
    </row>
    <row r="968" spans="1:52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29"/>
      <c r="AX968" s="14"/>
      <c r="AY968" s="14"/>
      <c r="AZ968" s="14"/>
    </row>
    <row r="969" spans="1:52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29"/>
      <c r="AX969" s="14"/>
      <c r="AY969" s="14"/>
      <c r="AZ969" s="14"/>
    </row>
    <row r="970" spans="1:52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29"/>
      <c r="AX970" s="14"/>
      <c r="AY970" s="14"/>
      <c r="AZ970" s="14"/>
    </row>
    <row r="971" spans="1:52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29"/>
      <c r="AX971" s="14"/>
      <c r="AY971" s="14"/>
      <c r="AZ971" s="14"/>
    </row>
    <row r="972" spans="1:52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29"/>
      <c r="AX972" s="14"/>
      <c r="AY972" s="14"/>
      <c r="AZ972" s="14"/>
    </row>
    <row r="973" spans="1:52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29"/>
      <c r="AX973" s="14"/>
      <c r="AY973" s="14"/>
      <c r="AZ973" s="14"/>
    </row>
    <row r="974" spans="1:52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29"/>
      <c r="AX974" s="14"/>
      <c r="AY974" s="14"/>
      <c r="AZ974" s="14"/>
    </row>
    <row r="975" spans="1:52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29"/>
      <c r="AX975" s="14"/>
      <c r="AY975" s="14"/>
      <c r="AZ975" s="14"/>
    </row>
    <row r="976" spans="1:52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29"/>
      <c r="AX976" s="14"/>
      <c r="AY976" s="14"/>
      <c r="AZ976" s="14"/>
    </row>
    <row r="977" spans="1:52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29"/>
      <c r="AX977" s="14"/>
      <c r="AY977" s="14"/>
      <c r="AZ977" s="14"/>
    </row>
    <row r="978" spans="1:52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29"/>
      <c r="AX978" s="14"/>
      <c r="AY978" s="14"/>
      <c r="AZ978" s="14"/>
    </row>
    <row r="979" spans="1:52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29"/>
      <c r="AX979" s="14"/>
      <c r="AY979" s="14"/>
      <c r="AZ979" s="14"/>
    </row>
    <row r="980" spans="1:52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29"/>
      <c r="AX980" s="14"/>
      <c r="AY980" s="14"/>
      <c r="AZ980" s="14"/>
    </row>
    <row r="981" spans="1:52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29"/>
      <c r="AX981" s="14"/>
      <c r="AY981" s="14"/>
      <c r="AZ981" s="14"/>
    </row>
    <row r="982" spans="1:52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29"/>
      <c r="AX982" s="14"/>
      <c r="AY982" s="14"/>
      <c r="AZ982" s="14"/>
    </row>
    <row r="983" spans="1:52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29"/>
      <c r="AX983" s="14"/>
      <c r="AY983" s="14"/>
      <c r="AZ983" s="14"/>
    </row>
    <row r="984" spans="1:52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29"/>
      <c r="AX984" s="14"/>
      <c r="AY984" s="14"/>
      <c r="AZ984" s="14"/>
    </row>
    <row r="985" spans="1:52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29"/>
      <c r="AX985" s="14"/>
      <c r="AY985" s="14"/>
      <c r="AZ985" s="14"/>
    </row>
    <row r="986" spans="1:52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29"/>
      <c r="AX986" s="14"/>
      <c r="AY986" s="14"/>
      <c r="AZ986" s="14"/>
    </row>
    <row r="987" spans="1:52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29"/>
      <c r="AX987" s="14"/>
      <c r="AY987" s="14"/>
      <c r="AZ987" s="14"/>
    </row>
    <row r="988" spans="1:52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29"/>
      <c r="AX988" s="14"/>
      <c r="AY988" s="14"/>
      <c r="AZ988" s="14"/>
    </row>
    <row r="989" spans="1:52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29"/>
      <c r="AX989" s="14"/>
      <c r="AY989" s="14"/>
      <c r="AZ989" s="14"/>
    </row>
    <row r="990" spans="1:52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29"/>
      <c r="AX990" s="14"/>
      <c r="AY990" s="14"/>
      <c r="AZ990" s="14"/>
    </row>
    <row r="991" spans="1:52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29"/>
      <c r="AX991" s="14"/>
      <c r="AY991" s="14"/>
      <c r="AZ991" s="14"/>
    </row>
    <row r="992" spans="1:52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29"/>
      <c r="AX992" s="14"/>
      <c r="AY992" s="14"/>
      <c r="AZ992" s="14"/>
    </row>
    <row r="993" spans="1:52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29"/>
      <c r="AX993" s="14"/>
      <c r="AY993" s="14"/>
      <c r="AZ993" s="14"/>
    </row>
    <row r="994" spans="1:52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29"/>
      <c r="AX994" s="14"/>
      <c r="AY994" s="14"/>
      <c r="AZ994" s="14"/>
    </row>
    <row r="995" spans="1:52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29"/>
      <c r="AX995" s="14"/>
      <c r="AY995" s="14"/>
      <c r="AZ995" s="14"/>
    </row>
    <row r="996" spans="1:52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29"/>
      <c r="AX996" s="14"/>
      <c r="AY996" s="14"/>
      <c r="AZ996" s="14"/>
    </row>
    <row r="997" spans="1:52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29"/>
      <c r="AX997" s="14"/>
      <c r="AY997" s="14"/>
      <c r="AZ997" s="14"/>
    </row>
    <row r="998" spans="1:52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29"/>
      <c r="AX998" s="14"/>
      <c r="AY998" s="14"/>
      <c r="AZ998" s="14"/>
    </row>
    <row r="999" spans="1:52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29"/>
      <c r="AX999" s="14"/>
      <c r="AY999" s="14"/>
      <c r="AZ999" s="14"/>
    </row>
  </sheetData>
  <sortState xmlns:xlrd2="http://schemas.microsoft.com/office/spreadsheetml/2017/richdata2" ref="D2:AZ153">
    <sortCondition ref="D1:D153"/>
  </sortState>
  <pageMargins left="0.7" right="0.7" top="0.75" bottom="0.75" header="0" footer="0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AH999"/>
  <sheetViews>
    <sheetView showGridLines="0" topLeftCell="A118" zoomScaleNormal="112" zoomScalePageLayoutView="26" workbookViewId="0">
      <pane xSplit="1" topLeftCell="B1" activePane="topRight" state="frozen"/>
      <selection activeCell="G15" sqref="G15"/>
      <selection pane="topRight" activeCell="D114" sqref="D114:D137"/>
    </sheetView>
  </sheetViews>
  <sheetFormatPr defaultColWidth="14.44140625" defaultRowHeight="15" customHeight="1"/>
  <cols>
    <col min="1" max="1" width="33.109375" customWidth="1"/>
    <col min="2" max="2" width="37.5546875" customWidth="1"/>
    <col min="3" max="3" width="18" bestFit="1" customWidth="1"/>
    <col min="4" max="4" width="13.6640625" customWidth="1"/>
    <col min="5" max="5" width="12.44140625" customWidth="1"/>
    <col min="6" max="7" width="10" customWidth="1"/>
    <col min="8" max="8" width="11.33203125" customWidth="1"/>
    <col min="9" max="9" width="11" customWidth="1"/>
    <col min="10" max="10" width="10.88671875" customWidth="1"/>
    <col min="11" max="11" width="10" customWidth="1"/>
    <col min="12" max="13" width="11.109375" customWidth="1"/>
    <col min="14" max="14" width="27.33203125" customWidth="1"/>
    <col min="15" max="15" width="12.44140625" customWidth="1"/>
    <col min="16" max="16" width="10" customWidth="1"/>
    <col min="17" max="17" width="9.109375" customWidth="1"/>
    <col min="18" max="18" width="10.44140625" customWidth="1"/>
    <col min="19" max="19" width="9.109375" customWidth="1"/>
    <col min="20" max="20" width="10.109375" customWidth="1"/>
    <col min="21" max="21" width="9.44140625" customWidth="1"/>
    <col min="22" max="22" width="9.109375" customWidth="1"/>
    <col min="23" max="24" width="11.33203125" customWidth="1"/>
    <col min="25" max="25" width="10" customWidth="1"/>
    <col min="26" max="26" width="11.33203125" customWidth="1"/>
    <col min="27" max="27" width="11.88671875" customWidth="1"/>
    <col min="28" max="29" width="11.33203125" customWidth="1"/>
    <col min="30" max="30" width="10.44140625" customWidth="1"/>
    <col min="31" max="31" width="9.88671875" customWidth="1"/>
    <col min="32" max="32" width="9.6640625" customWidth="1"/>
    <col min="33" max="34" width="11.33203125" customWidth="1"/>
  </cols>
  <sheetData>
    <row r="1" spans="2:34" s="337" customFormat="1" ht="15" customHeight="1">
      <c r="B1" s="342" t="s">
        <v>1</v>
      </c>
      <c r="C1" s="343" t="s">
        <v>369</v>
      </c>
      <c r="D1" s="342" t="s">
        <v>2</v>
      </c>
      <c r="E1" s="342" t="s">
        <v>3</v>
      </c>
      <c r="F1" s="342" t="s">
        <v>4</v>
      </c>
      <c r="G1" s="342" t="s">
        <v>5</v>
      </c>
      <c r="H1" s="342" t="s">
        <v>6</v>
      </c>
      <c r="I1" s="342" t="s">
        <v>7</v>
      </c>
      <c r="J1" s="342" t="s">
        <v>8</v>
      </c>
      <c r="K1" s="342" t="s">
        <v>9</v>
      </c>
      <c r="L1" s="342" t="s">
        <v>10</v>
      </c>
      <c r="M1" s="342" t="s">
        <v>11</v>
      </c>
      <c r="N1" s="342" t="s">
        <v>12</v>
      </c>
      <c r="O1" s="342" t="s">
        <v>13</v>
      </c>
      <c r="P1" s="342" t="s">
        <v>14</v>
      </c>
      <c r="Q1" s="342" t="s">
        <v>15</v>
      </c>
      <c r="R1" s="342" t="s">
        <v>16</v>
      </c>
      <c r="S1" s="342" t="s">
        <v>17</v>
      </c>
      <c r="T1" s="342" t="s">
        <v>18</v>
      </c>
      <c r="U1" s="342" t="s">
        <v>19</v>
      </c>
      <c r="V1" s="342" t="s">
        <v>20</v>
      </c>
      <c r="W1" s="342" t="s">
        <v>21</v>
      </c>
      <c r="X1" s="342" t="s">
        <v>22</v>
      </c>
      <c r="Y1" s="342" t="s">
        <v>23</v>
      </c>
      <c r="Z1" s="342" t="s">
        <v>24</v>
      </c>
      <c r="AA1" s="342" t="s">
        <v>25</v>
      </c>
      <c r="AB1" s="342" t="s">
        <v>26</v>
      </c>
      <c r="AC1" s="342" t="s">
        <v>27</v>
      </c>
      <c r="AD1" s="342" t="s">
        <v>28</v>
      </c>
      <c r="AE1" s="342" t="s">
        <v>29</v>
      </c>
      <c r="AF1" s="342" t="s">
        <v>30</v>
      </c>
      <c r="AG1" s="342" t="s">
        <v>31</v>
      </c>
      <c r="AH1" s="342" t="s">
        <v>32</v>
      </c>
    </row>
    <row r="2" spans="2:34" ht="15" customHeight="1">
      <c r="B2" s="340" t="s">
        <v>411</v>
      </c>
      <c r="C2" s="345">
        <v>200</v>
      </c>
      <c r="D2" s="346">
        <v>0</v>
      </c>
      <c r="E2" s="346">
        <v>7.3</v>
      </c>
      <c r="F2" s="346">
        <v>288</v>
      </c>
      <c r="G2" s="346">
        <v>12.4</v>
      </c>
      <c r="H2" s="346">
        <f>G2*0.61</f>
        <v>7.5640000000000001</v>
      </c>
      <c r="I2" s="346">
        <f>G2*0.27</f>
        <v>3.3480000000000003</v>
      </c>
      <c r="J2" s="346">
        <f>G2*0.2</f>
        <v>2.4800000000000004</v>
      </c>
      <c r="K2" s="346">
        <f t="shared" ref="K2:K33" si="0">C2*0.7</f>
        <v>140</v>
      </c>
      <c r="L2" s="346">
        <v>0</v>
      </c>
      <c r="M2" s="346">
        <v>0</v>
      </c>
      <c r="N2" s="346">
        <f t="shared" ref="N2:N33" si="1">(C2*0.1%)*1000</f>
        <v>200</v>
      </c>
      <c r="O2" s="346">
        <v>0</v>
      </c>
      <c r="P2" s="346">
        <v>8</v>
      </c>
      <c r="Q2" s="346">
        <v>5.6</v>
      </c>
      <c r="R2" s="346"/>
      <c r="S2" s="346"/>
      <c r="T2" s="346"/>
      <c r="U2" s="346"/>
      <c r="V2" s="346"/>
      <c r="W2" s="346"/>
      <c r="X2" s="346"/>
      <c r="Y2" s="346"/>
      <c r="Z2" s="346"/>
      <c r="AA2" s="346"/>
      <c r="AB2" s="346"/>
      <c r="AC2" s="346"/>
      <c r="AD2" s="346"/>
      <c r="AE2" s="346"/>
      <c r="AF2" s="346"/>
      <c r="AG2" s="346"/>
      <c r="AH2" s="346"/>
    </row>
    <row r="3" spans="2:34" ht="15" customHeight="1">
      <c r="B3" s="340" t="s">
        <v>411</v>
      </c>
      <c r="C3" s="345">
        <v>400</v>
      </c>
      <c r="D3" s="346">
        <v>0</v>
      </c>
      <c r="E3" s="346">
        <v>14.5</v>
      </c>
      <c r="F3" s="346">
        <v>576</v>
      </c>
      <c r="G3" s="346">
        <v>24.8</v>
      </c>
      <c r="H3" s="346">
        <f>G3*0.61</f>
        <v>15.128</v>
      </c>
      <c r="I3" s="346">
        <f>G3*0.27</f>
        <v>6.6960000000000006</v>
      </c>
      <c r="J3" s="346">
        <f>G3*0.2</f>
        <v>4.9600000000000009</v>
      </c>
      <c r="K3" s="346">
        <f t="shared" si="0"/>
        <v>280</v>
      </c>
      <c r="L3" s="346">
        <v>0</v>
      </c>
      <c r="M3" s="346">
        <v>0</v>
      </c>
      <c r="N3" s="346">
        <f t="shared" si="1"/>
        <v>400</v>
      </c>
      <c r="O3" s="346">
        <v>0</v>
      </c>
      <c r="P3" s="346">
        <v>16</v>
      </c>
      <c r="Q3" s="346">
        <v>11.2</v>
      </c>
      <c r="R3" s="346"/>
      <c r="S3" s="346"/>
      <c r="T3" s="346"/>
      <c r="U3" s="346"/>
      <c r="V3" s="346"/>
      <c r="W3" s="346"/>
      <c r="X3" s="346"/>
      <c r="Y3" s="346"/>
      <c r="Z3" s="346"/>
      <c r="AA3" s="346"/>
      <c r="AB3" s="346"/>
      <c r="AC3" s="346"/>
      <c r="AD3" s="346"/>
      <c r="AE3" s="346"/>
      <c r="AF3" s="346"/>
      <c r="AG3" s="346"/>
      <c r="AH3" s="346"/>
    </row>
    <row r="4" spans="2:34" ht="15" customHeight="1">
      <c r="B4" s="340" t="s">
        <v>411</v>
      </c>
      <c r="C4" s="345">
        <v>500</v>
      </c>
      <c r="D4" s="346">
        <v>0</v>
      </c>
      <c r="E4" s="346">
        <v>18.2</v>
      </c>
      <c r="F4" s="346">
        <v>720</v>
      </c>
      <c r="G4" s="346">
        <v>31</v>
      </c>
      <c r="H4" s="346">
        <f>G4*0.61</f>
        <v>18.91</v>
      </c>
      <c r="I4" s="346">
        <f>G4*0.27</f>
        <v>8.370000000000001</v>
      </c>
      <c r="J4" s="346">
        <f>G4*0.2</f>
        <v>6.2</v>
      </c>
      <c r="K4" s="346">
        <f t="shared" si="0"/>
        <v>350</v>
      </c>
      <c r="L4" s="346">
        <v>0</v>
      </c>
      <c r="M4" s="346">
        <v>0</v>
      </c>
      <c r="N4" s="346">
        <f t="shared" si="1"/>
        <v>500</v>
      </c>
      <c r="O4" s="346">
        <v>0</v>
      </c>
      <c r="P4" s="346">
        <v>20</v>
      </c>
      <c r="Q4" s="346">
        <v>14</v>
      </c>
      <c r="R4" s="346">
        <v>7.5</v>
      </c>
      <c r="S4" s="346">
        <v>25</v>
      </c>
      <c r="T4" s="346">
        <v>10</v>
      </c>
      <c r="U4" s="346">
        <v>40</v>
      </c>
      <c r="V4" s="346">
        <v>15</v>
      </c>
      <c r="W4" s="346">
        <v>0.5</v>
      </c>
      <c r="X4" s="346">
        <v>100</v>
      </c>
      <c r="Y4" s="346">
        <v>3.5</v>
      </c>
      <c r="Z4" s="346">
        <v>400</v>
      </c>
      <c r="AA4" s="346">
        <v>400</v>
      </c>
      <c r="AB4" s="346">
        <v>1</v>
      </c>
      <c r="AC4" s="346">
        <v>400</v>
      </c>
      <c r="AD4" s="346">
        <v>15</v>
      </c>
      <c r="AE4" s="346">
        <v>3300</v>
      </c>
      <c r="AF4" s="346">
        <v>500</v>
      </c>
      <c r="AG4" s="346">
        <v>30</v>
      </c>
      <c r="AH4" s="346">
        <v>20</v>
      </c>
    </row>
    <row r="5" spans="2:34" ht="15" customHeight="1">
      <c r="B5" s="344" t="s">
        <v>411</v>
      </c>
      <c r="C5" s="345">
        <v>600</v>
      </c>
      <c r="D5" s="346">
        <v>0</v>
      </c>
      <c r="E5" s="346"/>
      <c r="F5" s="346"/>
      <c r="G5" s="346"/>
      <c r="H5" s="346"/>
      <c r="I5" s="346"/>
      <c r="J5" s="346"/>
      <c r="K5" s="346">
        <f t="shared" si="0"/>
        <v>420</v>
      </c>
      <c r="L5" s="346"/>
      <c r="M5" s="346"/>
      <c r="N5" s="346">
        <f t="shared" si="1"/>
        <v>600</v>
      </c>
      <c r="O5" s="346"/>
      <c r="P5" s="346"/>
      <c r="Q5" s="346"/>
      <c r="R5" s="346"/>
      <c r="S5" s="346"/>
      <c r="T5" s="346"/>
      <c r="U5" s="346"/>
      <c r="V5" s="346"/>
      <c r="W5" s="346"/>
      <c r="X5" s="346"/>
      <c r="Y5" s="346"/>
      <c r="Z5" s="346"/>
      <c r="AA5" s="346"/>
      <c r="AB5" s="346"/>
      <c r="AC5" s="346"/>
      <c r="AD5" s="346"/>
      <c r="AE5" s="346"/>
      <c r="AF5" s="346"/>
      <c r="AG5" s="346"/>
      <c r="AH5" s="346"/>
    </row>
    <row r="6" spans="2:34" ht="15" customHeight="1">
      <c r="B6" s="340" t="s">
        <v>34</v>
      </c>
      <c r="C6" s="345">
        <v>200</v>
      </c>
      <c r="D6" s="346">
        <v>0</v>
      </c>
      <c r="E6" s="346">
        <v>6.7</v>
      </c>
      <c r="F6" s="346">
        <v>252</v>
      </c>
      <c r="G6" s="346">
        <v>10.8</v>
      </c>
      <c r="H6" s="346">
        <f>G6*0.61</f>
        <v>6.5880000000000001</v>
      </c>
      <c r="I6" s="346">
        <f>G6*0.27</f>
        <v>2.9160000000000004</v>
      </c>
      <c r="J6" s="346">
        <f>G6*0.2</f>
        <v>2.16</v>
      </c>
      <c r="K6" s="346">
        <f t="shared" si="0"/>
        <v>140</v>
      </c>
      <c r="L6" s="346">
        <v>0</v>
      </c>
      <c r="M6" s="346">
        <v>0</v>
      </c>
      <c r="N6" s="346">
        <f t="shared" si="1"/>
        <v>200</v>
      </c>
      <c r="O6" s="346">
        <v>0</v>
      </c>
      <c r="P6" s="346">
        <v>8</v>
      </c>
      <c r="Q6" s="346">
        <v>5.6</v>
      </c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</row>
    <row r="7" spans="2:34" ht="15" customHeight="1">
      <c r="B7" s="340" t="s">
        <v>34</v>
      </c>
      <c r="C7" s="345">
        <v>400</v>
      </c>
      <c r="D7" s="346">
        <v>0</v>
      </c>
      <c r="E7" s="346">
        <v>13.3</v>
      </c>
      <c r="F7" s="346">
        <v>504</v>
      </c>
      <c r="G7" s="346">
        <v>21.7</v>
      </c>
      <c r="H7" s="346">
        <f>G7*0.61</f>
        <v>13.237</v>
      </c>
      <c r="I7" s="346">
        <f>G7*0.27</f>
        <v>5.859</v>
      </c>
      <c r="J7" s="346">
        <f>G7*0.2</f>
        <v>4.34</v>
      </c>
      <c r="K7" s="346">
        <f t="shared" si="0"/>
        <v>280</v>
      </c>
      <c r="L7" s="346">
        <v>0</v>
      </c>
      <c r="M7" s="346">
        <v>0</v>
      </c>
      <c r="N7" s="346">
        <f t="shared" si="1"/>
        <v>400</v>
      </c>
      <c r="O7" s="346">
        <v>0</v>
      </c>
      <c r="P7" s="346">
        <v>16</v>
      </c>
      <c r="Q7" s="346">
        <v>11.2</v>
      </c>
      <c r="R7" s="340"/>
      <c r="S7" s="340"/>
      <c r="T7" s="340"/>
      <c r="U7" s="340"/>
      <c r="V7" s="340"/>
      <c r="W7" s="340"/>
      <c r="X7" s="340"/>
      <c r="Y7" s="340"/>
      <c r="Z7" s="340"/>
      <c r="AA7" s="340"/>
      <c r="AB7" s="340"/>
      <c r="AC7" s="340"/>
      <c r="AD7" s="340"/>
      <c r="AE7" s="340"/>
      <c r="AF7" s="340"/>
      <c r="AG7" s="340"/>
      <c r="AH7" s="340"/>
    </row>
    <row r="8" spans="2:34" ht="15" customHeight="1">
      <c r="B8" s="344" t="s">
        <v>34</v>
      </c>
      <c r="C8" s="345">
        <v>500</v>
      </c>
      <c r="D8" s="346">
        <v>0</v>
      </c>
      <c r="E8" s="346">
        <v>16.7</v>
      </c>
      <c r="F8" s="346">
        <v>630</v>
      </c>
      <c r="G8" s="346">
        <v>27.1</v>
      </c>
      <c r="H8" s="346">
        <f>G8*0.61</f>
        <v>16.530999999999999</v>
      </c>
      <c r="I8" s="346">
        <f>G8*0.27</f>
        <v>7.3170000000000011</v>
      </c>
      <c r="J8" s="346">
        <f>G8*0.2</f>
        <v>5.4200000000000008</v>
      </c>
      <c r="K8" s="346">
        <f t="shared" si="0"/>
        <v>350</v>
      </c>
      <c r="L8" s="346">
        <v>0</v>
      </c>
      <c r="M8" s="346">
        <v>0</v>
      </c>
      <c r="N8" s="346">
        <f t="shared" si="1"/>
        <v>500</v>
      </c>
      <c r="O8" s="346">
        <v>0</v>
      </c>
      <c r="P8" s="346">
        <v>20</v>
      </c>
      <c r="Q8" s="346">
        <v>14</v>
      </c>
      <c r="R8" s="346">
        <v>7.5</v>
      </c>
      <c r="S8" s="346">
        <v>25</v>
      </c>
      <c r="T8" s="346">
        <v>10</v>
      </c>
      <c r="U8" s="346">
        <v>40</v>
      </c>
      <c r="V8" s="346">
        <v>15</v>
      </c>
      <c r="W8" s="346">
        <v>0.5</v>
      </c>
      <c r="X8" s="346">
        <v>100</v>
      </c>
      <c r="Y8" s="346">
        <v>3.5</v>
      </c>
      <c r="Z8" s="346">
        <v>400</v>
      </c>
      <c r="AA8" s="346">
        <v>400</v>
      </c>
      <c r="AB8" s="346">
        <v>1</v>
      </c>
      <c r="AC8" s="346">
        <v>400</v>
      </c>
      <c r="AD8" s="346">
        <v>15</v>
      </c>
      <c r="AE8" s="346">
        <v>3300</v>
      </c>
      <c r="AF8" s="346">
        <v>500</v>
      </c>
      <c r="AG8" s="346">
        <v>30</v>
      </c>
      <c r="AH8" s="346">
        <v>20</v>
      </c>
    </row>
    <row r="9" spans="2:34" ht="15" customHeight="1">
      <c r="B9" s="340" t="s">
        <v>34</v>
      </c>
      <c r="C9" s="345">
        <v>600</v>
      </c>
      <c r="D9" s="346">
        <v>0</v>
      </c>
      <c r="E9" s="346"/>
      <c r="F9" s="346"/>
      <c r="G9" s="346"/>
      <c r="H9" s="346"/>
      <c r="I9" s="346"/>
      <c r="J9" s="346"/>
      <c r="K9" s="346">
        <f t="shared" si="0"/>
        <v>420</v>
      </c>
      <c r="L9" s="346"/>
      <c r="M9" s="346"/>
      <c r="N9" s="346">
        <f t="shared" si="1"/>
        <v>600</v>
      </c>
      <c r="O9" s="346"/>
      <c r="P9" s="346"/>
      <c r="Q9" s="346"/>
      <c r="R9" s="346"/>
      <c r="S9" s="346"/>
      <c r="T9" s="346"/>
      <c r="U9" s="346"/>
      <c r="V9" s="346"/>
      <c r="W9" s="346"/>
      <c r="X9" s="346"/>
      <c r="Y9" s="346"/>
      <c r="Z9" s="346"/>
      <c r="AA9" s="346"/>
      <c r="AB9" s="346"/>
      <c r="AC9" s="346"/>
      <c r="AD9" s="346"/>
      <c r="AE9" s="346"/>
      <c r="AF9" s="346"/>
      <c r="AG9" s="346"/>
      <c r="AH9" s="346"/>
    </row>
    <row r="10" spans="2:34" ht="15" customHeight="1">
      <c r="B10" s="340" t="s">
        <v>33</v>
      </c>
      <c r="C10" s="345">
        <v>200</v>
      </c>
      <c r="D10" s="346">
        <v>0</v>
      </c>
      <c r="E10" s="346">
        <v>6.1</v>
      </c>
      <c r="F10" s="346">
        <v>216</v>
      </c>
      <c r="G10" s="346">
        <v>9.3000000000000007</v>
      </c>
      <c r="H10" s="346">
        <f>G10*0.61</f>
        <v>5.673</v>
      </c>
      <c r="I10" s="346">
        <f>G10*0.27</f>
        <v>2.5110000000000006</v>
      </c>
      <c r="J10" s="346">
        <f>G10*0.2</f>
        <v>1.8600000000000003</v>
      </c>
      <c r="K10" s="346">
        <f t="shared" si="0"/>
        <v>140</v>
      </c>
      <c r="L10" s="346">
        <v>0</v>
      </c>
      <c r="M10" s="346">
        <v>0</v>
      </c>
      <c r="N10" s="346">
        <f t="shared" si="1"/>
        <v>200</v>
      </c>
      <c r="O10" s="346">
        <v>0</v>
      </c>
      <c r="P10" s="346">
        <v>8</v>
      </c>
      <c r="Q10" s="346">
        <v>5.6</v>
      </c>
      <c r="R10" s="346"/>
      <c r="S10" s="346"/>
      <c r="T10" s="346"/>
      <c r="U10" s="346"/>
      <c r="V10" s="346"/>
      <c r="W10" s="346"/>
      <c r="X10" s="346"/>
      <c r="Y10" s="346"/>
      <c r="Z10" s="346"/>
      <c r="AA10" s="346"/>
      <c r="AB10" s="346"/>
      <c r="AC10" s="346"/>
      <c r="AD10" s="346"/>
      <c r="AE10" s="346"/>
      <c r="AF10" s="346"/>
      <c r="AG10" s="346"/>
      <c r="AH10" s="346"/>
    </row>
    <row r="11" spans="2:34" ht="15" customHeight="1">
      <c r="B11" s="340" t="s">
        <v>33</v>
      </c>
      <c r="C11" s="345">
        <v>400</v>
      </c>
      <c r="D11" s="346">
        <v>0</v>
      </c>
      <c r="E11" s="346">
        <v>12.1</v>
      </c>
      <c r="F11" s="346">
        <v>432</v>
      </c>
      <c r="G11" s="346">
        <v>18.600000000000001</v>
      </c>
      <c r="H11" s="346">
        <f>G11*0.61</f>
        <v>11.346</v>
      </c>
      <c r="I11" s="346">
        <f>G11*0.27</f>
        <v>5.0220000000000011</v>
      </c>
      <c r="J11" s="346">
        <f>G11*0.2</f>
        <v>3.7200000000000006</v>
      </c>
      <c r="K11" s="346">
        <f t="shared" si="0"/>
        <v>280</v>
      </c>
      <c r="L11" s="346">
        <v>0</v>
      </c>
      <c r="M11" s="346">
        <v>0</v>
      </c>
      <c r="N11" s="346">
        <f t="shared" si="1"/>
        <v>400</v>
      </c>
      <c r="O11" s="346">
        <v>0</v>
      </c>
      <c r="P11" s="346">
        <v>16</v>
      </c>
      <c r="Q11" s="346">
        <v>11.2</v>
      </c>
      <c r="R11" s="346"/>
      <c r="S11" s="346"/>
      <c r="T11" s="346"/>
      <c r="U11" s="346"/>
      <c r="V11" s="346"/>
      <c r="W11" s="346"/>
      <c r="X11" s="346"/>
      <c r="Y11" s="346"/>
      <c r="Z11" s="346"/>
      <c r="AA11" s="346"/>
      <c r="AB11" s="346"/>
      <c r="AC11" s="346"/>
      <c r="AD11" s="346"/>
      <c r="AE11" s="346"/>
      <c r="AF11" s="346"/>
      <c r="AG11" s="346"/>
      <c r="AH11" s="346"/>
    </row>
    <row r="12" spans="2:34" ht="15" customHeight="1">
      <c r="B12" s="344" t="s">
        <v>33</v>
      </c>
      <c r="C12" s="345">
        <v>500</v>
      </c>
      <c r="D12" s="346">
        <v>0</v>
      </c>
      <c r="E12" s="346">
        <v>15.2</v>
      </c>
      <c r="F12" s="346">
        <v>540</v>
      </c>
      <c r="G12" s="346">
        <v>23.2</v>
      </c>
      <c r="H12" s="346">
        <f>G12*0.61</f>
        <v>14.151999999999999</v>
      </c>
      <c r="I12" s="346">
        <f>G12*0.27</f>
        <v>6.2640000000000002</v>
      </c>
      <c r="J12" s="346">
        <f>G12*0.2</f>
        <v>4.6399999999999997</v>
      </c>
      <c r="K12" s="346">
        <f t="shared" si="0"/>
        <v>350</v>
      </c>
      <c r="L12" s="346">
        <v>0</v>
      </c>
      <c r="M12" s="346">
        <v>0</v>
      </c>
      <c r="N12" s="346">
        <f t="shared" si="1"/>
        <v>500</v>
      </c>
      <c r="O12" s="346">
        <v>0</v>
      </c>
      <c r="P12" s="346">
        <v>20</v>
      </c>
      <c r="Q12" s="346">
        <v>14</v>
      </c>
      <c r="R12" s="346">
        <v>7.5</v>
      </c>
      <c r="S12" s="346">
        <v>25</v>
      </c>
      <c r="T12" s="346">
        <v>10</v>
      </c>
      <c r="U12" s="346">
        <v>40</v>
      </c>
      <c r="V12" s="346">
        <v>15</v>
      </c>
      <c r="W12" s="346">
        <v>0.5</v>
      </c>
      <c r="X12" s="346">
        <v>100</v>
      </c>
      <c r="Y12" s="346">
        <v>3.5</v>
      </c>
      <c r="Z12" s="346">
        <v>400</v>
      </c>
      <c r="AA12" s="346">
        <v>400</v>
      </c>
      <c r="AB12" s="346">
        <v>1</v>
      </c>
      <c r="AC12" s="346">
        <v>400</v>
      </c>
      <c r="AD12" s="346">
        <v>15</v>
      </c>
      <c r="AE12" s="346">
        <v>3300</v>
      </c>
      <c r="AF12" s="346">
        <v>500</v>
      </c>
      <c r="AG12" s="346">
        <v>30</v>
      </c>
      <c r="AH12" s="346">
        <v>20</v>
      </c>
    </row>
    <row r="13" spans="2:34" ht="15" customHeight="1">
      <c r="B13" s="340" t="s">
        <v>33</v>
      </c>
      <c r="C13" s="345">
        <v>600</v>
      </c>
      <c r="D13" s="346">
        <v>0</v>
      </c>
      <c r="E13" s="346"/>
      <c r="F13" s="346"/>
      <c r="G13" s="346"/>
      <c r="H13" s="346"/>
      <c r="I13" s="346"/>
      <c r="J13" s="346"/>
      <c r="K13" s="346">
        <f t="shared" si="0"/>
        <v>420</v>
      </c>
      <c r="L13" s="346"/>
      <c r="M13" s="346"/>
      <c r="N13" s="346">
        <f t="shared" si="1"/>
        <v>600</v>
      </c>
      <c r="O13" s="346"/>
      <c r="P13" s="346"/>
      <c r="Q13" s="346"/>
      <c r="R13" s="346"/>
      <c r="S13" s="346"/>
      <c r="T13" s="346"/>
      <c r="U13" s="346"/>
      <c r="V13" s="346"/>
      <c r="W13" s="346"/>
      <c r="X13" s="346"/>
      <c r="Y13" s="346"/>
      <c r="Z13" s="346"/>
      <c r="AA13" s="346"/>
      <c r="AB13" s="346"/>
      <c r="AC13" s="346"/>
      <c r="AD13" s="346"/>
      <c r="AE13" s="346"/>
      <c r="AF13" s="346"/>
      <c r="AG13" s="346"/>
      <c r="AH13" s="346"/>
    </row>
    <row r="14" spans="2:34" ht="15" customHeight="1">
      <c r="B14" s="340" t="s">
        <v>55</v>
      </c>
      <c r="C14" s="345">
        <v>67</v>
      </c>
      <c r="D14" s="346">
        <v>0.34</v>
      </c>
      <c r="E14" s="346">
        <v>5.3</v>
      </c>
      <c r="F14" s="346">
        <v>268</v>
      </c>
      <c r="G14" s="346">
        <v>11.5</v>
      </c>
      <c r="H14" s="346">
        <f>G14*0.61</f>
        <v>7.0149999999999997</v>
      </c>
      <c r="I14" s="346">
        <f>G14*0.27</f>
        <v>3.1050000000000004</v>
      </c>
      <c r="J14" s="346">
        <f>G14*0.2</f>
        <v>2.3000000000000003</v>
      </c>
      <c r="K14" s="346">
        <f t="shared" si="0"/>
        <v>46.9</v>
      </c>
      <c r="L14" s="346">
        <v>0</v>
      </c>
      <c r="M14" s="346">
        <v>0</v>
      </c>
      <c r="N14" s="346">
        <f t="shared" si="1"/>
        <v>67</v>
      </c>
      <c r="O14" s="346">
        <v>0</v>
      </c>
      <c r="P14" s="346">
        <v>15.6</v>
      </c>
      <c r="Q14" s="346">
        <v>8.6999999999999993</v>
      </c>
      <c r="R14" s="346"/>
      <c r="S14" s="346"/>
      <c r="T14" s="346"/>
      <c r="U14" s="346"/>
      <c r="V14" s="346"/>
      <c r="W14" s="346"/>
      <c r="X14" s="346"/>
      <c r="Y14" s="346"/>
      <c r="Z14" s="346"/>
      <c r="AA14" s="346"/>
      <c r="AB14" s="346"/>
      <c r="AC14" s="346"/>
      <c r="AD14" s="346"/>
      <c r="AE14" s="346"/>
      <c r="AF14" s="346"/>
      <c r="AG14" s="346"/>
      <c r="AH14" s="346"/>
    </row>
    <row r="15" spans="2:34" ht="15" customHeight="1">
      <c r="B15" s="340" t="s">
        <v>55</v>
      </c>
      <c r="C15" s="345">
        <v>135</v>
      </c>
      <c r="D15" s="346">
        <v>0.67</v>
      </c>
      <c r="E15" s="346">
        <v>10.6</v>
      </c>
      <c r="F15" s="346">
        <v>535</v>
      </c>
      <c r="G15" s="346">
        <v>23</v>
      </c>
      <c r="H15" s="346">
        <f>G15*0.61</f>
        <v>14.03</v>
      </c>
      <c r="I15" s="346">
        <f>G15*0.27</f>
        <v>6.2100000000000009</v>
      </c>
      <c r="J15" s="346">
        <f>G15*0.2</f>
        <v>4.6000000000000005</v>
      </c>
      <c r="K15" s="346">
        <f t="shared" si="0"/>
        <v>94.5</v>
      </c>
      <c r="L15" s="346">
        <v>0</v>
      </c>
      <c r="M15" s="346">
        <v>0</v>
      </c>
      <c r="N15" s="346">
        <f t="shared" si="1"/>
        <v>135</v>
      </c>
      <c r="O15" s="346">
        <v>0</v>
      </c>
      <c r="P15" s="346">
        <v>31.3</v>
      </c>
      <c r="Q15" s="346">
        <v>17.399999999999999</v>
      </c>
      <c r="R15" s="346"/>
      <c r="S15" s="346"/>
      <c r="T15" s="346"/>
      <c r="U15" s="346"/>
      <c r="V15" s="346"/>
      <c r="W15" s="346"/>
      <c r="X15" s="346"/>
      <c r="Y15" s="346"/>
      <c r="Z15" s="346"/>
      <c r="AA15" s="346"/>
      <c r="AB15" s="346"/>
      <c r="AC15" s="346"/>
      <c r="AD15" s="346"/>
      <c r="AE15" s="346"/>
      <c r="AF15" s="346"/>
      <c r="AG15" s="346"/>
      <c r="AH15" s="346"/>
    </row>
    <row r="16" spans="2:34" ht="15" customHeight="1">
      <c r="B16" s="340" t="s">
        <v>55</v>
      </c>
      <c r="C16" s="345">
        <v>168</v>
      </c>
      <c r="D16" s="346">
        <v>0.84</v>
      </c>
      <c r="E16" s="346">
        <v>13.3</v>
      </c>
      <c r="F16" s="346">
        <v>669</v>
      </c>
      <c r="G16" s="346">
        <v>28.8</v>
      </c>
      <c r="H16" s="346">
        <f>G16*0.61</f>
        <v>17.568000000000001</v>
      </c>
      <c r="I16" s="346">
        <f>G16*0.27</f>
        <v>7.7760000000000007</v>
      </c>
      <c r="J16" s="346">
        <f>G16*0.2</f>
        <v>5.7600000000000007</v>
      </c>
      <c r="K16" s="346">
        <f t="shared" si="0"/>
        <v>117.6</v>
      </c>
      <c r="L16" s="346">
        <v>0</v>
      </c>
      <c r="M16" s="346">
        <v>0</v>
      </c>
      <c r="N16" s="346">
        <f t="shared" si="1"/>
        <v>168</v>
      </c>
      <c r="O16" s="346">
        <v>0</v>
      </c>
      <c r="P16" s="346">
        <v>39.1</v>
      </c>
      <c r="Q16" s="346">
        <v>21.7</v>
      </c>
      <c r="R16" s="346">
        <v>3.6</v>
      </c>
      <c r="S16" s="346">
        <v>10.9</v>
      </c>
      <c r="T16" s="346">
        <v>4.2</v>
      </c>
      <c r="U16" s="346">
        <v>15.7</v>
      </c>
      <c r="V16" s="346">
        <v>6.3</v>
      </c>
      <c r="W16" s="346">
        <v>0.2</v>
      </c>
      <c r="X16" s="346">
        <v>42.1</v>
      </c>
      <c r="Y16" s="346">
        <v>1.5</v>
      </c>
      <c r="Z16" s="346">
        <v>210.6</v>
      </c>
      <c r="AA16" s="346">
        <v>168.5</v>
      </c>
      <c r="AB16" s="346">
        <v>0.42</v>
      </c>
      <c r="AC16" s="346">
        <v>168.5</v>
      </c>
      <c r="AD16" s="346">
        <v>7.6</v>
      </c>
      <c r="AE16" s="346">
        <v>3740</v>
      </c>
      <c r="AF16" s="346">
        <v>337</v>
      </c>
      <c r="AG16" s="346">
        <v>12.6</v>
      </c>
      <c r="AH16" s="346">
        <v>8.4</v>
      </c>
    </row>
    <row r="17" spans="2:34" ht="15" customHeight="1">
      <c r="B17" s="340" t="s">
        <v>55</v>
      </c>
      <c r="C17" s="345">
        <v>202</v>
      </c>
      <c r="D17" s="346"/>
      <c r="E17" s="346"/>
      <c r="F17" s="346"/>
      <c r="G17" s="346"/>
      <c r="H17" s="346"/>
      <c r="I17" s="346"/>
      <c r="J17" s="346"/>
      <c r="K17" s="346">
        <f t="shared" si="0"/>
        <v>141.39999999999998</v>
      </c>
      <c r="L17" s="346"/>
      <c r="M17" s="346"/>
      <c r="N17" s="346">
        <f t="shared" si="1"/>
        <v>202</v>
      </c>
      <c r="O17" s="346"/>
      <c r="P17" s="346"/>
      <c r="Q17" s="346"/>
      <c r="R17" s="346"/>
      <c r="S17" s="346"/>
      <c r="T17" s="346"/>
      <c r="U17" s="346"/>
      <c r="V17" s="346"/>
      <c r="W17" s="346"/>
      <c r="X17" s="346"/>
      <c r="Y17" s="346"/>
      <c r="Z17" s="346"/>
      <c r="AA17" s="346"/>
      <c r="AB17" s="346"/>
      <c r="AC17" s="346"/>
      <c r="AD17" s="346"/>
      <c r="AE17" s="346"/>
      <c r="AF17" s="346"/>
      <c r="AG17" s="346"/>
      <c r="AH17" s="346"/>
    </row>
    <row r="18" spans="2:34" ht="15" customHeight="1">
      <c r="B18" s="340" t="s">
        <v>37</v>
      </c>
      <c r="C18" s="345">
        <v>128</v>
      </c>
      <c r="D18" s="346">
        <v>0.18</v>
      </c>
      <c r="E18" s="346">
        <v>7.5</v>
      </c>
      <c r="F18" s="346">
        <v>338</v>
      </c>
      <c r="G18" s="346">
        <v>14.5</v>
      </c>
      <c r="H18" s="346">
        <f>G18*0.61</f>
        <v>8.8450000000000006</v>
      </c>
      <c r="I18" s="346">
        <f>G18*0.27</f>
        <v>3.915</v>
      </c>
      <c r="J18" s="346">
        <f>G18*0.2</f>
        <v>2.9000000000000004</v>
      </c>
      <c r="K18" s="346">
        <f t="shared" si="0"/>
        <v>89.6</v>
      </c>
      <c r="L18" s="346">
        <v>0</v>
      </c>
      <c r="M18" s="346">
        <v>0</v>
      </c>
      <c r="N18" s="346">
        <f t="shared" si="1"/>
        <v>128</v>
      </c>
      <c r="O18" s="346">
        <v>0</v>
      </c>
      <c r="P18" s="346">
        <v>15.1</v>
      </c>
      <c r="Q18" s="346">
        <v>8.4</v>
      </c>
      <c r="R18" s="346"/>
      <c r="S18" s="346"/>
      <c r="T18" s="346"/>
      <c r="U18" s="346"/>
      <c r="V18" s="346"/>
      <c r="W18" s="346"/>
      <c r="X18" s="346"/>
      <c r="Y18" s="346"/>
      <c r="Z18" s="346"/>
      <c r="AA18" s="346"/>
      <c r="AB18" s="346"/>
      <c r="AC18" s="346"/>
      <c r="AD18" s="346"/>
      <c r="AE18" s="346"/>
      <c r="AF18" s="346"/>
      <c r="AG18" s="346"/>
      <c r="AH18" s="346"/>
    </row>
    <row r="19" spans="2:34" ht="15" customHeight="1">
      <c r="B19" s="340" t="s">
        <v>37</v>
      </c>
      <c r="C19" s="345">
        <v>257</v>
      </c>
      <c r="D19" s="346">
        <v>0.36</v>
      </c>
      <c r="E19" s="346">
        <v>15</v>
      </c>
      <c r="F19" s="346">
        <v>677</v>
      </c>
      <c r="G19" s="346">
        <v>29.1</v>
      </c>
      <c r="H19" s="346">
        <f>G19*0.61</f>
        <v>17.751000000000001</v>
      </c>
      <c r="I19" s="346">
        <f>G19*0.27</f>
        <v>7.8570000000000011</v>
      </c>
      <c r="J19" s="346">
        <f>G19*0.2</f>
        <v>5.82</v>
      </c>
      <c r="K19" s="346">
        <f t="shared" si="0"/>
        <v>179.89999999999998</v>
      </c>
      <c r="L19" s="346">
        <v>0</v>
      </c>
      <c r="M19" s="346">
        <v>0</v>
      </c>
      <c r="N19" s="346">
        <f t="shared" si="1"/>
        <v>257</v>
      </c>
      <c r="O19" s="346">
        <v>0</v>
      </c>
      <c r="P19" s="346">
        <v>30.1</v>
      </c>
      <c r="Q19" s="346">
        <v>16.7</v>
      </c>
      <c r="R19" s="346"/>
      <c r="S19" s="346"/>
      <c r="T19" s="346"/>
      <c r="U19" s="346"/>
      <c r="V19" s="346"/>
      <c r="W19" s="346"/>
      <c r="X19" s="346"/>
      <c r="Y19" s="346"/>
      <c r="Z19" s="346"/>
      <c r="AA19" s="346"/>
      <c r="AB19" s="346"/>
      <c r="AC19" s="346"/>
      <c r="AD19" s="346"/>
      <c r="AE19" s="346"/>
      <c r="AF19" s="346"/>
      <c r="AG19" s="346"/>
      <c r="AH19" s="346"/>
    </row>
    <row r="20" spans="2:34" ht="15" customHeight="1">
      <c r="B20" s="340" t="s">
        <v>37</v>
      </c>
      <c r="C20" s="345">
        <v>321</v>
      </c>
      <c r="D20" s="346">
        <v>0.45</v>
      </c>
      <c r="E20" s="346">
        <v>18.8</v>
      </c>
      <c r="F20" s="346">
        <v>846</v>
      </c>
      <c r="G20" s="346">
        <v>36.4</v>
      </c>
      <c r="H20" s="346">
        <f>G20*0.61</f>
        <v>22.203999999999997</v>
      </c>
      <c r="I20" s="346">
        <f>G20*0.27</f>
        <v>9.8279999999999994</v>
      </c>
      <c r="J20" s="346">
        <f>G20*0.2</f>
        <v>7.28</v>
      </c>
      <c r="K20" s="346">
        <f t="shared" si="0"/>
        <v>224.7</v>
      </c>
      <c r="L20" s="346">
        <v>0</v>
      </c>
      <c r="M20" s="346">
        <v>0</v>
      </c>
      <c r="N20" s="346">
        <f t="shared" si="1"/>
        <v>321</v>
      </c>
      <c r="O20" s="346">
        <v>0</v>
      </c>
      <c r="P20" s="346">
        <v>37.700000000000003</v>
      </c>
      <c r="Q20" s="346">
        <v>20.9</v>
      </c>
      <c r="R20" s="346">
        <v>5.4</v>
      </c>
      <c r="S20" s="346">
        <v>17.399999999999999</v>
      </c>
      <c r="T20" s="346">
        <v>6.9</v>
      </c>
      <c r="U20" s="346">
        <v>26.5</v>
      </c>
      <c r="V20" s="346">
        <v>12</v>
      </c>
      <c r="W20" s="346">
        <v>0.4</v>
      </c>
      <c r="X20" s="346">
        <v>80.3</v>
      </c>
      <c r="Y20" s="346">
        <v>2.8</v>
      </c>
      <c r="Z20" s="346">
        <v>401.5</v>
      </c>
      <c r="AA20" s="346">
        <v>321.2</v>
      </c>
      <c r="AB20" s="346">
        <v>0.8</v>
      </c>
      <c r="AC20" s="346">
        <v>321.2</v>
      </c>
      <c r="AD20" s="346">
        <v>14.5</v>
      </c>
      <c r="AE20" s="346">
        <v>5589</v>
      </c>
      <c r="AF20" s="346">
        <v>642</v>
      </c>
      <c r="AG20" s="346">
        <v>24.1</v>
      </c>
      <c r="AH20" s="346">
        <v>16.100000000000001</v>
      </c>
    </row>
    <row r="21" spans="2:34" ht="15" customHeight="1">
      <c r="B21" s="340" t="s">
        <v>37</v>
      </c>
      <c r="C21" s="345">
        <v>385</v>
      </c>
      <c r="D21" s="346"/>
      <c r="E21" s="346"/>
      <c r="F21" s="346"/>
      <c r="G21" s="346"/>
      <c r="H21" s="346"/>
      <c r="I21" s="346"/>
      <c r="J21" s="346"/>
      <c r="K21" s="346">
        <f t="shared" si="0"/>
        <v>269.5</v>
      </c>
      <c r="L21" s="346"/>
      <c r="M21" s="346"/>
      <c r="N21" s="346">
        <f t="shared" si="1"/>
        <v>385</v>
      </c>
      <c r="O21" s="346"/>
      <c r="P21" s="346"/>
      <c r="Q21" s="346"/>
      <c r="R21" s="346"/>
      <c r="S21" s="346"/>
      <c r="T21" s="346"/>
      <c r="U21" s="346"/>
      <c r="V21" s="346"/>
      <c r="W21" s="346"/>
      <c r="X21" s="346"/>
      <c r="Y21" s="346"/>
      <c r="Z21" s="346"/>
      <c r="AA21" s="346"/>
      <c r="AB21" s="346"/>
      <c r="AC21" s="346"/>
      <c r="AD21" s="346"/>
      <c r="AE21" s="346"/>
      <c r="AF21" s="346"/>
      <c r="AG21" s="346"/>
      <c r="AH21" s="346"/>
    </row>
    <row r="22" spans="2:34" ht="15" customHeight="1">
      <c r="B22" s="340" t="s">
        <v>57</v>
      </c>
      <c r="C22" s="345">
        <v>155</v>
      </c>
      <c r="D22" s="346">
        <v>0.11</v>
      </c>
      <c r="E22" s="346">
        <v>7.7</v>
      </c>
      <c r="F22" s="346">
        <v>320</v>
      </c>
      <c r="G22" s="346">
        <v>13.7</v>
      </c>
      <c r="H22" s="346">
        <f>G22*0.61</f>
        <v>8.3569999999999993</v>
      </c>
      <c r="I22" s="346">
        <f>G22*0.27</f>
        <v>3.6989999999999998</v>
      </c>
      <c r="J22" s="346">
        <f>G22*0.2</f>
        <v>2.74</v>
      </c>
      <c r="K22" s="346">
        <f t="shared" si="0"/>
        <v>108.5</v>
      </c>
      <c r="L22" s="346">
        <v>0</v>
      </c>
      <c r="M22" s="346">
        <v>0</v>
      </c>
      <c r="N22" s="346">
        <f t="shared" si="1"/>
        <v>155</v>
      </c>
      <c r="O22" s="346">
        <v>0</v>
      </c>
      <c r="P22" s="346">
        <v>14.8</v>
      </c>
      <c r="Q22" s="346">
        <v>8.1999999999999993</v>
      </c>
      <c r="R22" s="346"/>
      <c r="S22" s="346"/>
      <c r="T22" s="346"/>
      <c r="U22" s="346"/>
      <c r="V22" s="346"/>
      <c r="W22" s="346"/>
      <c r="X22" s="346"/>
      <c r="Y22" s="346"/>
      <c r="Z22" s="346"/>
      <c r="AA22" s="346"/>
      <c r="AB22" s="346"/>
      <c r="AC22" s="346"/>
      <c r="AD22" s="346"/>
      <c r="AE22" s="346"/>
      <c r="AF22" s="346"/>
      <c r="AG22" s="346"/>
      <c r="AH22" s="346"/>
    </row>
    <row r="23" spans="2:34" ht="15" customHeight="1">
      <c r="B23" s="340" t="s">
        <v>57</v>
      </c>
      <c r="C23" s="345">
        <v>310</v>
      </c>
      <c r="D23" s="346">
        <v>0.23</v>
      </c>
      <c r="E23" s="346">
        <v>15.4</v>
      </c>
      <c r="F23" s="346">
        <v>639</v>
      </c>
      <c r="G23" s="346">
        <v>27.5</v>
      </c>
      <c r="H23" s="346">
        <f>G23*0.61</f>
        <v>16.774999999999999</v>
      </c>
      <c r="I23" s="346">
        <f>G23*0.27</f>
        <v>7.4250000000000007</v>
      </c>
      <c r="J23" s="346">
        <f>G23*0.2</f>
        <v>5.5</v>
      </c>
      <c r="K23" s="346">
        <f t="shared" si="0"/>
        <v>217</v>
      </c>
      <c r="L23" s="346">
        <v>0</v>
      </c>
      <c r="M23" s="346">
        <v>0</v>
      </c>
      <c r="N23" s="346">
        <f t="shared" si="1"/>
        <v>310</v>
      </c>
      <c r="O23" s="346">
        <v>0</v>
      </c>
      <c r="P23" s="346">
        <v>29.6</v>
      </c>
      <c r="Q23" s="346">
        <v>16.5</v>
      </c>
      <c r="R23" s="346"/>
      <c r="S23" s="346"/>
      <c r="T23" s="346"/>
      <c r="U23" s="346"/>
      <c r="V23" s="346"/>
      <c r="W23" s="346"/>
      <c r="X23" s="346"/>
      <c r="Y23" s="346"/>
      <c r="Z23" s="346"/>
      <c r="AA23" s="346"/>
      <c r="AB23" s="346"/>
      <c r="AC23" s="346"/>
      <c r="AD23" s="346"/>
      <c r="AE23" s="346"/>
      <c r="AF23" s="346"/>
      <c r="AG23" s="346"/>
      <c r="AH23" s="346"/>
    </row>
    <row r="24" spans="2:34" ht="15" customHeight="1">
      <c r="B24" s="340" t="s">
        <v>57</v>
      </c>
      <c r="C24" s="345">
        <v>387</v>
      </c>
      <c r="D24" s="346">
        <v>0.28999999999999998</v>
      </c>
      <c r="E24" s="346">
        <v>19.2</v>
      </c>
      <c r="F24" s="346">
        <v>799</v>
      </c>
      <c r="G24" s="346">
        <v>34.4</v>
      </c>
      <c r="H24" s="346">
        <f>G24*0.61</f>
        <v>20.983999999999998</v>
      </c>
      <c r="I24" s="346">
        <f>G24*0.27</f>
        <v>9.2880000000000003</v>
      </c>
      <c r="J24" s="346">
        <f>G24*0.2</f>
        <v>6.88</v>
      </c>
      <c r="K24" s="346">
        <f t="shared" si="0"/>
        <v>270.89999999999998</v>
      </c>
      <c r="L24" s="346">
        <v>0</v>
      </c>
      <c r="M24" s="346">
        <v>0</v>
      </c>
      <c r="N24" s="346">
        <f t="shared" si="1"/>
        <v>387</v>
      </c>
      <c r="O24" s="346">
        <v>0</v>
      </c>
      <c r="P24" s="346">
        <v>37</v>
      </c>
      <c r="Q24" s="346">
        <v>20.6</v>
      </c>
      <c r="R24" s="346">
        <v>6.2</v>
      </c>
      <c r="S24" s="346">
        <v>20.2</v>
      </c>
      <c r="T24" s="346">
        <v>8</v>
      </c>
      <c r="U24" s="346">
        <v>32</v>
      </c>
      <c r="V24" s="346">
        <v>14.5</v>
      </c>
      <c r="W24" s="346">
        <v>0.5</v>
      </c>
      <c r="X24" s="346">
        <v>96.9</v>
      </c>
      <c r="Y24" s="346">
        <v>3.4</v>
      </c>
      <c r="Z24" s="346">
        <v>484.4</v>
      </c>
      <c r="AA24" s="346">
        <v>387.5</v>
      </c>
      <c r="AB24" s="346">
        <v>0.97</v>
      </c>
      <c r="AC24" s="346">
        <v>387.5</v>
      </c>
      <c r="AD24" s="346">
        <v>17.399999999999999</v>
      </c>
      <c r="AE24" s="346">
        <v>6161</v>
      </c>
      <c r="AF24" s="346">
        <v>775</v>
      </c>
      <c r="AG24" s="346">
        <v>29.1</v>
      </c>
      <c r="AH24" s="346">
        <v>19.399999999999999</v>
      </c>
    </row>
    <row r="25" spans="2:34" ht="15" customHeight="1">
      <c r="B25" s="340" t="s">
        <v>57</v>
      </c>
      <c r="C25" s="345">
        <v>465</v>
      </c>
      <c r="D25" s="346"/>
      <c r="E25" s="346"/>
      <c r="F25" s="346"/>
      <c r="G25" s="346"/>
      <c r="H25" s="346"/>
      <c r="I25" s="346"/>
      <c r="J25" s="346"/>
      <c r="K25" s="346">
        <f t="shared" si="0"/>
        <v>325.5</v>
      </c>
      <c r="L25" s="346"/>
      <c r="M25" s="346"/>
      <c r="N25" s="346">
        <f t="shared" si="1"/>
        <v>465</v>
      </c>
      <c r="O25" s="346"/>
      <c r="P25" s="346"/>
      <c r="Q25" s="346"/>
      <c r="R25" s="346"/>
      <c r="S25" s="346"/>
      <c r="T25" s="346"/>
      <c r="U25" s="346"/>
      <c r="V25" s="346"/>
      <c r="W25" s="346"/>
      <c r="X25" s="346"/>
      <c r="Y25" s="346"/>
      <c r="Z25" s="346"/>
      <c r="AA25" s="346"/>
      <c r="AB25" s="346"/>
      <c r="AC25" s="346"/>
      <c r="AD25" s="346"/>
      <c r="AE25" s="346"/>
      <c r="AF25" s="346"/>
      <c r="AG25" s="346"/>
      <c r="AH25" s="346"/>
    </row>
    <row r="26" spans="2:34" ht="15" customHeight="1">
      <c r="B26" s="340" t="s">
        <v>58</v>
      </c>
      <c r="C26" s="345">
        <v>155</v>
      </c>
      <c r="D26" s="346">
        <v>0.11</v>
      </c>
      <c r="E26" s="346">
        <v>8.8000000000000007</v>
      </c>
      <c r="F26" s="346">
        <v>341</v>
      </c>
      <c r="G26" s="346">
        <v>14.7</v>
      </c>
      <c r="H26" s="346">
        <f>G26*0.61</f>
        <v>8.9669999999999987</v>
      </c>
      <c r="I26" s="346">
        <f>G26*0.27</f>
        <v>3.9689999999999999</v>
      </c>
      <c r="J26" s="346">
        <f>G26*0.2</f>
        <v>2.94</v>
      </c>
      <c r="K26" s="346">
        <f t="shared" si="0"/>
        <v>108.5</v>
      </c>
      <c r="L26" s="346">
        <v>0</v>
      </c>
      <c r="M26" s="346">
        <v>0</v>
      </c>
      <c r="N26" s="346">
        <f t="shared" si="1"/>
        <v>155</v>
      </c>
      <c r="O26" s="346">
        <v>0</v>
      </c>
      <c r="P26" s="346">
        <v>14.8</v>
      </c>
      <c r="Q26" s="346">
        <v>8.1999999999999993</v>
      </c>
      <c r="R26" s="346"/>
      <c r="S26" s="346"/>
      <c r="T26" s="346"/>
      <c r="U26" s="346"/>
      <c r="V26" s="346"/>
      <c r="W26" s="346"/>
      <c r="X26" s="346"/>
      <c r="Y26" s="346"/>
      <c r="Z26" s="346"/>
      <c r="AA26" s="346"/>
      <c r="AB26" s="346"/>
      <c r="AC26" s="346"/>
      <c r="AD26" s="346"/>
      <c r="AE26" s="346"/>
      <c r="AF26" s="346"/>
      <c r="AG26" s="346"/>
      <c r="AH26" s="346"/>
    </row>
    <row r="27" spans="2:34" ht="15" customHeight="1">
      <c r="B27" s="340" t="s">
        <v>58</v>
      </c>
      <c r="C27" s="345">
        <v>310</v>
      </c>
      <c r="D27" s="346">
        <v>0.23</v>
      </c>
      <c r="E27" s="346">
        <v>17.7</v>
      </c>
      <c r="F27" s="346">
        <v>682</v>
      </c>
      <c r="G27" s="346">
        <v>29.3</v>
      </c>
      <c r="H27" s="346">
        <f>G27*0.61</f>
        <v>17.873000000000001</v>
      </c>
      <c r="I27" s="346">
        <f>G27*0.27</f>
        <v>7.9110000000000005</v>
      </c>
      <c r="J27" s="346">
        <f>G27*0.2</f>
        <v>5.86</v>
      </c>
      <c r="K27" s="346">
        <f t="shared" si="0"/>
        <v>217</v>
      </c>
      <c r="L27" s="346">
        <v>0</v>
      </c>
      <c r="M27" s="346">
        <v>0</v>
      </c>
      <c r="N27" s="346">
        <f t="shared" si="1"/>
        <v>310</v>
      </c>
      <c r="O27" s="346">
        <v>0</v>
      </c>
      <c r="P27" s="346">
        <v>29.6</v>
      </c>
      <c r="Q27" s="346">
        <v>16.5</v>
      </c>
      <c r="R27" s="346"/>
      <c r="S27" s="346"/>
      <c r="T27" s="346"/>
      <c r="U27" s="346"/>
      <c r="V27" s="346"/>
      <c r="W27" s="346"/>
      <c r="X27" s="346"/>
      <c r="Y27" s="346"/>
      <c r="Z27" s="346"/>
      <c r="AA27" s="346"/>
      <c r="AB27" s="346"/>
      <c r="AC27" s="346"/>
      <c r="AD27" s="346"/>
      <c r="AE27" s="346"/>
      <c r="AF27" s="346"/>
      <c r="AG27" s="346"/>
      <c r="AH27" s="346"/>
    </row>
    <row r="28" spans="2:34" ht="15" customHeight="1">
      <c r="B28" s="340" t="s">
        <v>58</v>
      </c>
      <c r="C28" s="345">
        <v>387</v>
      </c>
      <c r="D28" s="346">
        <v>0.28999999999999998</v>
      </c>
      <c r="E28" s="346">
        <v>22.1</v>
      </c>
      <c r="F28" s="346">
        <v>853</v>
      </c>
      <c r="G28" s="346">
        <v>36.700000000000003</v>
      </c>
      <c r="H28" s="346">
        <f>G28*0.61</f>
        <v>22.387</v>
      </c>
      <c r="I28" s="346">
        <f>G28*0.27</f>
        <v>9.9090000000000007</v>
      </c>
      <c r="J28" s="346">
        <f>G28*0.2</f>
        <v>7.3400000000000007</v>
      </c>
      <c r="K28" s="346">
        <f t="shared" si="0"/>
        <v>270.89999999999998</v>
      </c>
      <c r="L28" s="346">
        <v>0</v>
      </c>
      <c r="M28" s="346">
        <v>0</v>
      </c>
      <c r="N28" s="346">
        <f t="shared" si="1"/>
        <v>387</v>
      </c>
      <c r="O28" s="346">
        <v>0</v>
      </c>
      <c r="P28" s="346">
        <v>37</v>
      </c>
      <c r="Q28" s="346">
        <v>20.6</v>
      </c>
      <c r="R28" s="346">
        <v>11.6</v>
      </c>
      <c r="S28" s="346">
        <v>22.9</v>
      </c>
      <c r="T28" s="346">
        <v>11</v>
      </c>
      <c r="U28" s="346">
        <v>37.1</v>
      </c>
      <c r="V28" s="346">
        <v>14.5</v>
      </c>
      <c r="W28" s="346">
        <v>0.5</v>
      </c>
      <c r="X28" s="346">
        <v>96.9</v>
      </c>
      <c r="Y28" s="346">
        <v>3.4</v>
      </c>
      <c r="Z28" s="346">
        <v>484.4</v>
      </c>
      <c r="AA28" s="346">
        <v>387.5</v>
      </c>
      <c r="AB28" s="346">
        <v>0.97</v>
      </c>
      <c r="AC28" s="346">
        <v>387.5</v>
      </c>
      <c r="AD28" s="346">
        <v>17.399999999999999</v>
      </c>
      <c r="AE28" s="346">
        <v>6161</v>
      </c>
      <c r="AF28" s="346">
        <v>775</v>
      </c>
      <c r="AG28" s="346">
        <v>29.1</v>
      </c>
      <c r="AH28" s="346">
        <v>19.399999999999999</v>
      </c>
    </row>
    <row r="29" spans="2:34" ht="15" customHeight="1">
      <c r="B29" s="340" t="s">
        <v>58</v>
      </c>
      <c r="C29" s="345">
        <v>465</v>
      </c>
      <c r="D29" s="346"/>
      <c r="E29" s="346"/>
      <c r="F29" s="346"/>
      <c r="G29" s="346"/>
      <c r="H29" s="346"/>
      <c r="I29" s="346"/>
      <c r="J29" s="346"/>
      <c r="K29" s="346">
        <f t="shared" si="0"/>
        <v>325.5</v>
      </c>
      <c r="L29" s="346"/>
      <c r="M29" s="346"/>
      <c r="N29" s="346">
        <f t="shared" si="1"/>
        <v>465</v>
      </c>
      <c r="O29" s="346"/>
      <c r="P29" s="346"/>
      <c r="Q29" s="346"/>
      <c r="R29" s="346"/>
      <c r="S29" s="346"/>
      <c r="T29" s="346"/>
      <c r="U29" s="346"/>
      <c r="V29" s="346"/>
      <c r="W29" s="346"/>
      <c r="X29" s="346"/>
      <c r="Y29" s="346"/>
      <c r="Z29" s="346"/>
      <c r="AA29" s="346"/>
      <c r="AB29" s="346"/>
      <c r="AC29" s="346"/>
      <c r="AD29" s="346"/>
      <c r="AE29" s="346"/>
      <c r="AF29" s="346"/>
      <c r="AG29" s="346"/>
      <c r="AH29" s="346"/>
    </row>
    <row r="30" spans="2:34" ht="15" customHeight="1">
      <c r="B30" s="340" t="s">
        <v>59</v>
      </c>
      <c r="C30" s="345">
        <v>172</v>
      </c>
      <c r="D30" s="346">
        <v>0.11</v>
      </c>
      <c r="E30" s="346">
        <v>10</v>
      </c>
      <c r="F30" s="346">
        <v>362</v>
      </c>
      <c r="G30" s="346">
        <v>15.6</v>
      </c>
      <c r="H30" s="346">
        <f>G30*0.61</f>
        <v>9.516</v>
      </c>
      <c r="I30" s="346">
        <f>G30*0.27</f>
        <v>4.2119999999999997</v>
      </c>
      <c r="J30" s="346">
        <f>G30*0.2</f>
        <v>3.12</v>
      </c>
      <c r="K30" s="346">
        <f t="shared" si="0"/>
        <v>120.39999999999999</v>
      </c>
      <c r="L30" s="346">
        <v>0</v>
      </c>
      <c r="M30" s="346">
        <v>0</v>
      </c>
      <c r="N30" s="346">
        <f t="shared" si="1"/>
        <v>172</v>
      </c>
      <c r="O30" s="346">
        <v>0</v>
      </c>
      <c r="P30" s="346">
        <v>14.8</v>
      </c>
      <c r="Q30" s="346">
        <v>8.1999999999999993</v>
      </c>
      <c r="R30" s="346"/>
      <c r="S30" s="346"/>
      <c r="T30" s="346"/>
      <c r="U30" s="346"/>
      <c r="V30" s="346"/>
      <c r="W30" s="346"/>
      <c r="X30" s="346"/>
      <c r="Y30" s="346"/>
      <c r="Z30" s="346"/>
      <c r="AA30" s="346"/>
      <c r="AB30" s="346"/>
      <c r="AC30" s="346"/>
      <c r="AD30" s="346"/>
      <c r="AE30" s="346"/>
      <c r="AF30" s="346"/>
      <c r="AG30" s="346"/>
      <c r="AH30" s="346"/>
    </row>
    <row r="31" spans="2:34" ht="15" customHeight="1">
      <c r="B31" s="340" t="s">
        <v>59</v>
      </c>
      <c r="C31" s="345">
        <v>343</v>
      </c>
      <c r="D31" s="346">
        <v>0.23</v>
      </c>
      <c r="E31" s="346">
        <v>20</v>
      </c>
      <c r="F31" s="346">
        <v>725</v>
      </c>
      <c r="G31" s="346">
        <v>31.2</v>
      </c>
      <c r="H31" s="346">
        <f>G31*0.61</f>
        <v>19.032</v>
      </c>
      <c r="I31" s="346">
        <f>G31*0.27</f>
        <v>8.4239999999999995</v>
      </c>
      <c r="J31" s="346">
        <f>G31*0.2</f>
        <v>6.24</v>
      </c>
      <c r="K31" s="346">
        <f t="shared" si="0"/>
        <v>240.1</v>
      </c>
      <c r="L31" s="346">
        <v>0</v>
      </c>
      <c r="M31" s="346">
        <v>0</v>
      </c>
      <c r="N31" s="346">
        <f t="shared" si="1"/>
        <v>343</v>
      </c>
      <c r="O31" s="346">
        <v>0</v>
      </c>
      <c r="P31" s="346">
        <v>29.6</v>
      </c>
      <c r="Q31" s="346">
        <v>16.5</v>
      </c>
      <c r="R31" s="346"/>
      <c r="S31" s="346"/>
      <c r="T31" s="346"/>
      <c r="U31" s="346"/>
      <c r="V31" s="346"/>
      <c r="W31" s="346"/>
      <c r="X31" s="346"/>
      <c r="Y31" s="346"/>
      <c r="Z31" s="346"/>
      <c r="AA31" s="346"/>
      <c r="AB31" s="346"/>
      <c r="AC31" s="346"/>
      <c r="AD31" s="346"/>
      <c r="AE31" s="346"/>
      <c r="AF31" s="346"/>
      <c r="AG31" s="346"/>
      <c r="AH31" s="346"/>
    </row>
    <row r="32" spans="2:34" ht="15" customHeight="1">
      <c r="B32" s="340" t="s">
        <v>59</v>
      </c>
      <c r="C32" s="345">
        <v>387</v>
      </c>
      <c r="D32" s="346">
        <v>0.28999999999999998</v>
      </c>
      <c r="E32" s="346">
        <v>25</v>
      </c>
      <c r="F32" s="346">
        <v>906</v>
      </c>
      <c r="G32" s="346">
        <v>39</v>
      </c>
      <c r="H32" s="346">
        <f>G32*0.61</f>
        <v>23.79</v>
      </c>
      <c r="I32" s="346">
        <f>G32*0.27</f>
        <v>10.530000000000001</v>
      </c>
      <c r="J32" s="346">
        <f>G32*0.2</f>
        <v>7.8000000000000007</v>
      </c>
      <c r="K32" s="346">
        <f t="shared" si="0"/>
        <v>270.89999999999998</v>
      </c>
      <c r="L32" s="346">
        <v>0</v>
      </c>
      <c r="M32" s="346">
        <v>0</v>
      </c>
      <c r="N32" s="346">
        <f t="shared" si="1"/>
        <v>387</v>
      </c>
      <c r="O32" s="346">
        <v>0</v>
      </c>
      <c r="P32" s="346">
        <v>37</v>
      </c>
      <c r="Q32" s="346">
        <v>20.6</v>
      </c>
      <c r="R32" s="346">
        <v>11.6</v>
      </c>
      <c r="S32" s="346">
        <v>25.7</v>
      </c>
      <c r="T32" s="346">
        <v>14</v>
      </c>
      <c r="U32" s="346">
        <v>42.2</v>
      </c>
      <c r="V32" s="346">
        <v>14.5</v>
      </c>
      <c r="W32" s="346">
        <v>0.5</v>
      </c>
      <c r="X32" s="346">
        <v>96.9</v>
      </c>
      <c r="Y32" s="346">
        <v>3.4</v>
      </c>
      <c r="Z32" s="346">
        <v>484.4</v>
      </c>
      <c r="AA32" s="346">
        <v>387.5</v>
      </c>
      <c r="AB32" s="346">
        <v>0.97</v>
      </c>
      <c r="AC32" s="346">
        <v>387.5</v>
      </c>
      <c r="AD32" s="346">
        <v>17.399999999999999</v>
      </c>
      <c r="AE32" s="346">
        <v>6161</v>
      </c>
      <c r="AF32" s="346">
        <v>775</v>
      </c>
      <c r="AG32" s="346">
        <v>29.1</v>
      </c>
      <c r="AH32" s="346">
        <v>19.399999999999999</v>
      </c>
    </row>
    <row r="33" spans="2:34" ht="15" customHeight="1">
      <c r="B33" s="340" t="s">
        <v>59</v>
      </c>
      <c r="C33" s="345">
        <v>465</v>
      </c>
      <c r="D33" s="346"/>
      <c r="E33" s="346"/>
      <c r="F33" s="346"/>
      <c r="G33" s="346"/>
      <c r="H33" s="346"/>
      <c r="I33" s="346"/>
      <c r="J33" s="346"/>
      <c r="K33" s="346">
        <f t="shared" si="0"/>
        <v>325.5</v>
      </c>
      <c r="L33" s="346"/>
      <c r="M33" s="346"/>
      <c r="N33" s="346">
        <f t="shared" si="1"/>
        <v>465</v>
      </c>
      <c r="O33" s="346"/>
      <c r="P33" s="346"/>
      <c r="Q33" s="346"/>
      <c r="R33" s="346"/>
      <c r="S33" s="346"/>
      <c r="T33" s="346"/>
      <c r="U33" s="346"/>
      <c r="V33" s="346"/>
      <c r="W33" s="346"/>
      <c r="X33" s="346"/>
      <c r="Y33" s="346"/>
      <c r="Z33" s="346"/>
      <c r="AA33" s="346"/>
      <c r="AB33" s="346"/>
      <c r="AC33" s="346"/>
      <c r="AD33" s="346"/>
      <c r="AE33" s="346"/>
      <c r="AF33" s="346"/>
      <c r="AG33" s="346"/>
      <c r="AH33" s="346"/>
    </row>
    <row r="34" spans="2:34" ht="15" customHeight="1">
      <c r="B34" s="340" t="s">
        <v>60</v>
      </c>
      <c r="C34" s="345">
        <v>172</v>
      </c>
      <c r="D34" s="346">
        <v>7.0000000000000007E-2</v>
      </c>
      <c r="E34" s="346">
        <v>7.5</v>
      </c>
      <c r="F34" s="346">
        <v>308</v>
      </c>
      <c r="G34" s="346">
        <v>13.2</v>
      </c>
      <c r="H34" s="346">
        <f>G34*0.61</f>
        <v>8.0519999999999996</v>
      </c>
      <c r="I34" s="346">
        <f>G34*0.27</f>
        <v>3.5640000000000001</v>
      </c>
      <c r="J34" s="346">
        <f>G34*0.2</f>
        <v>2.64</v>
      </c>
      <c r="K34" s="346">
        <f t="shared" ref="K34:K65" si="2">C34*0.7</f>
        <v>120.39999999999999</v>
      </c>
      <c r="L34" s="346">
        <v>0</v>
      </c>
      <c r="M34" s="346">
        <v>0</v>
      </c>
      <c r="N34" s="346">
        <f t="shared" ref="N34:N65" si="3">(C34*0.1%)*1000</f>
        <v>172</v>
      </c>
      <c r="O34" s="346">
        <v>0</v>
      </c>
      <c r="P34" s="346">
        <v>14.7</v>
      </c>
      <c r="Q34" s="346">
        <v>8.1</v>
      </c>
      <c r="R34" s="346"/>
      <c r="S34" s="346"/>
      <c r="T34" s="346"/>
      <c r="U34" s="346"/>
      <c r="V34" s="346"/>
      <c r="W34" s="346"/>
      <c r="X34" s="346"/>
      <c r="Y34" s="346"/>
      <c r="Z34" s="346"/>
      <c r="AA34" s="346"/>
      <c r="AB34" s="346"/>
      <c r="AC34" s="346"/>
      <c r="AD34" s="346"/>
      <c r="AE34" s="346"/>
      <c r="AF34" s="346"/>
      <c r="AG34" s="346"/>
      <c r="AH34" s="346"/>
    </row>
    <row r="35" spans="2:34" ht="15" customHeight="1">
      <c r="B35" s="340" t="s">
        <v>60</v>
      </c>
      <c r="C35" s="345">
        <v>343</v>
      </c>
      <c r="D35" s="346">
        <v>0.14000000000000001</v>
      </c>
      <c r="E35" s="346">
        <v>15</v>
      </c>
      <c r="F35" s="346">
        <v>616</v>
      </c>
      <c r="G35" s="346">
        <v>26.5</v>
      </c>
      <c r="H35" s="346">
        <f>G35*0.61</f>
        <v>16.164999999999999</v>
      </c>
      <c r="I35" s="346">
        <f>G35*0.27</f>
        <v>7.1550000000000002</v>
      </c>
      <c r="J35" s="346">
        <f>G35*0.2</f>
        <v>5.3000000000000007</v>
      </c>
      <c r="K35" s="346">
        <f t="shared" si="2"/>
        <v>240.1</v>
      </c>
      <c r="L35" s="346">
        <v>0</v>
      </c>
      <c r="M35" s="346">
        <v>0</v>
      </c>
      <c r="N35" s="346">
        <f t="shared" si="3"/>
        <v>343</v>
      </c>
      <c r="O35" s="346">
        <v>0</v>
      </c>
      <c r="P35" s="346">
        <v>29.3</v>
      </c>
      <c r="Q35" s="346">
        <v>16.3</v>
      </c>
      <c r="R35" s="346"/>
      <c r="S35" s="346"/>
      <c r="T35" s="346"/>
      <c r="U35" s="346"/>
      <c r="V35" s="346"/>
      <c r="W35" s="346"/>
      <c r="X35" s="346"/>
      <c r="Y35" s="346"/>
      <c r="Z35" s="346"/>
      <c r="AA35" s="346"/>
      <c r="AB35" s="346"/>
      <c r="AC35" s="346"/>
      <c r="AD35" s="346"/>
      <c r="AE35" s="346"/>
      <c r="AF35" s="346"/>
      <c r="AG35" s="346"/>
      <c r="AH35" s="346"/>
    </row>
    <row r="36" spans="2:34" ht="15" customHeight="1">
      <c r="B36" s="340" t="s">
        <v>60</v>
      </c>
      <c r="C36" s="345">
        <v>429</v>
      </c>
      <c r="D36" s="346">
        <v>0.18</v>
      </c>
      <c r="E36" s="346">
        <v>18.7</v>
      </c>
      <c r="F36" s="346">
        <v>770</v>
      </c>
      <c r="G36" s="346">
        <v>33.1</v>
      </c>
      <c r="H36" s="346">
        <f>G36*0.61</f>
        <v>20.190999999999999</v>
      </c>
      <c r="I36" s="346">
        <f>G36*0.27</f>
        <v>8.9370000000000012</v>
      </c>
      <c r="J36" s="346">
        <f>G36*0.2</f>
        <v>6.620000000000001</v>
      </c>
      <c r="K36" s="346">
        <f t="shared" si="2"/>
        <v>300.29999999999995</v>
      </c>
      <c r="L36" s="346">
        <v>0</v>
      </c>
      <c r="M36" s="346">
        <v>0</v>
      </c>
      <c r="N36" s="346">
        <f t="shared" si="3"/>
        <v>429</v>
      </c>
      <c r="O36" s="346">
        <v>0</v>
      </c>
      <c r="P36" s="346">
        <v>36.700000000000003</v>
      </c>
      <c r="Q36" s="346">
        <v>20.399999999999999</v>
      </c>
      <c r="R36" s="346">
        <v>6.7</v>
      </c>
      <c r="S36" s="346">
        <v>22</v>
      </c>
      <c r="T36" s="346">
        <v>8.8000000000000007</v>
      </c>
      <c r="U36" s="346">
        <v>35.4</v>
      </c>
      <c r="V36" s="346">
        <v>16.100000000000001</v>
      </c>
      <c r="W36" s="346">
        <v>0.5</v>
      </c>
      <c r="X36" s="346">
        <v>107.3</v>
      </c>
      <c r="Y36" s="346">
        <v>3.8</v>
      </c>
      <c r="Z36" s="346">
        <v>536.5</v>
      </c>
      <c r="AA36" s="346">
        <v>429.2</v>
      </c>
      <c r="AB36" s="346">
        <v>1.07</v>
      </c>
      <c r="AC36" s="346">
        <v>429.2</v>
      </c>
      <c r="AD36" s="346">
        <v>19.3</v>
      </c>
      <c r="AE36" s="346">
        <v>5880</v>
      </c>
      <c r="AF36" s="346">
        <v>858</v>
      </c>
      <c r="AG36" s="346">
        <v>321</v>
      </c>
      <c r="AH36" s="346">
        <v>21.5</v>
      </c>
    </row>
    <row r="37" spans="2:34" ht="15" customHeight="1">
      <c r="B37" s="340" t="s">
        <v>60</v>
      </c>
      <c r="C37" s="345">
        <v>515</v>
      </c>
      <c r="D37" s="346"/>
      <c r="E37" s="346"/>
      <c r="F37" s="346"/>
      <c r="G37" s="346"/>
      <c r="H37" s="346"/>
      <c r="I37" s="346"/>
      <c r="J37" s="346"/>
      <c r="K37" s="346">
        <f t="shared" si="2"/>
        <v>360.5</v>
      </c>
      <c r="L37" s="346"/>
      <c r="M37" s="346"/>
      <c r="N37" s="346">
        <f t="shared" si="3"/>
        <v>515</v>
      </c>
      <c r="O37" s="346"/>
      <c r="P37" s="346"/>
      <c r="Q37" s="346"/>
      <c r="R37" s="346"/>
      <c r="S37" s="346"/>
      <c r="T37" s="346"/>
      <c r="U37" s="346"/>
      <c r="V37" s="346"/>
      <c r="W37" s="346"/>
      <c r="X37" s="346"/>
      <c r="Y37" s="346"/>
      <c r="Z37" s="346"/>
      <c r="AA37" s="346"/>
      <c r="AB37" s="346"/>
      <c r="AC37" s="346"/>
      <c r="AD37" s="346"/>
      <c r="AE37" s="346"/>
      <c r="AF37" s="346"/>
      <c r="AG37" s="346"/>
      <c r="AH37" s="346"/>
    </row>
    <row r="38" spans="2:34" ht="15" customHeight="1">
      <c r="B38" s="340" t="s">
        <v>63</v>
      </c>
      <c r="C38" s="345">
        <v>172</v>
      </c>
      <c r="D38" s="346">
        <v>7.0000000000000007E-2</v>
      </c>
      <c r="E38" s="346">
        <v>11.2</v>
      </c>
      <c r="F38" s="346">
        <v>387</v>
      </c>
      <c r="G38" s="346">
        <v>16.7</v>
      </c>
      <c r="H38" s="346">
        <f>G38*0.61</f>
        <v>10.186999999999999</v>
      </c>
      <c r="I38" s="346">
        <f>G38*0.27</f>
        <v>4.5090000000000003</v>
      </c>
      <c r="J38" s="346">
        <f>G38*0.2</f>
        <v>3.34</v>
      </c>
      <c r="K38" s="346">
        <f t="shared" si="2"/>
        <v>120.39999999999999</v>
      </c>
      <c r="L38" s="346">
        <v>0</v>
      </c>
      <c r="M38" s="346">
        <v>0</v>
      </c>
      <c r="N38" s="346">
        <f t="shared" si="3"/>
        <v>172</v>
      </c>
      <c r="O38" s="346">
        <v>0</v>
      </c>
      <c r="P38" s="346">
        <v>14.7</v>
      </c>
      <c r="Q38" s="346">
        <v>8.1</v>
      </c>
      <c r="R38" s="346"/>
      <c r="S38" s="346"/>
      <c r="T38" s="346"/>
      <c r="U38" s="346"/>
      <c r="V38" s="346"/>
      <c r="W38" s="346"/>
      <c r="X38" s="346"/>
      <c r="Y38" s="346"/>
      <c r="Z38" s="346"/>
      <c r="AA38" s="346"/>
      <c r="AB38" s="346"/>
      <c r="AC38" s="346"/>
      <c r="AD38" s="346"/>
      <c r="AE38" s="346"/>
      <c r="AF38" s="346"/>
      <c r="AG38" s="346"/>
      <c r="AH38" s="346"/>
    </row>
    <row r="39" spans="2:34" ht="15" customHeight="1">
      <c r="B39" s="340" t="s">
        <v>63</v>
      </c>
      <c r="C39" s="345">
        <v>343</v>
      </c>
      <c r="D39" s="346">
        <v>0.14000000000000001</v>
      </c>
      <c r="E39" s="346">
        <v>22.3</v>
      </c>
      <c r="F39" s="346">
        <v>775</v>
      </c>
      <c r="G39" s="346">
        <v>33.299999999999997</v>
      </c>
      <c r="H39" s="346">
        <f>G39*0.61</f>
        <v>20.312999999999999</v>
      </c>
      <c r="I39" s="346">
        <f>G39*0.27</f>
        <v>8.9909999999999997</v>
      </c>
      <c r="J39" s="346">
        <f>G39*0.2</f>
        <v>6.66</v>
      </c>
      <c r="K39" s="346">
        <f t="shared" si="2"/>
        <v>240.1</v>
      </c>
      <c r="L39" s="346">
        <v>0</v>
      </c>
      <c r="M39" s="346">
        <v>0</v>
      </c>
      <c r="N39" s="346">
        <f t="shared" si="3"/>
        <v>343</v>
      </c>
      <c r="O39" s="346">
        <v>0</v>
      </c>
      <c r="P39" s="346">
        <v>29.3</v>
      </c>
      <c r="Q39" s="346">
        <v>16.3</v>
      </c>
      <c r="R39" s="346"/>
      <c r="S39" s="346"/>
      <c r="T39" s="346"/>
      <c r="U39" s="346"/>
      <c r="V39" s="346"/>
      <c r="W39" s="346"/>
      <c r="X39" s="346"/>
      <c r="Y39" s="346"/>
      <c r="Z39" s="346"/>
      <c r="AA39" s="346"/>
      <c r="AB39" s="346"/>
      <c r="AC39" s="346"/>
      <c r="AD39" s="346"/>
      <c r="AE39" s="346"/>
      <c r="AF39" s="346"/>
      <c r="AG39" s="346"/>
      <c r="AH39" s="346"/>
    </row>
    <row r="40" spans="2:34" ht="15" customHeight="1">
      <c r="B40" s="340" t="s">
        <v>63</v>
      </c>
      <c r="C40" s="345">
        <v>429</v>
      </c>
      <c r="D40" s="346">
        <v>0.18</v>
      </c>
      <c r="E40" s="346">
        <v>27.9</v>
      </c>
      <c r="F40" s="346">
        <v>969</v>
      </c>
      <c r="G40" s="346">
        <v>41.7</v>
      </c>
      <c r="H40" s="346">
        <f>G40*0.61</f>
        <v>25.437000000000001</v>
      </c>
      <c r="I40" s="346">
        <f>G40*0.27</f>
        <v>11.259000000000002</v>
      </c>
      <c r="J40" s="346">
        <f>G40*0.2</f>
        <v>8.3400000000000016</v>
      </c>
      <c r="K40" s="346">
        <f t="shared" si="2"/>
        <v>300.29999999999995</v>
      </c>
      <c r="L40" s="346">
        <v>0</v>
      </c>
      <c r="M40" s="346">
        <v>0</v>
      </c>
      <c r="N40" s="346">
        <f t="shared" si="3"/>
        <v>429</v>
      </c>
      <c r="O40" s="346">
        <v>0</v>
      </c>
      <c r="P40" s="346">
        <v>36.700000000000003</v>
      </c>
      <c r="Q40" s="346">
        <v>20.399999999999999</v>
      </c>
      <c r="R40" s="346">
        <v>12.9</v>
      </c>
      <c r="S40" s="346">
        <v>34</v>
      </c>
      <c r="T40" s="346">
        <v>22.1</v>
      </c>
      <c r="U40" s="346">
        <v>58.2</v>
      </c>
      <c r="V40" s="346">
        <v>16.100000000000001</v>
      </c>
      <c r="W40" s="346">
        <v>0.5</v>
      </c>
      <c r="X40" s="346">
        <v>107.3</v>
      </c>
      <c r="Y40" s="346">
        <v>3.8</v>
      </c>
      <c r="Z40" s="346">
        <v>536.5</v>
      </c>
      <c r="AA40" s="346">
        <v>429.2</v>
      </c>
      <c r="AB40" s="346">
        <v>1.07</v>
      </c>
      <c r="AC40" s="346">
        <v>429.2</v>
      </c>
      <c r="AD40" s="346">
        <v>19.3</v>
      </c>
      <c r="AE40" s="346">
        <v>5880</v>
      </c>
      <c r="AF40" s="346">
        <v>858</v>
      </c>
      <c r="AG40" s="346">
        <v>32.200000000000003</v>
      </c>
      <c r="AH40" s="346">
        <v>21.5</v>
      </c>
    </row>
    <row r="41" spans="2:34" ht="15" customHeight="1">
      <c r="B41" s="340" t="s">
        <v>63</v>
      </c>
      <c r="C41" s="345">
        <v>515</v>
      </c>
      <c r="D41" s="346"/>
      <c r="E41" s="346"/>
      <c r="F41" s="346"/>
      <c r="G41" s="346"/>
      <c r="H41" s="346"/>
      <c r="I41" s="346"/>
      <c r="J41" s="346"/>
      <c r="K41" s="346">
        <f t="shared" si="2"/>
        <v>360.5</v>
      </c>
      <c r="L41" s="346"/>
      <c r="M41" s="346"/>
      <c r="N41" s="346">
        <f t="shared" si="3"/>
        <v>515</v>
      </c>
      <c r="O41" s="346"/>
      <c r="P41" s="346"/>
      <c r="Q41" s="346"/>
      <c r="R41" s="346"/>
      <c r="S41" s="346"/>
      <c r="T41" s="346"/>
      <c r="U41" s="346"/>
      <c r="V41" s="346"/>
      <c r="W41" s="346"/>
      <c r="X41" s="346"/>
      <c r="Y41" s="346"/>
      <c r="Z41" s="346"/>
      <c r="AA41" s="346"/>
      <c r="AB41" s="346"/>
      <c r="AC41" s="346"/>
      <c r="AD41" s="346"/>
      <c r="AE41" s="346"/>
      <c r="AF41" s="346"/>
      <c r="AG41" s="346"/>
      <c r="AH41" s="346"/>
    </row>
    <row r="42" spans="2:34" ht="15" customHeight="1">
      <c r="B42" s="340" t="s">
        <v>62</v>
      </c>
      <c r="C42" s="345">
        <v>172</v>
      </c>
      <c r="D42" s="346">
        <v>7.0000000000000007E-2</v>
      </c>
      <c r="E42" s="346">
        <v>9.9</v>
      </c>
      <c r="F42" s="346">
        <v>355</v>
      </c>
      <c r="G42" s="346">
        <v>15.3</v>
      </c>
      <c r="H42" s="346">
        <f>G42*0.61</f>
        <v>9.3330000000000002</v>
      </c>
      <c r="I42" s="346">
        <f>G42*0.27</f>
        <v>4.1310000000000002</v>
      </c>
      <c r="J42" s="346">
        <f>G42*0.2</f>
        <v>3.0600000000000005</v>
      </c>
      <c r="K42" s="346">
        <f t="shared" si="2"/>
        <v>120.39999999999999</v>
      </c>
      <c r="L42" s="346">
        <v>0</v>
      </c>
      <c r="M42" s="346">
        <v>0</v>
      </c>
      <c r="N42" s="346">
        <f t="shared" si="3"/>
        <v>172</v>
      </c>
      <c r="O42" s="346">
        <v>0</v>
      </c>
      <c r="P42" s="346">
        <v>14.7</v>
      </c>
      <c r="Q42" s="346">
        <v>8.1</v>
      </c>
      <c r="R42" s="346"/>
      <c r="S42" s="346"/>
      <c r="T42" s="346"/>
      <c r="U42" s="346"/>
      <c r="V42" s="346"/>
      <c r="W42" s="346"/>
      <c r="X42" s="346"/>
      <c r="Y42" s="346"/>
      <c r="Z42" s="346"/>
      <c r="AA42" s="346"/>
      <c r="AB42" s="346"/>
      <c r="AC42" s="346"/>
      <c r="AD42" s="346"/>
      <c r="AE42" s="346"/>
      <c r="AF42" s="346"/>
      <c r="AG42" s="346"/>
      <c r="AH42" s="346"/>
    </row>
    <row r="43" spans="2:34" ht="15" customHeight="1">
      <c r="B43" s="340" t="s">
        <v>62</v>
      </c>
      <c r="C43" s="345">
        <v>343</v>
      </c>
      <c r="D43" s="346">
        <v>0.14000000000000001</v>
      </c>
      <c r="E43" s="346">
        <v>19.899999999999999</v>
      </c>
      <c r="F43" s="346">
        <v>710</v>
      </c>
      <c r="G43" s="346">
        <v>30.6</v>
      </c>
      <c r="H43" s="346">
        <f>G43*0.61</f>
        <v>18.666</v>
      </c>
      <c r="I43" s="346">
        <f>G43*0.27</f>
        <v>8.2620000000000005</v>
      </c>
      <c r="J43" s="346">
        <f>G43*0.2</f>
        <v>6.120000000000001</v>
      </c>
      <c r="K43" s="346">
        <f t="shared" si="2"/>
        <v>240.1</v>
      </c>
      <c r="L43" s="346">
        <v>0</v>
      </c>
      <c r="M43" s="346">
        <v>0</v>
      </c>
      <c r="N43" s="346">
        <f t="shared" si="3"/>
        <v>343</v>
      </c>
      <c r="O43" s="346">
        <v>0</v>
      </c>
      <c r="P43" s="346">
        <v>29.3</v>
      </c>
      <c r="Q43" s="346">
        <v>16.3</v>
      </c>
      <c r="R43" s="346"/>
      <c r="S43" s="346"/>
      <c r="T43" s="346"/>
      <c r="U43" s="346"/>
      <c r="V43" s="346"/>
      <c r="W43" s="346"/>
      <c r="X43" s="346"/>
      <c r="Y43" s="346"/>
      <c r="Z43" s="346"/>
      <c r="AA43" s="346"/>
      <c r="AB43" s="346"/>
      <c r="AC43" s="346"/>
      <c r="AD43" s="346"/>
      <c r="AE43" s="346"/>
      <c r="AF43" s="346"/>
      <c r="AG43" s="346"/>
      <c r="AH43" s="346"/>
    </row>
    <row r="44" spans="2:34" ht="15" customHeight="1">
      <c r="B44" s="340" t="s">
        <v>62</v>
      </c>
      <c r="C44" s="345">
        <v>429</v>
      </c>
      <c r="D44" s="346">
        <v>0.18</v>
      </c>
      <c r="E44" s="346">
        <v>24.8</v>
      </c>
      <c r="F44" s="346">
        <v>888</v>
      </c>
      <c r="G44" s="346">
        <v>38.200000000000003</v>
      </c>
      <c r="H44" s="346">
        <f>G44*0.61</f>
        <v>23.302</v>
      </c>
      <c r="I44" s="346">
        <f>G44*0.27</f>
        <v>10.314000000000002</v>
      </c>
      <c r="J44" s="346">
        <f>G44*0.2</f>
        <v>7.6400000000000006</v>
      </c>
      <c r="K44" s="346">
        <f t="shared" si="2"/>
        <v>300.29999999999995</v>
      </c>
      <c r="L44" s="346">
        <v>0</v>
      </c>
      <c r="M44" s="346">
        <v>0</v>
      </c>
      <c r="N44" s="346">
        <f t="shared" si="3"/>
        <v>429</v>
      </c>
      <c r="O44" s="346">
        <v>0</v>
      </c>
      <c r="P44" s="346">
        <v>36.700000000000003</v>
      </c>
      <c r="Q44" s="346">
        <v>20.399999999999999</v>
      </c>
      <c r="R44" s="346">
        <v>12.9</v>
      </c>
      <c r="S44" s="346">
        <v>28</v>
      </c>
      <c r="T44" s="346">
        <v>15.4</v>
      </c>
      <c r="U44" s="346">
        <v>46.8</v>
      </c>
      <c r="V44" s="346">
        <v>16.100000000000001</v>
      </c>
      <c r="W44" s="346">
        <v>0.5</v>
      </c>
      <c r="X44" s="346">
        <v>107.3</v>
      </c>
      <c r="Y44" s="346">
        <v>3.8</v>
      </c>
      <c r="Z44" s="346">
        <v>536.5</v>
      </c>
      <c r="AA44" s="346">
        <v>429.2</v>
      </c>
      <c r="AB44" s="346">
        <v>1.07</v>
      </c>
      <c r="AC44" s="346">
        <v>429.2</v>
      </c>
      <c r="AD44" s="346">
        <v>19.3</v>
      </c>
      <c r="AE44" s="346">
        <v>5880</v>
      </c>
      <c r="AF44" s="346">
        <v>858</v>
      </c>
      <c r="AG44" s="346">
        <v>32.200000000000003</v>
      </c>
      <c r="AH44" s="346">
        <v>21.5</v>
      </c>
    </row>
    <row r="45" spans="2:34" ht="15" customHeight="1">
      <c r="B45" s="340" t="s">
        <v>62</v>
      </c>
      <c r="C45" s="345">
        <v>515</v>
      </c>
      <c r="D45" s="346"/>
      <c r="E45" s="346"/>
      <c r="F45" s="346"/>
      <c r="G45" s="346"/>
      <c r="H45" s="346"/>
      <c r="I45" s="346"/>
      <c r="J45" s="346"/>
      <c r="K45" s="346">
        <f t="shared" si="2"/>
        <v>360.5</v>
      </c>
      <c r="L45" s="346"/>
      <c r="M45" s="346"/>
      <c r="N45" s="346">
        <f t="shared" si="3"/>
        <v>515</v>
      </c>
      <c r="O45" s="346"/>
      <c r="P45" s="346"/>
      <c r="Q45" s="346"/>
      <c r="R45" s="346"/>
      <c r="S45" s="346"/>
      <c r="T45" s="346"/>
      <c r="U45" s="346"/>
      <c r="V45" s="346"/>
      <c r="W45" s="346"/>
      <c r="X45" s="346"/>
      <c r="Y45" s="346"/>
      <c r="Z45" s="346"/>
      <c r="AA45" s="346"/>
      <c r="AB45" s="346"/>
      <c r="AC45" s="346"/>
      <c r="AD45" s="346"/>
      <c r="AE45" s="346"/>
      <c r="AF45" s="346"/>
      <c r="AG45" s="346"/>
      <c r="AH45" s="346"/>
    </row>
    <row r="46" spans="2:34" ht="15" customHeight="1">
      <c r="B46" s="340" t="s">
        <v>64</v>
      </c>
      <c r="C46" s="345">
        <v>172</v>
      </c>
      <c r="D46" s="346">
        <v>7.0000000000000007E-2</v>
      </c>
      <c r="E46" s="346">
        <v>13</v>
      </c>
      <c r="F46" s="346">
        <v>436</v>
      </c>
      <c r="G46" s="346">
        <v>18.8</v>
      </c>
      <c r="H46" s="346">
        <f>G46*0.61</f>
        <v>11.468</v>
      </c>
      <c r="I46" s="346">
        <f>G46*0.27</f>
        <v>5.0760000000000005</v>
      </c>
      <c r="J46" s="346">
        <f>G46*0.2</f>
        <v>3.7600000000000002</v>
      </c>
      <c r="K46" s="346">
        <f t="shared" si="2"/>
        <v>120.39999999999999</v>
      </c>
      <c r="L46" s="346">
        <v>0</v>
      </c>
      <c r="M46" s="346">
        <v>0</v>
      </c>
      <c r="N46" s="346">
        <f t="shared" si="3"/>
        <v>172</v>
      </c>
      <c r="O46" s="346">
        <v>0</v>
      </c>
      <c r="P46" s="346">
        <v>14.7</v>
      </c>
      <c r="Q46" s="346">
        <v>8.1</v>
      </c>
      <c r="R46" s="346"/>
      <c r="S46" s="346"/>
      <c r="T46" s="346"/>
      <c r="U46" s="346"/>
      <c r="V46" s="346"/>
      <c r="W46" s="346"/>
      <c r="X46" s="346"/>
      <c r="Y46" s="346"/>
      <c r="Z46" s="346"/>
      <c r="AA46" s="346"/>
      <c r="AB46" s="346"/>
      <c r="AC46" s="346"/>
      <c r="AD46" s="346"/>
      <c r="AE46" s="346"/>
      <c r="AF46" s="346"/>
      <c r="AG46" s="346"/>
      <c r="AH46" s="346"/>
    </row>
    <row r="47" spans="2:34" ht="15" customHeight="1">
      <c r="B47" s="340" t="s">
        <v>64</v>
      </c>
      <c r="C47" s="345">
        <v>343</v>
      </c>
      <c r="D47" s="346">
        <v>0.14000000000000001</v>
      </c>
      <c r="E47" s="346">
        <v>26</v>
      </c>
      <c r="F47" s="346">
        <v>873</v>
      </c>
      <c r="G47" s="346">
        <v>37.5</v>
      </c>
      <c r="H47" s="346">
        <f>G47*0.61</f>
        <v>22.875</v>
      </c>
      <c r="I47" s="346">
        <f>G47*0.27</f>
        <v>10.125</v>
      </c>
      <c r="J47" s="346">
        <f>G47*0.2</f>
        <v>7.5</v>
      </c>
      <c r="K47" s="346">
        <f t="shared" si="2"/>
        <v>240.1</v>
      </c>
      <c r="L47" s="346">
        <v>0</v>
      </c>
      <c r="M47" s="346">
        <v>0</v>
      </c>
      <c r="N47" s="346">
        <f t="shared" si="3"/>
        <v>343</v>
      </c>
      <c r="O47" s="346">
        <v>0</v>
      </c>
      <c r="P47" s="346">
        <v>29.3</v>
      </c>
      <c r="Q47" s="346">
        <v>16.3</v>
      </c>
      <c r="R47" s="346"/>
      <c r="S47" s="346"/>
      <c r="T47" s="346"/>
      <c r="U47" s="346"/>
      <c r="V47" s="346"/>
      <c r="W47" s="346"/>
      <c r="X47" s="346"/>
      <c r="Y47" s="346"/>
      <c r="Z47" s="346"/>
      <c r="AA47" s="346"/>
      <c r="AB47" s="346"/>
      <c r="AC47" s="346"/>
      <c r="AD47" s="346"/>
      <c r="AE47" s="346"/>
      <c r="AF47" s="346"/>
      <c r="AG47" s="346"/>
      <c r="AH47" s="346"/>
    </row>
    <row r="48" spans="2:34" ht="15" customHeight="1">
      <c r="B48" s="340" t="s">
        <v>64</v>
      </c>
      <c r="C48" s="345">
        <v>429</v>
      </c>
      <c r="D48" s="346">
        <v>0.18</v>
      </c>
      <c r="E48" s="346">
        <v>32.5</v>
      </c>
      <c r="F48" s="346">
        <v>1091</v>
      </c>
      <c r="G48" s="346">
        <v>46.9</v>
      </c>
      <c r="H48" s="346">
        <f>G48*0.61</f>
        <v>28.608999999999998</v>
      </c>
      <c r="I48" s="346">
        <f>G48*0.27</f>
        <v>12.663</v>
      </c>
      <c r="J48" s="346">
        <f>G48*0.2</f>
        <v>9.3800000000000008</v>
      </c>
      <c r="K48" s="346">
        <f t="shared" si="2"/>
        <v>300.29999999999995</v>
      </c>
      <c r="L48" s="346">
        <v>0</v>
      </c>
      <c r="M48" s="346">
        <v>0</v>
      </c>
      <c r="N48" s="346">
        <f t="shared" si="3"/>
        <v>429</v>
      </c>
      <c r="O48" s="346">
        <v>0</v>
      </c>
      <c r="P48" s="346">
        <v>36.700000000000003</v>
      </c>
      <c r="Q48" s="346">
        <v>20.399999999999999</v>
      </c>
      <c r="R48" s="346">
        <v>12.9</v>
      </c>
      <c r="S48" s="346">
        <v>46</v>
      </c>
      <c r="T48" s="346">
        <v>35.4</v>
      </c>
      <c r="U48" s="346">
        <v>80.900000000000006</v>
      </c>
      <c r="V48" s="346">
        <v>16.100000000000001</v>
      </c>
      <c r="W48" s="346">
        <v>0.5</v>
      </c>
      <c r="X48" s="346">
        <v>107.3</v>
      </c>
      <c r="Y48" s="346">
        <v>3.8</v>
      </c>
      <c r="Z48" s="346">
        <v>536.5</v>
      </c>
      <c r="AA48" s="346">
        <v>429.2</v>
      </c>
      <c r="AB48" s="346">
        <v>1.07</v>
      </c>
      <c r="AC48" s="346">
        <v>429.2</v>
      </c>
      <c r="AD48" s="346">
        <v>19.3</v>
      </c>
      <c r="AE48" s="346">
        <v>5880</v>
      </c>
      <c r="AF48" s="346">
        <v>858</v>
      </c>
      <c r="AG48" s="346">
        <v>32.200000000000003</v>
      </c>
      <c r="AH48" s="346">
        <v>21.5</v>
      </c>
    </row>
    <row r="49" spans="2:34" ht="15" customHeight="1">
      <c r="B49" s="340" t="s">
        <v>64</v>
      </c>
      <c r="C49" s="345">
        <v>515</v>
      </c>
      <c r="D49" s="346"/>
      <c r="E49" s="346"/>
      <c r="F49" s="346"/>
      <c r="G49" s="346"/>
      <c r="H49" s="346"/>
      <c r="I49" s="346"/>
      <c r="J49" s="346"/>
      <c r="K49" s="346">
        <f t="shared" si="2"/>
        <v>360.5</v>
      </c>
      <c r="L49" s="346"/>
      <c r="M49" s="346"/>
      <c r="N49" s="346">
        <f t="shared" si="3"/>
        <v>515</v>
      </c>
      <c r="O49" s="346"/>
      <c r="P49" s="346"/>
      <c r="Q49" s="346"/>
      <c r="R49" s="346"/>
      <c r="S49" s="346"/>
      <c r="T49" s="346"/>
      <c r="U49" s="346"/>
      <c r="V49" s="346"/>
      <c r="W49" s="346"/>
      <c r="X49" s="346"/>
      <c r="Y49" s="346"/>
      <c r="Z49" s="346"/>
      <c r="AA49" s="346"/>
      <c r="AB49" s="346"/>
      <c r="AC49" s="346"/>
      <c r="AD49" s="346"/>
      <c r="AE49" s="346"/>
      <c r="AF49" s="346"/>
      <c r="AG49" s="346"/>
      <c r="AH49" s="346"/>
    </row>
    <row r="50" spans="2:34" ht="15" customHeight="1">
      <c r="B50" s="340" t="s">
        <v>61</v>
      </c>
      <c r="C50" s="345">
        <v>172</v>
      </c>
      <c r="D50" s="346">
        <v>7.0000000000000007E-2</v>
      </c>
      <c r="E50" s="346">
        <v>8.6999999999999993</v>
      </c>
      <c r="F50" s="346">
        <v>332</v>
      </c>
      <c r="G50" s="346">
        <v>14.3</v>
      </c>
      <c r="H50" s="346">
        <f>G50*0.61</f>
        <v>8.7230000000000008</v>
      </c>
      <c r="I50" s="346">
        <f>G50*0.27</f>
        <v>3.8610000000000007</v>
      </c>
      <c r="J50" s="346">
        <f>G50*0.2</f>
        <v>2.8600000000000003</v>
      </c>
      <c r="K50" s="346">
        <f t="shared" si="2"/>
        <v>120.39999999999999</v>
      </c>
      <c r="L50" s="346">
        <v>0</v>
      </c>
      <c r="M50" s="346">
        <v>0</v>
      </c>
      <c r="N50" s="346">
        <f t="shared" si="3"/>
        <v>172</v>
      </c>
      <c r="O50" s="346">
        <v>0</v>
      </c>
      <c r="P50" s="346">
        <v>14.7</v>
      </c>
      <c r="Q50" s="346">
        <v>8.1</v>
      </c>
      <c r="R50" s="346"/>
      <c r="S50" s="346"/>
      <c r="T50" s="346"/>
      <c r="U50" s="346"/>
      <c r="V50" s="346"/>
      <c r="W50" s="346"/>
      <c r="X50" s="346"/>
      <c r="Y50" s="346"/>
      <c r="Z50" s="346"/>
      <c r="AA50" s="346"/>
      <c r="AB50" s="346"/>
      <c r="AC50" s="346"/>
      <c r="AD50" s="346"/>
      <c r="AE50" s="346"/>
      <c r="AF50" s="346"/>
      <c r="AG50" s="346"/>
      <c r="AH50" s="346"/>
    </row>
    <row r="51" spans="2:34" ht="15" customHeight="1">
      <c r="B51" s="340" t="s">
        <v>61</v>
      </c>
      <c r="C51" s="345">
        <v>343</v>
      </c>
      <c r="D51" s="346">
        <v>0.14000000000000001</v>
      </c>
      <c r="E51" s="346">
        <v>17.399999999999999</v>
      </c>
      <c r="F51" s="346">
        <v>663</v>
      </c>
      <c r="G51" s="346">
        <v>28.5</v>
      </c>
      <c r="H51" s="346">
        <f>G51*0.61</f>
        <v>17.384999999999998</v>
      </c>
      <c r="I51" s="346">
        <f>G51*0.27</f>
        <v>7.6950000000000003</v>
      </c>
      <c r="J51" s="346">
        <f>G51*0.2</f>
        <v>5.7</v>
      </c>
      <c r="K51" s="346">
        <f t="shared" si="2"/>
        <v>240.1</v>
      </c>
      <c r="L51" s="346">
        <v>0</v>
      </c>
      <c r="M51" s="346">
        <v>0</v>
      </c>
      <c r="N51" s="346">
        <f t="shared" si="3"/>
        <v>343</v>
      </c>
      <c r="O51" s="346">
        <v>0</v>
      </c>
      <c r="P51" s="346">
        <v>29.3</v>
      </c>
      <c r="Q51" s="346">
        <v>16.3</v>
      </c>
      <c r="R51" s="346"/>
      <c r="S51" s="346"/>
      <c r="T51" s="346"/>
      <c r="U51" s="346"/>
      <c r="V51" s="346"/>
      <c r="W51" s="346"/>
      <c r="X51" s="346"/>
      <c r="Y51" s="346"/>
      <c r="Z51" s="346"/>
      <c r="AA51" s="346"/>
      <c r="AB51" s="346"/>
      <c r="AC51" s="346"/>
      <c r="AD51" s="346"/>
      <c r="AE51" s="346"/>
      <c r="AF51" s="346"/>
      <c r="AG51" s="346"/>
      <c r="AH51" s="346"/>
    </row>
    <row r="52" spans="2:34" ht="15" customHeight="1">
      <c r="B52" s="340" t="s">
        <v>61</v>
      </c>
      <c r="C52" s="345">
        <v>429</v>
      </c>
      <c r="D52" s="346">
        <v>0.18</v>
      </c>
      <c r="E52" s="346">
        <v>21.8</v>
      </c>
      <c r="F52" s="346">
        <v>829</v>
      </c>
      <c r="G52" s="346">
        <v>35.700000000000003</v>
      </c>
      <c r="H52" s="346">
        <f>G52*0.61</f>
        <v>21.777000000000001</v>
      </c>
      <c r="I52" s="346">
        <f>G52*0.27</f>
        <v>9.6390000000000011</v>
      </c>
      <c r="J52" s="346">
        <f>G52*0.2</f>
        <v>7.1400000000000006</v>
      </c>
      <c r="K52" s="346">
        <f t="shared" si="2"/>
        <v>300.29999999999995</v>
      </c>
      <c r="L52" s="346">
        <v>0</v>
      </c>
      <c r="M52" s="346">
        <v>0</v>
      </c>
      <c r="N52" s="346">
        <f t="shared" si="3"/>
        <v>429</v>
      </c>
      <c r="O52" s="346">
        <v>0</v>
      </c>
      <c r="P52" s="346">
        <v>36.700000000000003</v>
      </c>
      <c r="Q52" s="346">
        <v>20.399999999999999</v>
      </c>
      <c r="R52" s="346">
        <v>12.9</v>
      </c>
      <c r="S52" s="346">
        <v>25</v>
      </c>
      <c r="T52" s="346">
        <v>12.1</v>
      </c>
      <c r="U52" s="346">
        <v>41.1</v>
      </c>
      <c r="V52" s="346">
        <v>16.100000000000001</v>
      </c>
      <c r="W52" s="346">
        <v>0.5</v>
      </c>
      <c r="X52" s="346">
        <v>107.3</v>
      </c>
      <c r="Y52" s="346">
        <v>3.8</v>
      </c>
      <c r="Z52" s="346">
        <v>536.5</v>
      </c>
      <c r="AA52" s="346">
        <v>429.2</v>
      </c>
      <c r="AB52" s="346">
        <v>1.07</v>
      </c>
      <c r="AC52" s="346">
        <v>429.2</v>
      </c>
      <c r="AD52" s="346">
        <v>19.3</v>
      </c>
      <c r="AE52" s="346">
        <v>5880</v>
      </c>
      <c r="AF52" s="346">
        <v>858</v>
      </c>
      <c r="AG52" s="346">
        <v>32.200000000000003</v>
      </c>
      <c r="AH52" s="346">
        <v>21.5</v>
      </c>
    </row>
    <row r="53" spans="2:34" ht="15" customHeight="1">
      <c r="B53" s="340" t="s">
        <v>61</v>
      </c>
      <c r="C53" s="345">
        <v>515</v>
      </c>
      <c r="D53" s="346"/>
      <c r="E53" s="346"/>
      <c r="F53" s="346"/>
      <c r="G53" s="346"/>
      <c r="H53" s="346"/>
      <c r="I53" s="346"/>
      <c r="J53" s="346"/>
      <c r="K53" s="346">
        <f t="shared" si="2"/>
        <v>360.5</v>
      </c>
      <c r="L53" s="346"/>
      <c r="M53" s="346"/>
      <c r="N53" s="346">
        <f t="shared" si="3"/>
        <v>515</v>
      </c>
      <c r="O53" s="346"/>
      <c r="P53" s="346"/>
      <c r="Q53" s="346"/>
      <c r="R53" s="346"/>
      <c r="S53" s="346"/>
      <c r="T53" s="346"/>
      <c r="U53" s="346"/>
      <c r="V53" s="346"/>
      <c r="W53" s="346"/>
      <c r="X53" s="346"/>
      <c r="Y53" s="346"/>
      <c r="Z53" s="346"/>
      <c r="AA53" s="346"/>
      <c r="AB53" s="346"/>
      <c r="AC53" s="346"/>
      <c r="AD53" s="346"/>
      <c r="AE53" s="346"/>
      <c r="AF53" s="346"/>
      <c r="AG53" s="346"/>
      <c r="AH53" s="346"/>
    </row>
    <row r="54" spans="2:34" ht="15" customHeight="1">
      <c r="B54" s="340" t="s">
        <v>56</v>
      </c>
      <c r="C54" s="345">
        <v>86</v>
      </c>
      <c r="D54" s="346">
        <v>0.28999999999999998</v>
      </c>
      <c r="E54" s="346">
        <v>6.2</v>
      </c>
      <c r="F54" s="346">
        <v>270</v>
      </c>
      <c r="G54" s="346">
        <v>11.6</v>
      </c>
      <c r="H54" s="346">
        <f>G54*0.61</f>
        <v>7.0759999999999996</v>
      </c>
      <c r="I54" s="346">
        <f>G54*0.27</f>
        <v>3.1320000000000001</v>
      </c>
      <c r="J54" s="346">
        <f>G54*0.2</f>
        <v>2.3199999999999998</v>
      </c>
      <c r="K54" s="346">
        <f t="shared" si="2"/>
        <v>60.199999999999996</v>
      </c>
      <c r="L54" s="346">
        <v>0</v>
      </c>
      <c r="M54" s="346">
        <v>0</v>
      </c>
      <c r="N54" s="346">
        <f t="shared" si="3"/>
        <v>86</v>
      </c>
      <c r="O54" s="346">
        <v>0</v>
      </c>
      <c r="P54" s="346">
        <v>15.5</v>
      </c>
      <c r="Q54" s="346">
        <v>8.6</v>
      </c>
      <c r="R54" s="346"/>
      <c r="S54" s="346"/>
      <c r="T54" s="346"/>
      <c r="U54" s="346"/>
      <c r="V54" s="346"/>
      <c r="W54" s="346"/>
      <c r="X54" s="346"/>
      <c r="Y54" s="346"/>
      <c r="Z54" s="346"/>
      <c r="AA54" s="346"/>
      <c r="AB54" s="346"/>
      <c r="AC54" s="346"/>
      <c r="AD54" s="346"/>
      <c r="AE54" s="346"/>
      <c r="AF54" s="346"/>
      <c r="AG54" s="346"/>
      <c r="AH54" s="346"/>
    </row>
    <row r="55" spans="2:34" ht="15" customHeight="1">
      <c r="B55" s="340" t="s">
        <v>56</v>
      </c>
      <c r="C55" s="345">
        <v>173</v>
      </c>
      <c r="D55" s="346">
        <v>0.57999999999999996</v>
      </c>
      <c r="E55" s="346">
        <v>12.4</v>
      </c>
      <c r="F55" s="346">
        <v>541</v>
      </c>
      <c r="G55" s="346">
        <v>23.3</v>
      </c>
      <c r="H55" s="346">
        <f>G55*0.61</f>
        <v>14.213000000000001</v>
      </c>
      <c r="I55" s="346">
        <f>G55*0.27</f>
        <v>6.2910000000000004</v>
      </c>
      <c r="J55" s="346">
        <f>G55*0.2</f>
        <v>4.66</v>
      </c>
      <c r="K55" s="346">
        <f t="shared" si="2"/>
        <v>121.1</v>
      </c>
      <c r="L55" s="346">
        <v>0</v>
      </c>
      <c r="M55" s="346">
        <v>0</v>
      </c>
      <c r="N55" s="346">
        <f t="shared" si="3"/>
        <v>173.00000000000003</v>
      </c>
      <c r="O55" s="346">
        <v>0</v>
      </c>
      <c r="P55" s="346">
        <v>30.9</v>
      </c>
      <c r="Q55" s="346">
        <v>17.2</v>
      </c>
      <c r="R55" s="346"/>
      <c r="S55" s="346"/>
      <c r="T55" s="346"/>
      <c r="U55" s="346"/>
      <c r="V55" s="346"/>
      <c r="W55" s="346"/>
      <c r="X55" s="346"/>
      <c r="Y55" s="346"/>
      <c r="Z55" s="346"/>
      <c r="AA55" s="346"/>
      <c r="AB55" s="346"/>
      <c r="AC55" s="346"/>
      <c r="AD55" s="346"/>
      <c r="AE55" s="346"/>
      <c r="AF55" s="346"/>
      <c r="AG55" s="346"/>
      <c r="AH55" s="346"/>
    </row>
    <row r="56" spans="2:34" ht="15" customHeight="1">
      <c r="B56" s="340" t="s">
        <v>56</v>
      </c>
      <c r="C56" s="345">
        <v>216</v>
      </c>
      <c r="D56" s="346">
        <v>0.72</v>
      </c>
      <c r="E56" s="346">
        <v>15.5</v>
      </c>
      <c r="F56" s="346">
        <v>676</v>
      </c>
      <c r="G56" s="346">
        <v>29.1</v>
      </c>
      <c r="H56" s="346">
        <f>G56*0.61</f>
        <v>17.751000000000001</v>
      </c>
      <c r="I56" s="346">
        <f>G56*0.27</f>
        <v>7.8570000000000011</v>
      </c>
      <c r="J56" s="346">
        <f>G56*0.2</f>
        <v>5.82</v>
      </c>
      <c r="K56" s="346">
        <f t="shared" si="2"/>
        <v>151.19999999999999</v>
      </c>
      <c r="L56" s="346">
        <v>0</v>
      </c>
      <c r="M56" s="346">
        <v>0</v>
      </c>
      <c r="N56" s="346">
        <f t="shared" si="3"/>
        <v>216</v>
      </c>
      <c r="O56" s="346">
        <v>0</v>
      </c>
      <c r="P56" s="346">
        <v>38.6</v>
      </c>
      <c r="Q56" s="346">
        <v>21.5</v>
      </c>
      <c r="R56" s="346">
        <v>4.0999999999999996</v>
      </c>
      <c r="S56" s="346">
        <v>13</v>
      </c>
      <c r="T56" s="346">
        <v>5</v>
      </c>
      <c r="U56" s="346">
        <v>20.100000000000001</v>
      </c>
      <c r="V56" s="346">
        <v>8.1</v>
      </c>
      <c r="W56" s="346">
        <v>0.3</v>
      </c>
      <c r="X56" s="346">
        <v>54</v>
      </c>
      <c r="Y56" s="346">
        <v>1.9</v>
      </c>
      <c r="Z56" s="346">
        <v>269.89999999999998</v>
      </c>
      <c r="AA56" s="346">
        <v>215.9</v>
      </c>
      <c r="AB56" s="346">
        <v>0.54</v>
      </c>
      <c r="AC56" s="346">
        <v>215.9</v>
      </c>
      <c r="AD56" s="346">
        <v>9.6999999999999993</v>
      </c>
      <c r="AE56" s="346">
        <v>4793</v>
      </c>
      <c r="AF56" s="346">
        <v>432</v>
      </c>
      <c r="AG56" s="346">
        <v>16.2</v>
      </c>
      <c r="AH56" s="346">
        <v>10.8</v>
      </c>
    </row>
    <row r="57" spans="2:34" ht="15" customHeight="1">
      <c r="B57" s="340" t="s">
        <v>56</v>
      </c>
      <c r="C57" s="345">
        <v>259</v>
      </c>
      <c r="D57" s="346"/>
      <c r="E57" s="346"/>
      <c r="F57" s="346"/>
      <c r="G57" s="346"/>
      <c r="H57" s="346"/>
      <c r="I57" s="346"/>
      <c r="J57" s="346"/>
      <c r="K57" s="346">
        <f t="shared" si="2"/>
        <v>181.29999999999998</v>
      </c>
      <c r="L57" s="346"/>
      <c r="M57" s="346"/>
      <c r="N57" s="346">
        <f t="shared" si="3"/>
        <v>259</v>
      </c>
      <c r="O57" s="346"/>
      <c r="P57" s="346"/>
      <c r="Q57" s="346"/>
      <c r="R57" s="346"/>
      <c r="S57" s="346"/>
      <c r="T57" s="346"/>
      <c r="U57" s="346"/>
      <c r="V57" s="346"/>
      <c r="W57" s="346"/>
      <c r="X57" s="346"/>
      <c r="Y57" s="346"/>
      <c r="Z57" s="346"/>
      <c r="AA57" s="346"/>
      <c r="AB57" s="346"/>
      <c r="AC57" s="346"/>
      <c r="AD57" s="346"/>
      <c r="AE57" s="346"/>
      <c r="AF57" s="346"/>
      <c r="AG57" s="346"/>
      <c r="AH57" s="346"/>
    </row>
    <row r="58" spans="2:34" ht="15" customHeight="1">
      <c r="B58" s="340" t="s">
        <v>49</v>
      </c>
      <c r="C58" s="345">
        <v>200</v>
      </c>
      <c r="D58" s="346">
        <v>6.52</v>
      </c>
      <c r="E58" s="346">
        <v>12.7</v>
      </c>
      <c r="F58" s="346">
        <v>614</v>
      </c>
      <c r="G58" s="346">
        <v>33.9</v>
      </c>
      <c r="H58" s="346">
        <f>G58*0.61</f>
        <v>20.678999999999998</v>
      </c>
      <c r="I58" s="346">
        <f>G58*0.27</f>
        <v>9.1530000000000005</v>
      </c>
      <c r="J58" s="346">
        <f>G58*0.2</f>
        <v>6.78</v>
      </c>
      <c r="K58" s="346">
        <f t="shared" si="2"/>
        <v>140</v>
      </c>
      <c r="L58" s="346">
        <v>0</v>
      </c>
      <c r="M58" s="346">
        <v>0</v>
      </c>
      <c r="N58" s="346">
        <f t="shared" si="3"/>
        <v>200</v>
      </c>
      <c r="O58" s="346">
        <v>0</v>
      </c>
      <c r="P58" s="346">
        <v>23.6</v>
      </c>
      <c r="Q58" s="346">
        <v>15.3</v>
      </c>
      <c r="R58" s="346"/>
      <c r="S58" s="346"/>
      <c r="T58" s="346"/>
      <c r="U58" s="346"/>
      <c r="V58" s="346"/>
      <c r="W58" s="346"/>
      <c r="X58" s="346"/>
      <c r="Y58" s="346"/>
      <c r="Z58" s="346"/>
      <c r="AA58" s="346"/>
      <c r="AB58" s="346"/>
      <c r="AC58" s="346"/>
      <c r="AD58" s="346"/>
      <c r="AE58" s="346"/>
      <c r="AF58" s="346"/>
      <c r="AG58" s="346"/>
      <c r="AH58" s="346"/>
    </row>
    <row r="59" spans="2:34" ht="15" customHeight="1">
      <c r="B59" s="340" t="s">
        <v>49</v>
      </c>
      <c r="C59" s="345">
        <v>400</v>
      </c>
      <c r="D59" s="346">
        <v>13.4</v>
      </c>
      <c r="E59" s="346">
        <v>25.4</v>
      </c>
      <c r="F59" s="346">
        <v>1228</v>
      </c>
      <c r="G59" s="346">
        <v>7.8</v>
      </c>
      <c r="H59" s="346">
        <f>G59*0.61</f>
        <v>4.758</v>
      </c>
      <c r="I59" s="346">
        <f>G59*0.27</f>
        <v>2.1059999999999999</v>
      </c>
      <c r="J59" s="346">
        <f>G59*0.2</f>
        <v>1.56</v>
      </c>
      <c r="K59" s="346">
        <f t="shared" si="2"/>
        <v>280</v>
      </c>
      <c r="L59" s="346">
        <v>0</v>
      </c>
      <c r="M59" s="346">
        <v>0</v>
      </c>
      <c r="N59" s="346">
        <f t="shared" si="3"/>
        <v>400</v>
      </c>
      <c r="O59" s="346">
        <v>0</v>
      </c>
      <c r="P59" s="346">
        <v>47.3</v>
      </c>
      <c r="Q59" s="346">
        <v>30.6</v>
      </c>
      <c r="R59" s="346"/>
      <c r="S59" s="346"/>
      <c r="T59" s="346"/>
      <c r="U59" s="346"/>
      <c r="V59" s="346"/>
      <c r="W59" s="346"/>
      <c r="X59" s="346"/>
      <c r="Y59" s="346"/>
      <c r="Z59" s="346"/>
      <c r="AA59" s="346"/>
      <c r="AB59" s="346"/>
      <c r="AC59" s="346"/>
      <c r="AD59" s="346"/>
      <c r="AE59" s="346"/>
      <c r="AF59" s="346"/>
      <c r="AG59" s="346"/>
      <c r="AH59" s="346"/>
    </row>
    <row r="60" spans="2:34" ht="15" customHeight="1">
      <c r="B60" s="340" t="s">
        <v>49</v>
      </c>
      <c r="C60" s="345">
        <v>500</v>
      </c>
      <c r="D60" s="346">
        <v>16.3</v>
      </c>
      <c r="E60" s="346">
        <v>31.7</v>
      </c>
      <c r="F60" s="346">
        <v>1535</v>
      </c>
      <c r="G60" s="346">
        <v>84.8</v>
      </c>
      <c r="H60" s="346">
        <f>G60*0.61</f>
        <v>51.727999999999994</v>
      </c>
      <c r="I60" s="346">
        <f>G60*0.27</f>
        <v>22.896000000000001</v>
      </c>
      <c r="J60" s="346">
        <f>G60*0.2</f>
        <v>16.96</v>
      </c>
      <c r="K60" s="346">
        <f t="shared" si="2"/>
        <v>350</v>
      </c>
      <c r="L60" s="346">
        <v>0</v>
      </c>
      <c r="M60" s="346">
        <v>0</v>
      </c>
      <c r="N60" s="346">
        <f t="shared" si="3"/>
        <v>500</v>
      </c>
      <c r="O60" s="346">
        <v>0</v>
      </c>
      <c r="P60" s="346">
        <v>59.1</v>
      </c>
      <c r="Q60" s="346">
        <v>38.299999999999997</v>
      </c>
      <c r="R60" s="346">
        <v>11.2</v>
      </c>
      <c r="S60" s="346">
        <v>47.8</v>
      </c>
      <c r="T60" s="346">
        <v>12.8</v>
      </c>
      <c r="U60" s="346">
        <v>45.5</v>
      </c>
      <c r="V60" s="346">
        <v>18.8</v>
      </c>
      <c r="W60" s="346">
        <v>0.6</v>
      </c>
      <c r="X60" s="346">
        <v>125</v>
      </c>
      <c r="Y60" s="346">
        <v>4.4000000000000004</v>
      </c>
      <c r="Z60" s="346">
        <v>625</v>
      </c>
      <c r="AA60" s="346">
        <v>500</v>
      </c>
      <c r="AB60" s="346">
        <v>1.25</v>
      </c>
      <c r="AC60" s="346">
        <v>500</v>
      </c>
      <c r="AD60" s="346">
        <v>30</v>
      </c>
      <c r="AE60" s="346">
        <v>3300</v>
      </c>
      <c r="AF60" s="346">
        <v>1000</v>
      </c>
      <c r="AG60" s="346">
        <v>37.5</v>
      </c>
      <c r="AH60" s="346">
        <v>25</v>
      </c>
    </row>
    <row r="61" spans="2:34" ht="15" customHeight="1">
      <c r="B61" s="340" t="s">
        <v>49</v>
      </c>
      <c r="C61" s="345">
        <v>600</v>
      </c>
      <c r="D61" s="346"/>
      <c r="E61" s="346"/>
      <c r="F61" s="346"/>
      <c r="G61" s="346"/>
      <c r="H61" s="346"/>
      <c r="I61" s="346"/>
      <c r="J61" s="346"/>
      <c r="K61" s="346">
        <f t="shared" si="2"/>
        <v>420</v>
      </c>
      <c r="L61" s="346"/>
      <c r="M61" s="346"/>
      <c r="N61" s="346">
        <f t="shared" si="3"/>
        <v>600</v>
      </c>
      <c r="O61" s="346"/>
      <c r="P61" s="346"/>
      <c r="Q61" s="346"/>
      <c r="R61" s="346"/>
      <c r="S61" s="346"/>
      <c r="T61" s="346"/>
      <c r="U61" s="346"/>
      <c r="V61" s="346"/>
      <c r="W61" s="346"/>
      <c r="X61" s="346"/>
      <c r="Y61" s="346"/>
      <c r="Z61" s="346"/>
      <c r="AA61" s="346"/>
      <c r="AB61" s="346"/>
      <c r="AC61" s="346"/>
      <c r="AD61" s="346"/>
      <c r="AE61" s="346"/>
      <c r="AF61" s="346"/>
      <c r="AG61" s="346"/>
      <c r="AH61" s="346"/>
    </row>
    <row r="62" spans="2:34" ht="15" customHeight="1">
      <c r="B62" s="340" t="s">
        <v>50</v>
      </c>
      <c r="C62" s="345">
        <v>200</v>
      </c>
      <c r="D62" s="346">
        <v>6.48</v>
      </c>
      <c r="E62" s="346">
        <v>12.7</v>
      </c>
      <c r="F62" s="346">
        <v>612</v>
      </c>
      <c r="G62" s="346">
        <v>33.799999999999997</v>
      </c>
      <c r="H62" s="346">
        <f>G62*0.61</f>
        <v>20.617999999999999</v>
      </c>
      <c r="I62" s="346">
        <f>G62*0.27</f>
        <v>9.1259999999999994</v>
      </c>
      <c r="J62" s="346">
        <f>G62*0.2</f>
        <v>6.76</v>
      </c>
      <c r="K62" s="346">
        <f t="shared" si="2"/>
        <v>140</v>
      </c>
      <c r="L62" s="346">
        <v>0</v>
      </c>
      <c r="M62" s="346">
        <v>0</v>
      </c>
      <c r="N62" s="346">
        <f t="shared" si="3"/>
        <v>200</v>
      </c>
      <c r="O62" s="346">
        <v>0</v>
      </c>
      <c r="P62" s="346">
        <v>23.6</v>
      </c>
      <c r="Q62" s="346">
        <v>15.2</v>
      </c>
      <c r="R62" s="346"/>
      <c r="S62" s="346"/>
      <c r="T62" s="346"/>
      <c r="U62" s="346"/>
      <c r="V62" s="346"/>
      <c r="W62" s="346"/>
      <c r="X62" s="346"/>
      <c r="Y62" s="346"/>
      <c r="Z62" s="346"/>
      <c r="AA62" s="346"/>
      <c r="AB62" s="346"/>
      <c r="AC62" s="346"/>
      <c r="AD62" s="346"/>
      <c r="AE62" s="346"/>
      <c r="AF62" s="346"/>
      <c r="AG62" s="346"/>
      <c r="AH62" s="346"/>
    </row>
    <row r="63" spans="2:34" ht="15" customHeight="1">
      <c r="B63" s="340" t="s">
        <v>50</v>
      </c>
      <c r="C63" s="345">
        <v>400</v>
      </c>
      <c r="D63" s="346">
        <v>12.96</v>
      </c>
      <c r="E63" s="346">
        <v>25.3</v>
      </c>
      <c r="F63" s="346">
        <v>1224</v>
      </c>
      <c r="G63" s="346">
        <v>67.5</v>
      </c>
      <c r="H63" s="346">
        <f>G63*0.61</f>
        <v>41.174999999999997</v>
      </c>
      <c r="I63" s="346">
        <f>G63*0.27</f>
        <v>18.225000000000001</v>
      </c>
      <c r="J63" s="346">
        <f>G63*0.2</f>
        <v>13.5</v>
      </c>
      <c r="K63" s="346">
        <f t="shared" si="2"/>
        <v>280</v>
      </c>
      <c r="L63" s="346">
        <v>0</v>
      </c>
      <c r="M63" s="346">
        <v>0</v>
      </c>
      <c r="N63" s="346">
        <f t="shared" si="3"/>
        <v>400</v>
      </c>
      <c r="O63" s="346">
        <v>0</v>
      </c>
      <c r="P63" s="346">
        <v>47.1</v>
      </c>
      <c r="Q63" s="346">
        <v>30.5</v>
      </c>
      <c r="R63" s="346"/>
      <c r="S63" s="346"/>
      <c r="T63" s="346"/>
      <c r="U63" s="346"/>
      <c r="V63" s="346"/>
      <c r="W63" s="346"/>
      <c r="X63" s="346"/>
      <c r="Y63" s="346"/>
      <c r="Z63" s="346"/>
      <c r="AA63" s="346"/>
      <c r="AB63" s="346"/>
      <c r="AC63" s="346"/>
      <c r="AD63" s="346"/>
      <c r="AE63" s="346"/>
      <c r="AF63" s="346"/>
      <c r="AG63" s="346"/>
      <c r="AH63" s="346"/>
    </row>
    <row r="64" spans="2:34" ht="15" customHeight="1">
      <c r="B64" s="340" t="s">
        <v>50</v>
      </c>
      <c r="C64" s="345">
        <v>500</v>
      </c>
      <c r="D64" s="346">
        <v>16.2</v>
      </c>
      <c r="E64" s="346">
        <v>31.7</v>
      </c>
      <c r="F64" s="346">
        <v>1530</v>
      </c>
      <c r="G64" s="346">
        <v>84.4</v>
      </c>
      <c r="H64" s="346">
        <f>G64*0.61</f>
        <v>51.484000000000002</v>
      </c>
      <c r="I64" s="346">
        <f>G64*0.27</f>
        <v>22.788000000000004</v>
      </c>
      <c r="J64" s="346">
        <f>G64*0.2</f>
        <v>16.880000000000003</v>
      </c>
      <c r="K64" s="346">
        <f t="shared" si="2"/>
        <v>350</v>
      </c>
      <c r="L64" s="346">
        <v>0</v>
      </c>
      <c r="M64" s="346">
        <v>0</v>
      </c>
      <c r="N64" s="346">
        <f t="shared" si="3"/>
        <v>500</v>
      </c>
      <c r="O64" s="346">
        <v>0</v>
      </c>
      <c r="P64" s="346">
        <v>58.9</v>
      </c>
      <c r="Q64" s="346">
        <v>38.1</v>
      </c>
      <c r="R64" s="346">
        <v>11.1</v>
      </c>
      <c r="S64" s="346">
        <v>47.7</v>
      </c>
      <c r="T64" s="346">
        <v>12.8</v>
      </c>
      <c r="U64" s="346">
        <v>45.5</v>
      </c>
      <c r="V64" s="346">
        <v>18.8</v>
      </c>
      <c r="W64" s="346">
        <v>0.6</v>
      </c>
      <c r="X64" s="346">
        <v>125</v>
      </c>
      <c r="Y64" s="346">
        <v>4.4000000000000004</v>
      </c>
      <c r="Z64" s="346">
        <v>625</v>
      </c>
      <c r="AA64" s="346">
        <v>500</v>
      </c>
      <c r="AB64" s="346">
        <v>1.25</v>
      </c>
      <c r="AC64" s="346">
        <v>500</v>
      </c>
      <c r="AD64" s="346">
        <v>30</v>
      </c>
      <c r="AE64" s="346">
        <v>3300</v>
      </c>
      <c r="AF64" s="346">
        <v>1000</v>
      </c>
      <c r="AG64" s="346">
        <v>37.5</v>
      </c>
      <c r="AH64" s="346">
        <v>25</v>
      </c>
    </row>
    <row r="65" spans="2:34" ht="15" customHeight="1">
      <c r="B65" s="340" t="s">
        <v>50</v>
      </c>
      <c r="C65" s="345">
        <v>600</v>
      </c>
      <c r="D65" s="346"/>
      <c r="E65" s="346"/>
      <c r="F65" s="346"/>
      <c r="G65" s="346"/>
      <c r="H65" s="346"/>
      <c r="I65" s="346"/>
      <c r="J65" s="346"/>
      <c r="K65" s="346">
        <f t="shared" si="2"/>
        <v>420</v>
      </c>
      <c r="L65" s="346"/>
      <c r="M65" s="346"/>
      <c r="N65" s="346">
        <f t="shared" si="3"/>
        <v>600</v>
      </c>
      <c r="O65" s="346"/>
      <c r="P65" s="346"/>
      <c r="Q65" s="346"/>
      <c r="R65" s="346"/>
      <c r="S65" s="346"/>
      <c r="T65" s="346"/>
      <c r="U65" s="346"/>
      <c r="V65" s="346"/>
      <c r="W65" s="346"/>
      <c r="X65" s="346"/>
      <c r="Y65" s="346"/>
      <c r="Z65" s="346"/>
      <c r="AA65" s="346"/>
      <c r="AB65" s="346"/>
      <c r="AC65" s="346"/>
      <c r="AD65" s="346"/>
      <c r="AE65" s="346"/>
      <c r="AF65" s="346"/>
      <c r="AG65" s="346"/>
      <c r="AH65" s="346"/>
    </row>
    <row r="66" spans="2:34" ht="15" customHeight="1">
      <c r="B66" s="340" t="s">
        <v>51</v>
      </c>
      <c r="C66" s="345">
        <v>200</v>
      </c>
      <c r="D66" s="346">
        <v>5.98</v>
      </c>
      <c r="E66" s="346">
        <v>12.2</v>
      </c>
      <c r="F66" s="346">
        <v>587</v>
      </c>
      <c r="G66" s="346">
        <v>32.1</v>
      </c>
      <c r="H66" s="346">
        <f>G66*0.61</f>
        <v>19.581</v>
      </c>
      <c r="I66" s="346">
        <f>G66*0.27</f>
        <v>8.6670000000000016</v>
      </c>
      <c r="J66" s="346">
        <f>G66*0.2</f>
        <v>6.4200000000000008</v>
      </c>
      <c r="K66" s="346">
        <f t="shared" ref="K66:K97" si="4">C66*0.7</f>
        <v>140</v>
      </c>
      <c r="L66" s="346">
        <v>0</v>
      </c>
      <c r="M66" s="346">
        <v>0</v>
      </c>
      <c r="N66" s="346">
        <f t="shared" ref="N66:N97" si="5">(C66*0.1%)*1000</f>
        <v>200</v>
      </c>
      <c r="O66" s="346">
        <v>0</v>
      </c>
      <c r="P66" s="346">
        <v>22.4</v>
      </c>
      <c r="Q66" s="346">
        <v>14.4</v>
      </c>
      <c r="R66" s="346"/>
      <c r="S66" s="346"/>
      <c r="T66" s="346"/>
      <c r="U66" s="346"/>
      <c r="V66" s="346"/>
      <c r="W66" s="346"/>
      <c r="X66" s="346"/>
      <c r="Y66" s="346"/>
      <c r="Z66" s="346"/>
      <c r="AA66" s="346"/>
      <c r="AB66" s="346"/>
      <c r="AC66" s="346"/>
      <c r="AD66" s="346"/>
      <c r="AE66" s="346"/>
      <c r="AF66" s="346"/>
      <c r="AG66" s="346"/>
      <c r="AH66" s="346"/>
    </row>
    <row r="67" spans="2:34" ht="15" customHeight="1">
      <c r="B67" s="340" t="s">
        <v>51</v>
      </c>
      <c r="C67" s="345">
        <v>400</v>
      </c>
      <c r="D67" s="346">
        <v>11.96</v>
      </c>
      <c r="E67" s="346">
        <v>24.5</v>
      </c>
      <c r="F67" s="346">
        <v>1174</v>
      </c>
      <c r="G67" s="346">
        <v>64.2</v>
      </c>
      <c r="H67" s="346">
        <f>G67*0.61</f>
        <v>39.161999999999999</v>
      </c>
      <c r="I67" s="346">
        <f>G67*0.27</f>
        <v>17.334000000000003</v>
      </c>
      <c r="J67" s="346">
        <f>G67*0.2</f>
        <v>12.840000000000002</v>
      </c>
      <c r="K67" s="346">
        <f t="shared" si="4"/>
        <v>280</v>
      </c>
      <c r="L67" s="346">
        <v>0</v>
      </c>
      <c r="M67" s="346">
        <v>0</v>
      </c>
      <c r="N67" s="346">
        <f t="shared" si="5"/>
        <v>400</v>
      </c>
      <c r="O67" s="346">
        <v>0</v>
      </c>
      <c r="P67" s="346">
        <v>44.7</v>
      </c>
      <c r="Q67" s="346">
        <v>28.8</v>
      </c>
      <c r="R67" s="346"/>
      <c r="S67" s="346"/>
      <c r="T67" s="346"/>
      <c r="U67" s="346"/>
      <c r="V67" s="346"/>
      <c r="W67" s="346"/>
      <c r="X67" s="346"/>
      <c r="Y67" s="346"/>
      <c r="Z67" s="346"/>
      <c r="AA67" s="346"/>
      <c r="AB67" s="346"/>
      <c r="AC67" s="346"/>
      <c r="AD67" s="346"/>
      <c r="AE67" s="346"/>
      <c r="AF67" s="346"/>
      <c r="AG67" s="346"/>
      <c r="AH67" s="346"/>
    </row>
    <row r="68" spans="2:34" ht="15" customHeight="1">
      <c r="B68" s="340" t="s">
        <v>51</v>
      </c>
      <c r="C68" s="345">
        <v>500</v>
      </c>
      <c r="D68" s="346">
        <v>14.95</v>
      </c>
      <c r="E68" s="346">
        <v>30.6</v>
      </c>
      <c r="F68" s="346">
        <v>1468</v>
      </c>
      <c r="G68" s="346">
        <v>80.3</v>
      </c>
      <c r="H68" s="346">
        <f>G68*0.61</f>
        <v>48.982999999999997</v>
      </c>
      <c r="I68" s="346">
        <f>G68*0.27</f>
        <v>21.681000000000001</v>
      </c>
      <c r="J68" s="346">
        <f>G68*0.2</f>
        <v>16.059999999999999</v>
      </c>
      <c r="K68" s="346">
        <f t="shared" si="4"/>
        <v>350</v>
      </c>
      <c r="L68" s="346">
        <v>0</v>
      </c>
      <c r="M68" s="346">
        <v>0</v>
      </c>
      <c r="N68" s="346">
        <f t="shared" si="5"/>
        <v>500</v>
      </c>
      <c r="O68" s="346">
        <v>0</v>
      </c>
      <c r="P68" s="346">
        <v>55.9</v>
      </c>
      <c r="Q68" s="346">
        <v>36</v>
      </c>
      <c r="R68" s="346">
        <v>10.9</v>
      </c>
      <c r="S68" s="346">
        <v>45.9</v>
      </c>
      <c r="T68" s="346">
        <v>12.5</v>
      </c>
      <c r="U68" s="346">
        <v>45.5</v>
      </c>
      <c r="V68" s="346">
        <v>18.8</v>
      </c>
      <c r="W68" s="346">
        <v>0.6</v>
      </c>
      <c r="X68" s="346">
        <v>125</v>
      </c>
      <c r="Y68" s="346">
        <v>4.4000000000000004</v>
      </c>
      <c r="Z68" s="346">
        <v>625</v>
      </c>
      <c r="AA68" s="346">
        <v>500</v>
      </c>
      <c r="AB68" s="346">
        <v>1.25</v>
      </c>
      <c r="AC68" s="346">
        <v>500</v>
      </c>
      <c r="AD68" s="346">
        <v>30</v>
      </c>
      <c r="AE68" s="346">
        <v>3300</v>
      </c>
      <c r="AF68" s="346">
        <v>1000</v>
      </c>
      <c r="AG68" s="346">
        <v>37.5</v>
      </c>
      <c r="AH68" s="346">
        <v>25</v>
      </c>
    </row>
    <row r="69" spans="2:34" ht="15" customHeight="1">
      <c r="B69" s="340" t="s">
        <v>51</v>
      </c>
      <c r="C69" s="345">
        <v>600</v>
      </c>
      <c r="D69" s="346"/>
      <c r="E69" s="346"/>
      <c r="F69" s="346"/>
      <c r="G69" s="346"/>
      <c r="H69" s="346"/>
      <c r="I69" s="346"/>
      <c r="J69" s="346"/>
      <c r="K69" s="346">
        <f t="shared" si="4"/>
        <v>420</v>
      </c>
      <c r="L69" s="346"/>
      <c r="M69" s="346"/>
      <c r="N69" s="346">
        <f t="shared" si="5"/>
        <v>600</v>
      </c>
      <c r="O69" s="346"/>
      <c r="P69" s="346"/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346"/>
      <c r="AB69" s="346"/>
      <c r="AC69" s="346"/>
      <c r="AD69" s="346"/>
      <c r="AE69" s="346"/>
      <c r="AF69" s="346"/>
      <c r="AG69" s="346"/>
      <c r="AH69" s="346"/>
    </row>
    <row r="70" spans="2:34" ht="15" customHeight="1">
      <c r="B70" s="340" t="s">
        <v>52</v>
      </c>
      <c r="C70" s="345">
        <v>200</v>
      </c>
      <c r="D70" s="346">
        <v>5.42</v>
      </c>
      <c r="E70" s="346">
        <v>11.8</v>
      </c>
      <c r="F70" s="346">
        <v>559</v>
      </c>
      <c r="G70" s="346">
        <v>30.3</v>
      </c>
      <c r="H70" s="346">
        <f>G70*0.61</f>
        <v>18.483000000000001</v>
      </c>
      <c r="I70" s="346">
        <f>G70*0.27</f>
        <v>8.1810000000000009</v>
      </c>
      <c r="J70" s="346">
        <f>G70*0.2</f>
        <v>6.0600000000000005</v>
      </c>
      <c r="K70" s="346">
        <f t="shared" si="4"/>
        <v>140</v>
      </c>
      <c r="L70" s="346">
        <v>0</v>
      </c>
      <c r="M70" s="346">
        <v>0</v>
      </c>
      <c r="N70" s="346">
        <f t="shared" si="5"/>
        <v>200</v>
      </c>
      <c r="O70" s="346">
        <v>0</v>
      </c>
      <c r="P70" s="346">
        <v>16.7</v>
      </c>
      <c r="Q70" s="346">
        <v>10.5</v>
      </c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  <c r="AC70" s="346"/>
      <c r="AD70" s="346"/>
      <c r="AE70" s="346"/>
      <c r="AF70" s="346"/>
      <c r="AG70" s="346"/>
      <c r="AH70" s="346"/>
    </row>
    <row r="71" spans="2:34" ht="15" customHeight="1">
      <c r="B71" s="340" t="s">
        <v>52</v>
      </c>
      <c r="C71" s="345">
        <v>400</v>
      </c>
      <c r="D71" s="346">
        <v>10.84</v>
      </c>
      <c r="E71" s="346">
        <v>23.6</v>
      </c>
      <c r="F71" s="346">
        <v>1118</v>
      </c>
      <c r="G71" s="346">
        <v>60.5</v>
      </c>
      <c r="H71" s="346">
        <f>G71*0.61</f>
        <v>36.905000000000001</v>
      </c>
      <c r="I71" s="346">
        <f>G71*0.27</f>
        <v>16.335000000000001</v>
      </c>
      <c r="J71" s="346">
        <f>G71*0.2</f>
        <v>12.100000000000001</v>
      </c>
      <c r="K71" s="346">
        <f t="shared" si="4"/>
        <v>280</v>
      </c>
      <c r="L71" s="346">
        <v>0</v>
      </c>
      <c r="M71" s="346">
        <v>0</v>
      </c>
      <c r="N71" s="346">
        <f t="shared" si="5"/>
        <v>400</v>
      </c>
      <c r="O71" s="346">
        <v>0</v>
      </c>
      <c r="P71" s="346">
        <v>33.299999999999997</v>
      </c>
      <c r="Q71" s="346">
        <v>20.9</v>
      </c>
      <c r="R71" s="346"/>
      <c r="S71" s="346"/>
      <c r="T71" s="346"/>
      <c r="U71" s="346"/>
      <c r="V71" s="346"/>
      <c r="W71" s="346"/>
      <c r="X71" s="346"/>
      <c r="Y71" s="346"/>
      <c r="Z71" s="346"/>
      <c r="AA71" s="346"/>
      <c r="AB71" s="346"/>
      <c r="AC71" s="346"/>
      <c r="AD71" s="346"/>
      <c r="AE71" s="346"/>
      <c r="AF71" s="346"/>
      <c r="AG71" s="346"/>
      <c r="AH71" s="346"/>
    </row>
    <row r="72" spans="2:34" ht="15" customHeight="1">
      <c r="B72" s="340" t="s">
        <v>52</v>
      </c>
      <c r="C72" s="345">
        <v>500</v>
      </c>
      <c r="D72" s="346">
        <v>13.55</v>
      </c>
      <c r="E72" s="346">
        <v>29.4</v>
      </c>
      <c r="F72" s="346">
        <v>1398</v>
      </c>
      <c r="G72" s="346">
        <v>75.7</v>
      </c>
      <c r="H72" s="346">
        <f>G72*0.61</f>
        <v>46.177</v>
      </c>
      <c r="I72" s="346">
        <f>G72*0.27</f>
        <v>20.439000000000004</v>
      </c>
      <c r="J72" s="346">
        <f>G72*0.2</f>
        <v>15.14</v>
      </c>
      <c r="K72" s="346">
        <f t="shared" si="4"/>
        <v>350</v>
      </c>
      <c r="L72" s="346">
        <v>0</v>
      </c>
      <c r="M72" s="346">
        <v>0</v>
      </c>
      <c r="N72" s="346">
        <f t="shared" si="5"/>
        <v>500</v>
      </c>
      <c r="O72" s="346">
        <v>0</v>
      </c>
      <c r="P72" s="346">
        <v>41.7</v>
      </c>
      <c r="Q72" s="346">
        <v>26.2</v>
      </c>
      <c r="R72" s="346">
        <v>10.5</v>
      </c>
      <c r="S72" s="346">
        <v>35.799999999999997</v>
      </c>
      <c r="T72" s="346">
        <v>11.9</v>
      </c>
      <c r="U72" s="346">
        <v>45.5</v>
      </c>
      <c r="V72" s="346">
        <v>18.8</v>
      </c>
      <c r="W72" s="346">
        <v>0.6</v>
      </c>
      <c r="X72" s="346">
        <v>125</v>
      </c>
      <c r="Y72" s="346">
        <v>4.4000000000000004</v>
      </c>
      <c r="Z72" s="346">
        <v>625</v>
      </c>
      <c r="AA72" s="346">
        <v>500</v>
      </c>
      <c r="AB72" s="346">
        <v>1.25</v>
      </c>
      <c r="AC72" s="346">
        <v>500</v>
      </c>
      <c r="AD72" s="346">
        <v>30</v>
      </c>
      <c r="AE72" s="346">
        <v>3300</v>
      </c>
      <c r="AF72" s="346">
        <v>1000</v>
      </c>
      <c r="AG72" s="346">
        <v>37.5</v>
      </c>
      <c r="AH72" s="346">
        <v>25</v>
      </c>
    </row>
    <row r="73" spans="2:34" ht="15" customHeight="1">
      <c r="B73" s="340" t="s">
        <v>52</v>
      </c>
      <c r="C73" s="345">
        <v>600</v>
      </c>
      <c r="D73" s="346"/>
      <c r="E73" s="346"/>
      <c r="F73" s="346"/>
      <c r="G73" s="346"/>
      <c r="H73" s="346"/>
      <c r="I73" s="346"/>
      <c r="J73" s="346"/>
      <c r="K73" s="346">
        <f t="shared" si="4"/>
        <v>420</v>
      </c>
      <c r="L73" s="346"/>
      <c r="M73" s="346"/>
      <c r="N73" s="346">
        <f t="shared" si="5"/>
        <v>600</v>
      </c>
      <c r="O73" s="346"/>
      <c r="P73" s="346"/>
      <c r="Q73" s="346"/>
      <c r="R73" s="346"/>
      <c r="S73" s="346"/>
      <c r="T73" s="346"/>
      <c r="U73" s="346"/>
      <c r="V73" s="346"/>
      <c r="W73" s="346"/>
      <c r="X73" s="346"/>
      <c r="Y73" s="346"/>
      <c r="Z73" s="346"/>
      <c r="AA73" s="346"/>
      <c r="AB73" s="346"/>
      <c r="AC73" s="346"/>
      <c r="AD73" s="346"/>
      <c r="AE73" s="346"/>
      <c r="AF73" s="346"/>
      <c r="AG73" s="346"/>
      <c r="AH73" s="346"/>
    </row>
    <row r="74" spans="2:34" ht="15" customHeight="1">
      <c r="B74" s="340" t="s">
        <v>53</v>
      </c>
      <c r="C74" s="345">
        <v>200</v>
      </c>
      <c r="D74" s="346">
        <v>4.88</v>
      </c>
      <c r="E74" s="346">
        <v>11.3</v>
      </c>
      <c r="F74" s="346">
        <v>532</v>
      </c>
      <c r="G74" s="346">
        <v>28.5</v>
      </c>
      <c r="H74" s="346">
        <f>G74*0.61</f>
        <v>17.384999999999998</v>
      </c>
      <c r="I74" s="346">
        <f>G74*0.27</f>
        <v>7.6950000000000003</v>
      </c>
      <c r="J74" s="346">
        <f>G74*0.2</f>
        <v>5.7</v>
      </c>
      <c r="K74" s="346">
        <f t="shared" si="4"/>
        <v>140</v>
      </c>
      <c r="L74" s="346">
        <v>0</v>
      </c>
      <c r="M74" s="346">
        <v>0</v>
      </c>
      <c r="N74" s="346">
        <f t="shared" si="5"/>
        <v>200</v>
      </c>
      <c r="O74" s="346">
        <v>0</v>
      </c>
      <c r="P74" s="346">
        <v>15.8</v>
      </c>
      <c r="Q74" s="346">
        <v>9.9</v>
      </c>
      <c r="R74" s="346"/>
      <c r="S74" s="346"/>
      <c r="T74" s="346"/>
      <c r="U74" s="346"/>
      <c r="V74" s="346"/>
      <c r="W74" s="346"/>
      <c r="X74" s="346"/>
      <c r="Y74" s="346"/>
      <c r="Z74" s="346"/>
      <c r="AA74" s="346"/>
      <c r="AB74" s="346"/>
      <c r="AC74" s="346"/>
      <c r="AD74" s="346"/>
      <c r="AE74" s="346"/>
      <c r="AF74" s="346"/>
      <c r="AG74" s="346"/>
      <c r="AH74" s="346"/>
    </row>
    <row r="75" spans="2:34" ht="15" customHeight="1">
      <c r="B75" s="340" t="s">
        <v>53</v>
      </c>
      <c r="C75" s="345">
        <v>400</v>
      </c>
      <c r="D75" s="346">
        <v>9.76</v>
      </c>
      <c r="E75" s="346">
        <v>22.7</v>
      </c>
      <c r="F75" s="346">
        <v>1064</v>
      </c>
      <c r="G75" s="346">
        <v>57</v>
      </c>
      <c r="H75" s="346">
        <f>G75*0.61</f>
        <v>34.769999999999996</v>
      </c>
      <c r="I75" s="346">
        <f>G75*0.27</f>
        <v>15.39</v>
      </c>
      <c r="J75" s="346">
        <f>G75*0.2</f>
        <v>11.4</v>
      </c>
      <c r="K75" s="346">
        <f t="shared" si="4"/>
        <v>280</v>
      </c>
      <c r="L75" s="346">
        <v>0</v>
      </c>
      <c r="M75" s="346">
        <v>0</v>
      </c>
      <c r="N75" s="346">
        <f t="shared" si="5"/>
        <v>400</v>
      </c>
      <c r="O75" s="346">
        <v>0</v>
      </c>
      <c r="P75" s="346">
        <v>31.6</v>
      </c>
      <c r="Q75" s="346">
        <v>19.7</v>
      </c>
      <c r="R75" s="346"/>
      <c r="S75" s="346"/>
      <c r="T75" s="346"/>
      <c r="U75" s="346"/>
      <c r="V75" s="346"/>
      <c r="W75" s="346"/>
      <c r="X75" s="346"/>
      <c r="Y75" s="346"/>
      <c r="Z75" s="346"/>
      <c r="AA75" s="346"/>
      <c r="AB75" s="346"/>
      <c r="AC75" s="346"/>
      <c r="AD75" s="346"/>
      <c r="AE75" s="346"/>
      <c r="AF75" s="346"/>
      <c r="AG75" s="346"/>
      <c r="AH75" s="346"/>
    </row>
    <row r="76" spans="2:34" ht="15" customHeight="1">
      <c r="B76" s="340" t="s">
        <v>53</v>
      </c>
      <c r="C76" s="345">
        <v>500</v>
      </c>
      <c r="D76" s="346">
        <v>12.2</v>
      </c>
      <c r="E76" s="346">
        <v>28.3</v>
      </c>
      <c r="F76" s="346">
        <v>1330</v>
      </c>
      <c r="G76" s="346">
        <v>71.2</v>
      </c>
      <c r="H76" s="346">
        <f>G76*0.61</f>
        <v>43.432000000000002</v>
      </c>
      <c r="I76" s="346">
        <f>G76*0.27</f>
        <v>19.224000000000004</v>
      </c>
      <c r="J76" s="346">
        <f>G76*0.2</f>
        <v>14.240000000000002</v>
      </c>
      <c r="K76" s="346">
        <f t="shared" si="4"/>
        <v>350</v>
      </c>
      <c r="L76" s="346">
        <v>0</v>
      </c>
      <c r="M76" s="346">
        <v>0</v>
      </c>
      <c r="N76" s="346">
        <f t="shared" si="5"/>
        <v>500</v>
      </c>
      <c r="O76" s="346">
        <v>0</v>
      </c>
      <c r="P76" s="346">
        <v>39.5</v>
      </c>
      <c r="Q76" s="346">
        <v>24.7</v>
      </c>
      <c r="R76" s="346">
        <v>10.199999999999999</v>
      </c>
      <c r="S76" s="346">
        <v>34.799999999999997</v>
      </c>
      <c r="T76" s="346">
        <v>11.7</v>
      </c>
      <c r="U76" s="346">
        <v>45.5</v>
      </c>
      <c r="V76" s="346">
        <v>18.8</v>
      </c>
      <c r="W76" s="346">
        <v>0.6</v>
      </c>
      <c r="X76" s="346">
        <v>125</v>
      </c>
      <c r="Y76" s="346">
        <v>4.4000000000000004</v>
      </c>
      <c r="Z76" s="346">
        <v>625</v>
      </c>
      <c r="AA76" s="346">
        <v>500</v>
      </c>
      <c r="AB76" s="346">
        <v>1.25</v>
      </c>
      <c r="AC76" s="346">
        <v>500</v>
      </c>
      <c r="AD76" s="346">
        <v>30</v>
      </c>
      <c r="AE76" s="346">
        <v>3300</v>
      </c>
      <c r="AF76" s="346">
        <v>1000</v>
      </c>
      <c r="AG76" s="346">
        <v>37.5</v>
      </c>
      <c r="AH76" s="346">
        <v>25</v>
      </c>
    </row>
    <row r="77" spans="2:34" ht="15" customHeight="1">
      <c r="B77" s="340" t="s">
        <v>53</v>
      </c>
      <c r="C77" s="345">
        <v>600</v>
      </c>
      <c r="D77" s="346"/>
      <c r="E77" s="346"/>
      <c r="F77" s="346"/>
      <c r="G77" s="346"/>
      <c r="H77" s="346"/>
      <c r="I77" s="346"/>
      <c r="J77" s="346"/>
      <c r="K77" s="346">
        <f t="shared" si="4"/>
        <v>420</v>
      </c>
      <c r="L77" s="346"/>
      <c r="M77" s="346"/>
      <c r="N77" s="346">
        <f t="shared" si="5"/>
        <v>600</v>
      </c>
      <c r="O77" s="346"/>
      <c r="P77" s="346"/>
      <c r="Q77" s="346"/>
      <c r="R77" s="346"/>
      <c r="S77" s="346"/>
      <c r="T77" s="346"/>
      <c r="U77" s="346"/>
      <c r="V77" s="346"/>
      <c r="W77" s="346"/>
      <c r="X77" s="346"/>
      <c r="Y77" s="346"/>
      <c r="Z77" s="346"/>
      <c r="AA77" s="346"/>
      <c r="AB77" s="346"/>
      <c r="AC77" s="346"/>
      <c r="AD77" s="346"/>
      <c r="AE77" s="346"/>
      <c r="AF77" s="346"/>
      <c r="AG77" s="346"/>
      <c r="AH77" s="346"/>
    </row>
    <row r="78" spans="2:34" ht="15" customHeight="1">
      <c r="B78" s="340" t="s">
        <v>54</v>
      </c>
      <c r="C78" s="345">
        <v>200</v>
      </c>
      <c r="D78" s="346">
        <v>4.3600000000000003</v>
      </c>
      <c r="E78" s="346">
        <v>10.9</v>
      </c>
      <c r="F78" s="346">
        <v>506</v>
      </c>
      <c r="G78" s="346">
        <v>26.8</v>
      </c>
      <c r="H78" s="346">
        <f>G78*0.61</f>
        <v>16.347999999999999</v>
      </c>
      <c r="I78" s="346">
        <f>G78*0.27</f>
        <v>7.2360000000000007</v>
      </c>
      <c r="J78" s="346">
        <f>G78*0.2</f>
        <v>5.36</v>
      </c>
      <c r="K78" s="346">
        <f t="shared" si="4"/>
        <v>140</v>
      </c>
      <c r="L78" s="346">
        <v>0</v>
      </c>
      <c r="M78" s="346">
        <v>0</v>
      </c>
      <c r="N78" s="346">
        <f t="shared" si="5"/>
        <v>200</v>
      </c>
      <c r="O78" s="346">
        <v>0</v>
      </c>
      <c r="P78" s="346">
        <v>15</v>
      </c>
      <c r="Q78" s="346">
        <v>9.3000000000000007</v>
      </c>
      <c r="R78" s="346"/>
      <c r="S78" s="346"/>
      <c r="T78" s="346"/>
      <c r="U78" s="346"/>
      <c r="V78" s="346"/>
      <c r="W78" s="346"/>
      <c r="X78" s="346"/>
      <c r="Y78" s="346"/>
      <c r="Z78" s="346"/>
      <c r="AA78" s="346"/>
      <c r="AB78" s="346"/>
      <c r="AC78" s="346"/>
      <c r="AD78" s="346"/>
      <c r="AE78" s="346"/>
      <c r="AF78" s="346"/>
      <c r="AG78" s="346"/>
      <c r="AH78" s="346"/>
    </row>
    <row r="79" spans="2:34" ht="15" customHeight="1">
      <c r="B79" s="340" t="s">
        <v>54</v>
      </c>
      <c r="C79" s="345">
        <v>400</v>
      </c>
      <c r="D79" s="346">
        <v>8.7200000000000006</v>
      </c>
      <c r="E79" s="346">
        <v>21.8</v>
      </c>
      <c r="F79" s="346">
        <v>1012</v>
      </c>
      <c r="G79" s="346">
        <v>53.5</v>
      </c>
      <c r="H79" s="346">
        <f>G79*0.61</f>
        <v>32.634999999999998</v>
      </c>
      <c r="I79" s="346">
        <f>G79*0.27</f>
        <v>14.445</v>
      </c>
      <c r="J79" s="346">
        <f>G79*0.2</f>
        <v>10.700000000000001</v>
      </c>
      <c r="K79" s="346">
        <f t="shared" si="4"/>
        <v>280</v>
      </c>
      <c r="L79" s="346">
        <v>0</v>
      </c>
      <c r="M79" s="346">
        <v>0</v>
      </c>
      <c r="N79" s="346">
        <f t="shared" si="5"/>
        <v>400</v>
      </c>
      <c r="O79" s="346">
        <v>0</v>
      </c>
      <c r="P79" s="346">
        <v>30</v>
      </c>
      <c r="Q79" s="346">
        <v>18.600000000000001</v>
      </c>
      <c r="R79" s="346"/>
      <c r="S79" s="346"/>
      <c r="T79" s="346"/>
      <c r="U79" s="346"/>
      <c r="V79" s="346"/>
      <c r="W79" s="346"/>
      <c r="X79" s="346"/>
      <c r="Y79" s="346"/>
      <c r="Z79" s="346"/>
      <c r="AA79" s="346"/>
      <c r="AB79" s="346"/>
      <c r="AC79" s="346"/>
      <c r="AD79" s="346"/>
      <c r="AE79" s="346"/>
      <c r="AF79" s="346"/>
      <c r="AG79" s="346"/>
      <c r="AH79" s="346"/>
    </row>
    <row r="80" spans="2:34" ht="15" customHeight="1">
      <c r="B80" s="340" t="s">
        <v>54</v>
      </c>
      <c r="C80" s="345">
        <v>500</v>
      </c>
      <c r="D80" s="346">
        <v>10.9</v>
      </c>
      <c r="E80" s="346">
        <v>27.2</v>
      </c>
      <c r="F80" s="346">
        <v>1265</v>
      </c>
      <c r="G80" s="346">
        <v>66.900000000000006</v>
      </c>
      <c r="H80" s="346">
        <f>G80*0.61</f>
        <v>40.809000000000005</v>
      </c>
      <c r="I80" s="346">
        <f>G80*0.27</f>
        <v>18.063000000000002</v>
      </c>
      <c r="J80" s="346">
        <f>G80*0.2</f>
        <v>13.380000000000003</v>
      </c>
      <c r="K80" s="346">
        <f t="shared" si="4"/>
        <v>350</v>
      </c>
      <c r="L80" s="346">
        <v>0</v>
      </c>
      <c r="M80" s="346">
        <v>0</v>
      </c>
      <c r="N80" s="346">
        <f t="shared" si="5"/>
        <v>500</v>
      </c>
      <c r="O80" s="346">
        <v>0</v>
      </c>
      <c r="P80" s="346">
        <v>37.4</v>
      </c>
      <c r="Q80" s="346">
        <v>23.2</v>
      </c>
      <c r="R80" s="346">
        <v>8.6999999999999993</v>
      </c>
      <c r="S80" s="346">
        <v>33.700000000000003</v>
      </c>
      <c r="T80" s="346">
        <v>11.5</v>
      </c>
      <c r="U80" s="346">
        <v>45.5</v>
      </c>
      <c r="V80" s="346">
        <v>18.8</v>
      </c>
      <c r="W80" s="346">
        <v>0.6</v>
      </c>
      <c r="X80" s="346">
        <v>125</v>
      </c>
      <c r="Y80" s="346">
        <v>4.4000000000000004</v>
      </c>
      <c r="Z80" s="346">
        <v>625</v>
      </c>
      <c r="AA80" s="346">
        <v>500</v>
      </c>
      <c r="AB80" s="346">
        <v>1.25</v>
      </c>
      <c r="AC80" s="346">
        <v>500</v>
      </c>
      <c r="AD80" s="346">
        <v>30</v>
      </c>
      <c r="AE80" s="346">
        <v>3300</v>
      </c>
      <c r="AF80" s="346">
        <v>1000</v>
      </c>
      <c r="AG80" s="346">
        <v>37.5</v>
      </c>
      <c r="AH80" s="346">
        <v>25</v>
      </c>
    </row>
    <row r="81" spans="2:34" ht="15" customHeight="1">
      <c r="B81" s="340" t="s">
        <v>54</v>
      </c>
      <c r="C81" s="345">
        <v>600</v>
      </c>
      <c r="D81" s="346"/>
      <c r="E81" s="346"/>
      <c r="F81" s="346"/>
      <c r="G81" s="346"/>
      <c r="H81" s="346"/>
      <c r="I81" s="346"/>
      <c r="J81" s="346"/>
      <c r="K81" s="346">
        <f t="shared" si="4"/>
        <v>420</v>
      </c>
      <c r="L81" s="346"/>
      <c r="M81" s="346"/>
      <c r="N81" s="346">
        <f t="shared" si="5"/>
        <v>600</v>
      </c>
      <c r="O81" s="346"/>
      <c r="P81" s="346"/>
      <c r="Q81" s="346"/>
      <c r="R81" s="346"/>
      <c r="S81" s="346"/>
      <c r="T81" s="346"/>
      <c r="U81" s="346"/>
      <c r="V81" s="346"/>
      <c r="W81" s="346"/>
      <c r="X81" s="346"/>
      <c r="Y81" s="346"/>
      <c r="Z81" s="346"/>
      <c r="AA81" s="346"/>
      <c r="AB81" s="346"/>
      <c r="AC81" s="346"/>
      <c r="AD81" s="346"/>
      <c r="AE81" s="346"/>
      <c r="AF81" s="346"/>
      <c r="AG81" s="346"/>
      <c r="AH81" s="346"/>
    </row>
    <row r="82" spans="2:34" ht="15" customHeight="1">
      <c r="B82" s="340" t="s">
        <v>41</v>
      </c>
      <c r="C82" s="345">
        <v>200</v>
      </c>
      <c r="D82" s="346">
        <v>0</v>
      </c>
      <c r="E82" s="346">
        <v>6.7</v>
      </c>
      <c r="F82" s="346">
        <v>252</v>
      </c>
      <c r="G82" s="346">
        <v>10.8</v>
      </c>
      <c r="H82" s="346">
        <f>G82*0.61</f>
        <v>6.5880000000000001</v>
      </c>
      <c r="I82" s="346">
        <f>G82*0.27</f>
        <v>2.9160000000000004</v>
      </c>
      <c r="J82" s="346">
        <f>G82*0.2</f>
        <v>2.16</v>
      </c>
      <c r="K82" s="346">
        <f t="shared" si="4"/>
        <v>140</v>
      </c>
      <c r="L82" s="346">
        <v>0</v>
      </c>
      <c r="M82" s="346">
        <v>0</v>
      </c>
      <c r="N82" s="346">
        <f t="shared" si="5"/>
        <v>200</v>
      </c>
      <c r="O82" s="346">
        <v>0</v>
      </c>
      <c r="P82" s="346">
        <v>8</v>
      </c>
      <c r="Q82" s="346">
        <v>5.6</v>
      </c>
      <c r="R82" s="346"/>
      <c r="S82" s="346"/>
      <c r="T82" s="346"/>
      <c r="U82" s="346"/>
      <c r="V82" s="346"/>
      <c r="W82" s="346"/>
      <c r="X82" s="346"/>
      <c r="Y82" s="346"/>
      <c r="Z82" s="346"/>
      <c r="AA82" s="346"/>
      <c r="AB82" s="346"/>
      <c r="AC82" s="346"/>
      <c r="AD82" s="346"/>
      <c r="AE82" s="346"/>
      <c r="AF82" s="346"/>
      <c r="AG82" s="346"/>
      <c r="AH82" s="346"/>
    </row>
    <row r="83" spans="2:34" ht="15" customHeight="1">
      <c r="B83" s="340" t="s">
        <v>41</v>
      </c>
      <c r="C83" s="345">
        <v>400</v>
      </c>
      <c r="D83" s="346">
        <v>0</v>
      </c>
      <c r="E83" s="346">
        <v>13.3</v>
      </c>
      <c r="F83" s="346">
        <v>504</v>
      </c>
      <c r="G83" s="346">
        <v>21.7</v>
      </c>
      <c r="H83" s="346">
        <f>G83*0.61</f>
        <v>13.237</v>
      </c>
      <c r="I83" s="346">
        <f>G83*0.27</f>
        <v>5.859</v>
      </c>
      <c r="J83" s="346">
        <f>G83*0.2</f>
        <v>4.34</v>
      </c>
      <c r="K83" s="346">
        <f t="shared" si="4"/>
        <v>280</v>
      </c>
      <c r="L83" s="346">
        <v>0</v>
      </c>
      <c r="M83" s="346">
        <v>0</v>
      </c>
      <c r="N83" s="346">
        <f t="shared" si="5"/>
        <v>400</v>
      </c>
      <c r="O83" s="346">
        <v>0</v>
      </c>
      <c r="P83" s="346">
        <v>16</v>
      </c>
      <c r="Q83" s="346">
        <v>11.2</v>
      </c>
      <c r="R83" s="346"/>
      <c r="S83" s="346"/>
      <c r="T83" s="346"/>
      <c r="U83" s="346"/>
      <c r="V83" s="346"/>
      <c r="W83" s="346"/>
      <c r="X83" s="346"/>
      <c r="Y83" s="346"/>
      <c r="Z83" s="346"/>
      <c r="AA83" s="346"/>
      <c r="AB83" s="346"/>
      <c r="AC83" s="346"/>
      <c r="AD83" s="346"/>
      <c r="AE83" s="346"/>
      <c r="AF83" s="346"/>
      <c r="AG83" s="346"/>
      <c r="AH83" s="346"/>
    </row>
    <row r="84" spans="2:34" ht="15" customHeight="1">
      <c r="B84" s="340" t="s">
        <v>41</v>
      </c>
      <c r="C84" s="345">
        <v>500</v>
      </c>
      <c r="D84" s="346">
        <v>0</v>
      </c>
      <c r="E84" s="346">
        <v>16.7</v>
      </c>
      <c r="F84" s="346">
        <v>630</v>
      </c>
      <c r="G84" s="346">
        <v>27.1</v>
      </c>
      <c r="H84" s="346">
        <f>G84*0.61</f>
        <v>16.530999999999999</v>
      </c>
      <c r="I84" s="346">
        <f>G84*0.27</f>
        <v>7.3170000000000011</v>
      </c>
      <c r="J84" s="346">
        <f>G84*0.2</f>
        <v>5.4200000000000008</v>
      </c>
      <c r="K84" s="346">
        <f t="shared" si="4"/>
        <v>350</v>
      </c>
      <c r="L84" s="346">
        <v>0</v>
      </c>
      <c r="M84" s="346">
        <v>0</v>
      </c>
      <c r="N84" s="346">
        <f t="shared" si="5"/>
        <v>500</v>
      </c>
      <c r="O84" s="346">
        <v>0</v>
      </c>
      <c r="P84" s="346">
        <v>20</v>
      </c>
      <c r="Q84" s="346">
        <v>14</v>
      </c>
      <c r="R84" s="346">
        <v>7.5</v>
      </c>
      <c r="S84" s="346">
        <v>25</v>
      </c>
      <c r="T84" s="346">
        <v>10</v>
      </c>
      <c r="U84" s="346">
        <v>40</v>
      </c>
      <c r="V84" s="346">
        <v>15</v>
      </c>
      <c r="W84" s="346">
        <v>0.5</v>
      </c>
      <c r="X84" s="346">
        <v>100</v>
      </c>
      <c r="Y84" s="346">
        <v>3.5</v>
      </c>
      <c r="Z84" s="346">
        <v>400</v>
      </c>
      <c r="AA84" s="346">
        <v>400</v>
      </c>
      <c r="AB84" s="346">
        <v>1</v>
      </c>
      <c r="AC84" s="346">
        <v>400</v>
      </c>
      <c r="AD84" s="346">
        <v>30</v>
      </c>
      <c r="AE84" s="346">
        <v>3300</v>
      </c>
      <c r="AF84" s="346">
        <v>800</v>
      </c>
      <c r="AG84" s="346">
        <v>30</v>
      </c>
      <c r="AH84" s="346">
        <v>20</v>
      </c>
    </row>
    <row r="85" spans="2:34" ht="15" customHeight="1">
      <c r="B85" s="340" t="s">
        <v>41</v>
      </c>
      <c r="C85" s="345">
        <v>600</v>
      </c>
      <c r="D85" s="346">
        <v>0</v>
      </c>
      <c r="E85" s="346"/>
      <c r="F85" s="346"/>
      <c r="G85" s="346"/>
      <c r="H85" s="346"/>
      <c r="I85" s="346"/>
      <c r="J85" s="346"/>
      <c r="K85" s="346">
        <f t="shared" si="4"/>
        <v>420</v>
      </c>
      <c r="L85" s="346"/>
      <c r="M85" s="346"/>
      <c r="N85" s="346">
        <f t="shared" si="5"/>
        <v>600</v>
      </c>
      <c r="O85" s="346"/>
      <c r="P85" s="346"/>
      <c r="Q85" s="346"/>
      <c r="R85" s="346"/>
      <c r="S85" s="346"/>
      <c r="T85" s="346"/>
      <c r="U85" s="346"/>
      <c r="V85" s="346"/>
      <c r="W85" s="346"/>
      <c r="X85" s="346"/>
      <c r="Y85" s="346"/>
      <c r="Z85" s="346"/>
      <c r="AA85" s="346"/>
      <c r="AB85" s="346"/>
      <c r="AC85" s="346"/>
      <c r="AD85" s="346"/>
      <c r="AE85" s="346"/>
      <c r="AF85" s="346"/>
      <c r="AG85" s="346"/>
      <c r="AH85" s="346"/>
    </row>
    <row r="86" spans="2:34" ht="15" customHeight="1">
      <c r="B86" s="340" t="s">
        <v>47</v>
      </c>
      <c r="C86" s="345">
        <v>219</v>
      </c>
      <c r="D86" s="346">
        <v>0.21</v>
      </c>
      <c r="E86" s="346">
        <v>8.1</v>
      </c>
      <c r="F86" s="346">
        <v>336</v>
      </c>
      <c r="G86" s="346">
        <v>14.5</v>
      </c>
      <c r="H86" s="346">
        <f>G86*0.61</f>
        <v>8.8450000000000006</v>
      </c>
      <c r="I86" s="346">
        <f>G86*0.27</f>
        <v>3.915</v>
      </c>
      <c r="J86" s="346">
        <f>G86*0.2</f>
        <v>2.9000000000000004</v>
      </c>
      <c r="K86" s="346">
        <f t="shared" si="4"/>
        <v>153.29999999999998</v>
      </c>
      <c r="L86" s="346">
        <v>0</v>
      </c>
      <c r="M86" s="346">
        <v>0</v>
      </c>
      <c r="N86" s="346">
        <f t="shared" si="5"/>
        <v>219</v>
      </c>
      <c r="O86" s="346">
        <v>0</v>
      </c>
      <c r="P86" s="346">
        <v>14.4</v>
      </c>
      <c r="Q86" s="346">
        <v>10.5</v>
      </c>
      <c r="R86" s="346"/>
      <c r="S86" s="346"/>
      <c r="T86" s="346"/>
      <c r="U86" s="346"/>
      <c r="V86" s="346"/>
      <c r="W86" s="346"/>
      <c r="X86" s="346"/>
      <c r="Y86" s="346"/>
      <c r="Z86" s="346"/>
      <c r="AA86" s="346"/>
      <c r="AB86" s="346"/>
      <c r="AC86" s="346"/>
      <c r="AD86" s="346"/>
      <c r="AE86" s="346"/>
      <c r="AF86" s="346"/>
      <c r="AG86" s="346"/>
      <c r="AH86" s="346"/>
    </row>
    <row r="87" spans="2:34" ht="15" customHeight="1">
      <c r="B87" s="340" t="s">
        <v>47</v>
      </c>
      <c r="C87" s="345">
        <v>439</v>
      </c>
      <c r="D87" s="346">
        <v>0.42</v>
      </c>
      <c r="E87" s="346">
        <v>16.2</v>
      </c>
      <c r="F87" s="346">
        <v>673</v>
      </c>
      <c r="G87" s="346">
        <v>28.9</v>
      </c>
      <c r="H87" s="346">
        <f>G87*0.61</f>
        <v>17.628999999999998</v>
      </c>
      <c r="I87" s="346">
        <f>G87*0.27</f>
        <v>7.8029999999999999</v>
      </c>
      <c r="J87" s="346">
        <f>G87*0.2</f>
        <v>5.78</v>
      </c>
      <c r="K87" s="346">
        <f t="shared" si="4"/>
        <v>307.29999999999995</v>
      </c>
      <c r="L87" s="346">
        <v>0</v>
      </c>
      <c r="M87" s="346">
        <v>0</v>
      </c>
      <c r="N87" s="346">
        <f t="shared" si="5"/>
        <v>439</v>
      </c>
      <c r="O87" s="346">
        <v>0</v>
      </c>
      <c r="P87" s="346">
        <v>28.8</v>
      </c>
      <c r="Q87" s="346">
        <v>21</v>
      </c>
      <c r="R87" s="346"/>
      <c r="S87" s="346"/>
      <c r="T87" s="346"/>
      <c r="U87" s="346"/>
      <c r="V87" s="346"/>
      <c r="W87" s="346"/>
      <c r="X87" s="346"/>
      <c r="Y87" s="346"/>
      <c r="Z87" s="346"/>
      <c r="AA87" s="346"/>
      <c r="AB87" s="346"/>
      <c r="AC87" s="346"/>
      <c r="AD87" s="346"/>
      <c r="AE87" s="346"/>
      <c r="AF87" s="346"/>
      <c r="AG87" s="346"/>
      <c r="AH87" s="346"/>
    </row>
    <row r="88" spans="2:34" ht="15" customHeight="1">
      <c r="B88" s="340" t="s">
        <v>47</v>
      </c>
      <c r="C88" s="345">
        <v>548</v>
      </c>
      <c r="D88" s="346">
        <v>0.52</v>
      </c>
      <c r="E88" s="346">
        <v>20.2</v>
      </c>
      <c r="F88" s="346">
        <v>841</v>
      </c>
      <c r="G88" s="346">
        <v>36.200000000000003</v>
      </c>
      <c r="H88" s="346">
        <f>G88*0.61</f>
        <v>22.082000000000001</v>
      </c>
      <c r="I88" s="346">
        <f>G88*0.27</f>
        <v>9.7740000000000009</v>
      </c>
      <c r="J88" s="346">
        <f>G88*0.2</f>
        <v>7.2400000000000011</v>
      </c>
      <c r="K88" s="346">
        <f t="shared" si="4"/>
        <v>383.59999999999997</v>
      </c>
      <c r="L88" s="346">
        <v>0</v>
      </c>
      <c r="M88" s="346">
        <v>0</v>
      </c>
      <c r="N88" s="346">
        <f t="shared" si="5"/>
        <v>548</v>
      </c>
      <c r="O88" s="346">
        <v>0</v>
      </c>
      <c r="P88" s="346">
        <v>36</v>
      </c>
      <c r="Q88" s="346">
        <v>26.3</v>
      </c>
      <c r="R88" s="346">
        <v>7.7</v>
      </c>
      <c r="S88" s="346">
        <v>25.9</v>
      </c>
      <c r="T88" s="346">
        <v>11</v>
      </c>
      <c r="U88" s="346">
        <v>41</v>
      </c>
      <c r="V88" s="346">
        <v>15</v>
      </c>
      <c r="W88" s="346">
        <v>0.5</v>
      </c>
      <c r="X88" s="346">
        <v>125</v>
      </c>
      <c r="Y88" s="346">
        <v>4</v>
      </c>
      <c r="Z88" s="346">
        <v>500</v>
      </c>
      <c r="AA88" s="346">
        <v>400</v>
      </c>
      <c r="AB88" s="346">
        <v>1</v>
      </c>
      <c r="AC88" s="346">
        <v>400</v>
      </c>
      <c r="AD88" s="346">
        <v>30</v>
      </c>
      <c r="AE88" s="346">
        <v>3300</v>
      </c>
      <c r="AF88" s="346">
        <v>800</v>
      </c>
      <c r="AG88" s="346">
        <v>30</v>
      </c>
      <c r="AH88" s="346">
        <v>20</v>
      </c>
    </row>
    <row r="89" spans="2:34" ht="15" customHeight="1">
      <c r="B89" s="340" t="s">
        <v>47</v>
      </c>
      <c r="C89" s="345">
        <v>658</v>
      </c>
      <c r="D89" s="346"/>
      <c r="E89" s="346"/>
      <c r="F89" s="346"/>
      <c r="G89" s="346"/>
      <c r="H89" s="346"/>
      <c r="I89" s="346"/>
      <c r="J89" s="346"/>
      <c r="K89" s="346">
        <f t="shared" si="4"/>
        <v>460.59999999999997</v>
      </c>
      <c r="L89" s="346"/>
      <c r="M89" s="346"/>
      <c r="N89" s="346">
        <f t="shared" si="5"/>
        <v>658</v>
      </c>
      <c r="O89" s="346"/>
      <c r="P89" s="346"/>
      <c r="Q89" s="346"/>
      <c r="R89" s="346"/>
      <c r="S89" s="346"/>
      <c r="T89" s="346"/>
      <c r="U89" s="346"/>
      <c r="V89" s="346"/>
      <c r="W89" s="346"/>
      <c r="X89" s="346"/>
      <c r="Y89" s="346"/>
      <c r="Z89" s="346"/>
      <c r="AA89" s="346"/>
      <c r="AB89" s="346"/>
      <c r="AC89" s="346"/>
      <c r="AD89" s="346"/>
      <c r="AE89" s="346"/>
      <c r="AF89" s="346"/>
      <c r="AG89" s="346"/>
      <c r="AH89" s="346"/>
    </row>
    <row r="90" spans="2:34" ht="15" customHeight="1">
      <c r="B90" s="340" t="s">
        <v>48</v>
      </c>
      <c r="C90" s="345">
        <v>226</v>
      </c>
      <c r="D90" s="346">
        <v>0.26</v>
      </c>
      <c r="E90" s="346">
        <v>8.6</v>
      </c>
      <c r="F90" s="346">
        <v>357</v>
      </c>
      <c r="G90" s="346">
        <v>15.4</v>
      </c>
      <c r="H90" s="346">
        <f>G90*0.61</f>
        <v>9.3940000000000001</v>
      </c>
      <c r="I90" s="346">
        <f>G90*0.27</f>
        <v>4.1580000000000004</v>
      </c>
      <c r="J90" s="346">
        <f>G90*0.2</f>
        <v>3.08</v>
      </c>
      <c r="K90" s="346">
        <f t="shared" si="4"/>
        <v>158.19999999999999</v>
      </c>
      <c r="L90" s="346">
        <v>0</v>
      </c>
      <c r="M90" s="346">
        <v>0</v>
      </c>
      <c r="N90" s="346">
        <f t="shared" si="5"/>
        <v>226</v>
      </c>
      <c r="O90" s="346">
        <v>0</v>
      </c>
      <c r="P90" s="346">
        <v>14.4</v>
      </c>
      <c r="Q90" s="346">
        <v>10.5</v>
      </c>
      <c r="R90" s="346"/>
      <c r="S90" s="346"/>
      <c r="T90" s="346"/>
      <c r="U90" s="346"/>
      <c r="V90" s="346"/>
      <c r="W90" s="346"/>
      <c r="X90" s="346"/>
      <c r="Y90" s="346"/>
      <c r="Z90" s="346"/>
      <c r="AA90" s="346"/>
      <c r="AB90" s="346"/>
      <c r="AC90" s="346"/>
      <c r="AD90" s="346"/>
      <c r="AE90" s="346"/>
      <c r="AF90" s="346"/>
      <c r="AG90" s="346"/>
      <c r="AH90" s="346"/>
    </row>
    <row r="91" spans="2:34" ht="15" customHeight="1">
      <c r="B91" s="340" t="s">
        <v>48</v>
      </c>
      <c r="C91" s="345">
        <v>453</v>
      </c>
      <c r="D91" s="346">
        <v>0.52</v>
      </c>
      <c r="E91" s="346">
        <v>17.100000000000001</v>
      </c>
      <c r="F91" s="346">
        <v>714</v>
      </c>
      <c r="G91" s="346">
        <v>30.7</v>
      </c>
      <c r="H91" s="346">
        <f>G91*0.61</f>
        <v>18.727</v>
      </c>
      <c r="I91" s="346">
        <f>G91*0.27</f>
        <v>8.2889999999999997</v>
      </c>
      <c r="J91" s="346">
        <f>G91*0.2</f>
        <v>6.1400000000000006</v>
      </c>
      <c r="K91" s="346">
        <f t="shared" si="4"/>
        <v>317.09999999999997</v>
      </c>
      <c r="L91" s="346">
        <v>0</v>
      </c>
      <c r="M91" s="346">
        <v>0</v>
      </c>
      <c r="N91" s="346">
        <f t="shared" si="5"/>
        <v>453</v>
      </c>
      <c r="O91" s="346">
        <v>0</v>
      </c>
      <c r="P91" s="346">
        <v>28.8</v>
      </c>
      <c r="Q91" s="346">
        <v>21</v>
      </c>
      <c r="R91" s="346"/>
      <c r="S91" s="346"/>
      <c r="T91" s="346"/>
      <c r="U91" s="346"/>
      <c r="V91" s="346"/>
      <c r="W91" s="346"/>
      <c r="X91" s="346"/>
      <c r="Y91" s="346"/>
      <c r="Z91" s="346"/>
      <c r="AA91" s="346"/>
      <c r="AB91" s="346"/>
      <c r="AC91" s="346"/>
      <c r="AD91" s="346"/>
      <c r="AE91" s="346"/>
      <c r="AF91" s="346"/>
      <c r="AG91" s="346"/>
      <c r="AH91" s="346"/>
    </row>
    <row r="92" spans="2:34" ht="15" customHeight="1">
      <c r="B92" s="340" t="s">
        <v>48</v>
      </c>
      <c r="C92" s="345">
        <v>566</v>
      </c>
      <c r="D92" s="346">
        <v>0.65</v>
      </c>
      <c r="E92" s="346">
        <v>21.4</v>
      </c>
      <c r="F92" s="346">
        <v>893</v>
      </c>
      <c r="G92" s="346">
        <v>38.4</v>
      </c>
      <c r="H92" s="346">
        <f>G92*0.61</f>
        <v>23.423999999999999</v>
      </c>
      <c r="I92" s="346">
        <f>G92*0.27</f>
        <v>10.368</v>
      </c>
      <c r="J92" s="346">
        <f>G92*0.2</f>
        <v>7.68</v>
      </c>
      <c r="K92" s="346">
        <f t="shared" si="4"/>
        <v>396.2</v>
      </c>
      <c r="L92" s="346">
        <v>0</v>
      </c>
      <c r="M92" s="346">
        <v>0</v>
      </c>
      <c r="N92" s="346">
        <f t="shared" si="5"/>
        <v>566.00000000000011</v>
      </c>
      <c r="O92" s="346">
        <v>0</v>
      </c>
      <c r="P92" s="346">
        <v>36</v>
      </c>
      <c r="Q92" s="346">
        <v>26.3</v>
      </c>
      <c r="R92" s="346">
        <v>7.7</v>
      </c>
      <c r="S92" s="346">
        <v>25.9</v>
      </c>
      <c r="T92" s="346">
        <v>11</v>
      </c>
      <c r="U92" s="346">
        <v>41</v>
      </c>
      <c r="V92" s="346">
        <v>15</v>
      </c>
      <c r="W92" s="346">
        <v>0.5</v>
      </c>
      <c r="X92" s="346">
        <v>125</v>
      </c>
      <c r="Y92" s="346">
        <v>4</v>
      </c>
      <c r="Z92" s="346">
        <v>500</v>
      </c>
      <c r="AA92" s="346">
        <v>400</v>
      </c>
      <c r="AB92" s="346">
        <v>1</v>
      </c>
      <c r="AC92" s="346">
        <v>400</v>
      </c>
      <c r="AD92" s="346">
        <v>30</v>
      </c>
      <c r="AE92" s="346">
        <v>3300</v>
      </c>
      <c r="AF92" s="346">
        <v>800</v>
      </c>
      <c r="AG92" s="346">
        <v>30</v>
      </c>
      <c r="AH92" s="346">
        <v>20</v>
      </c>
    </row>
    <row r="93" spans="2:34" ht="15" customHeight="1">
      <c r="B93" s="340" t="s">
        <v>48</v>
      </c>
      <c r="C93" s="345">
        <v>679</v>
      </c>
      <c r="D93" s="346"/>
      <c r="E93" s="346"/>
      <c r="F93" s="346"/>
      <c r="G93" s="346"/>
      <c r="H93" s="346"/>
      <c r="I93" s="346"/>
      <c r="J93" s="346"/>
      <c r="K93" s="346">
        <f t="shared" si="4"/>
        <v>475.29999999999995</v>
      </c>
      <c r="L93" s="346"/>
      <c r="M93" s="346"/>
      <c r="N93" s="346">
        <f t="shared" si="5"/>
        <v>679</v>
      </c>
      <c r="O93" s="346"/>
      <c r="P93" s="346"/>
      <c r="Q93" s="346"/>
      <c r="R93" s="346"/>
      <c r="S93" s="346"/>
      <c r="T93" s="346"/>
      <c r="U93" s="346"/>
      <c r="V93" s="346"/>
      <c r="W93" s="346"/>
      <c r="X93" s="346"/>
      <c r="Y93" s="346"/>
      <c r="Z93" s="346"/>
      <c r="AA93" s="346"/>
      <c r="AB93" s="346"/>
      <c r="AC93" s="346"/>
      <c r="AD93" s="346"/>
      <c r="AE93" s="346"/>
      <c r="AF93" s="346"/>
      <c r="AG93" s="346"/>
      <c r="AH93" s="346"/>
    </row>
    <row r="94" spans="2:34" ht="15" customHeight="1">
      <c r="B94" s="340" t="s">
        <v>42</v>
      </c>
      <c r="C94" s="345">
        <v>201</v>
      </c>
      <c r="D94" s="346">
        <v>0.05</v>
      </c>
      <c r="E94" s="346">
        <v>6.8</v>
      </c>
      <c r="F94" s="346">
        <v>274</v>
      </c>
      <c r="G94" s="346">
        <v>11.8</v>
      </c>
      <c r="H94" s="346">
        <f>G94*0.61</f>
        <v>7.1980000000000004</v>
      </c>
      <c r="I94" s="346">
        <f>G94*0.27</f>
        <v>3.1860000000000004</v>
      </c>
      <c r="J94" s="346">
        <f>G94*0.2</f>
        <v>2.3600000000000003</v>
      </c>
      <c r="K94" s="346">
        <f t="shared" si="4"/>
        <v>140.69999999999999</v>
      </c>
      <c r="L94" s="346">
        <v>0</v>
      </c>
      <c r="M94" s="346">
        <v>0</v>
      </c>
      <c r="N94" s="346">
        <f t="shared" si="5"/>
        <v>201</v>
      </c>
      <c r="O94" s="346">
        <v>0</v>
      </c>
      <c r="P94" s="346">
        <v>8</v>
      </c>
      <c r="Q94" s="346">
        <v>5.6</v>
      </c>
      <c r="R94" s="346"/>
      <c r="S94" s="346"/>
      <c r="T94" s="346"/>
      <c r="U94" s="346"/>
      <c r="V94" s="346"/>
      <c r="W94" s="346"/>
      <c r="X94" s="346"/>
      <c r="Y94" s="346"/>
      <c r="Z94" s="346"/>
      <c r="AA94" s="346"/>
      <c r="AB94" s="346"/>
      <c r="AC94" s="346"/>
      <c r="AD94" s="346"/>
      <c r="AE94" s="346"/>
      <c r="AF94" s="346"/>
      <c r="AG94" s="346"/>
      <c r="AH94" s="346"/>
    </row>
    <row r="95" spans="2:34" ht="15" customHeight="1">
      <c r="B95" s="340" t="s">
        <v>42</v>
      </c>
      <c r="C95" s="345">
        <v>403</v>
      </c>
      <c r="D95" s="346">
        <v>0.11</v>
      </c>
      <c r="E95" s="346">
        <v>13.7</v>
      </c>
      <c r="F95" s="346">
        <v>548</v>
      </c>
      <c r="G95" s="346">
        <v>23.6</v>
      </c>
      <c r="H95" s="346">
        <f>G95*0.61</f>
        <v>14.396000000000001</v>
      </c>
      <c r="I95" s="346">
        <f>G95*0.27</f>
        <v>6.3720000000000008</v>
      </c>
      <c r="J95" s="346">
        <f>G95*0.2</f>
        <v>4.7200000000000006</v>
      </c>
      <c r="K95" s="346">
        <f t="shared" si="4"/>
        <v>282.09999999999997</v>
      </c>
      <c r="L95" s="346">
        <v>0</v>
      </c>
      <c r="M95" s="346">
        <v>0</v>
      </c>
      <c r="N95" s="346">
        <f t="shared" si="5"/>
        <v>403</v>
      </c>
      <c r="O95" s="346">
        <v>0</v>
      </c>
      <c r="P95" s="346">
        <v>16</v>
      </c>
      <c r="Q95" s="346">
        <v>11.2</v>
      </c>
      <c r="R95" s="346"/>
      <c r="S95" s="346"/>
      <c r="T95" s="346"/>
      <c r="U95" s="346"/>
      <c r="V95" s="346"/>
      <c r="W95" s="346"/>
      <c r="X95" s="346"/>
      <c r="Y95" s="346"/>
      <c r="Z95" s="346"/>
      <c r="AA95" s="346"/>
      <c r="AB95" s="346"/>
      <c r="AC95" s="346"/>
      <c r="AD95" s="346"/>
      <c r="AE95" s="346"/>
      <c r="AF95" s="346"/>
      <c r="AG95" s="346"/>
      <c r="AH95" s="346"/>
    </row>
    <row r="96" spans="2:34" ht="15" customHeight="1">
      <c r="B96" s="340" t="s">
        <v>42</v>
      </c>
      <c r="C96" s="345">
        <v>504</v>
      </c>
      <c r="D96" s="346">
        <v>0.14000000000000001</v>
      </c>
      <c r="E96" s="346">
        <v>17.100000000000001</v>
      </c>
      <c r="F96" s="346">
        <v>685</v>
      </c>
      <c r="G96" s="346">
        <v>29.5</v>
      </c>
      <c r="H96" s="346">
        <f>G96*0.61</f>
        <v>17.995000000000001</v>
      </c>
      <c r="I96" s="346">
        <f>G96*0.27</f>
        <v>7.9650000000000007</v>
      </c>
      <c r="J96" s="346">
        <f>G96*0.2</f>
        <v>5.9</v>
      </c>
      <c r="K96" s="346">
        <f t="shared" si="4"/>
        <v>352.79999999999995</v>
      </c>
      <c r="L96" s="346">
        <v>0</v>
      </c>
      <c r="M96" s="346">
        <v>0</v>
      </c>
      <c r="N96" s="346">
        <f t="shared" si="5"/>
        <v>504</v>
      </c>
      <c r="O96" s="346">
        <v>0</v>
      </c>
      <c r="P96" s="346">
        <v>20</v>
      </c>
      <c r="Q96" s="346">
        <v>14</v>
      </c>
      <c r="R96" s="346">
        <v>7.5</v>
      </c>
      <c r="S96" s="346">
        <v>25</v>
      </c>
      <c r="T96" s="346">
        <v>10</v>
      </c>
      <c r="U96" s="346">
        <v>40</v>
      </c>
      <c r="V96" s="346">
        <v>15</v>
      </c>
      <c r="W96" s="346">
        <v>0.5</v>
      </c>
      <c r="X96" s="346">
        <v>100</v>
      </c>
      <c r="Y96" s="346">
        <v>3.5</v>
      </c>
      <c r="Z96" s="346">
        <v>400</v>
      </c>
      <c r="AA96" s="346">
        <v>400</v>
      </c>
      <c r="AB96" s="346">
        <v>1</v>
      </c>
      <c r="AC96" s="346">
        <v>400</v>
      </c>
      <c r="AD96" s="346">
        <v>30</v>
      </c>
      <c r="AE96" s="346">
        <v>3300</v>
      </c>
      <c r="AF96" s="346">
        <v>800</v>
      </c>
      <c r="AG96" s="346">
        <v>30</v>
      </c>
      <c r="AH96" s="346">
        <v>20</v>
      </c>
    </row>
    <row r="97" spans="2:34" ht="15" customHeight="1">
      <c r="B97" s="340" t="s">
        <v>42</v>
      </c>
      <c r="C97" s="345">
        <v>604</v>
      </c>
      <c r="D97" s="346"/>
      <c r="E97" s="346"/>
      <c r="F97" s="346"/>
      <c r="G97" s="346"/>
      <c r="H97" s="346"/>
      <c r="I97" s="346"/>
      <c r="J97" s="346"/>
      <c r="K97" s="346">
        <f t="shared" si="4"/>
        <v>422.79999999999995</v>
      </c>
      <c r="L97" s="346"/>
      <c r="M97" s="346"/>
      <c r="N97" s="346">
        <f t="shared" si="5"/>
        <v>604</v>
      </c>
      <c r="O97" s="346"/>
      <c r="P97" s="346"/>
      <c r="Q97" s="346"/>
      <c r="R97" s="346"/>
      <c r="S97" s="346"/>
      <c r="T97" s="346"/>
      <c r="U97" s="346"/>
      <c r="V97" s="346"/>
      <c r="W97" s="346"/>
      <c r="X97" s="346"/>
      <c r="Y97" s="346"/>
      <c r="Z97" s="346"/>
      <c r="AA97" s="346"/>
      <c r="AB97" s="346"/>
      <c r="AC97" s="346"/>
      <c r="AD97" s="346"/>
      <c r="AE97" s="346"/>
      <c r="AF97" s="346"/>
      <c r="AG97" s="346"/>
      <c r="AH97" s="346"/>
    </row>
    <row r="98" spans="2:34" ht="15" customHeight="1">
      <c r="B98" s="340" t="s">
        <v>43</v>
      </c>
      <c r="C98" s="345">
        <v>203</v>
      </c>
      <c r="D98" s="346">
        <v>7.0000000000000007E-2</v>
      </c>
      <c r="E98" s="346">
        <v>7</v>
      </c>
      <c r="F98" s="346">
        <v>282</v>
      </c>
      <c r="G98" s="346">
        <v>12.1</v>
      </c>
      <c r="H98" s="346">
        <f>G98*0.61</f>
        <v>7.3809999999999993</v>
      </c>
      <c r="I98" s="346">
        <f>G98*0.27</f>
        <v>3.2669999999999999</v>
      </c>
      <c r="J98" s="346">
        <f>G98*0.2</f>
        <v>2.42</v>
      </c>
      <c r="K98" s="346">
        <f t="shared" ref="K98:K129" si="6">C98*0.7</f>
        <v>142.1</v>
      </c>
      <c r="L98" s="346">
        <v>0</v>
      </c>
      <c r="M98" s="346">
        <v>0</v>
      </c>
      <c r="N98" s="346">
        <f t="shared" ref="N98:N129" si="7">(C98*0.1%)*1000</f>
        <v>203</v>
      </c>
      <c r="O98" s="346">
        <v>0</v>
      </c>
      <c r="P98" s="346">
        <v>8</v>
      </c>
      <c r="Q98" s="346">
        <v>5.6</v>
      </c>
      <c r="R98" s="346"/>
      <c r="S98" s="346"/>
      <c r="T98" s="346"/>
      <c r="U98" s="346"/>
      <c r="V98" s="346"/>
      <c r="W98" s="346"/>
      <c r="X98" s="346"/>
      <c r="Y98" s="346"/>
      <c r="Z98" s="346"/>
      <c r="AA98" s="346"/>
      <c r="AB98" s="346"/>
      <c r="AC98" s="346"/>
      <c r="AD98" s="346"/>
      <c r="AE98" s="346"/>
      <c r="AF98" s="346"/>
      <c r="AG98" s="346"/>
      <c r="AH98" s="346"/>
    </row>
    <row r="99" spans="2:34" ht="15" customHeight="1">
      <c r="B99" s="340" t="s">
        <v>43</v>
      </c>
      <c r="C99" s="345">
        <v>407</v>
      </c>
      <c r="D99" s="346">
        <v>0.15</v>
      </c>
      <c r="E99" s="346">
        <v>13.9</v>
      </c>
      <c r="F99" s="346">
        <v>563</v>
      </c>
      <c r="G99" s="346">
        <v>24.2</v>
      </c>
      <c r="H99" s="346">
        <f>G99*0.61</f>
        <v>14.761999999999999</v>
      </c>
      <c r="I99" s="346">
        <f>G99*0.27</f>
        <v>6.5339999999999998</v>
      </c>
      <c r="J99" s="346">
        <f>G99*0.2</f>
        <v>4.84</v>
      </c>
      <c r="K99" s="346">
        <f t="shared" si="6"/>
        <v>284.89999999999998</v>
      </c>
      <c r="L99" s="346">
        <v>0</v>
      </c>
      <c r="M99" s="346">
        <v>0</v>
      </c>
      <c r="N99" s="346">
        <f t="shared" si="7"/>
        <v>407</v>
      </c>
      <c r="O99" s="346">
        <v>0</v>
      </c>
      <c r="P99" s="346">
        <v>16</v>
      </c>
      <c r="Q99" s="346">
        <v>11.2</v>
      </c>
      <c r="R99" s="346"/>
      <c r="S99" s="346"/>
      <c r="T99" s="346"/>
      <c r="U99" s="346"/>
      <c r="V99" s="346"/>
      <c r="W99" s="346"/>
      <c r="X99" s="346"/>
      <c r="Y99" s="346"/>
      <c r="Z99" s="346"/>
      <c r="AA99" s="346"/>
      <c r="AB99" s="346"/>
      <c r="AC99" s="346"/>
      <c r="AD99" s="346"/>
      <c r="AE99" s="346"/>
      <c r="AF99" s="346"/>
      <c r="AG99" s="346"/>
      <c r="AH99" s="346"/>
    </row>
    <row r="100" spans="2:34" ht="15" customHeight="1">
      <c r="B100" s="340" t="s">
        <v>43</v>
      </c>
      <c r="C100" s="345">
        <v>508</v>
      </c>
      <c r="D100" s="346">
        <v>0.18</v>
      </c>
      <c r="E100" s="346">
        <v>17.399999999999999</v>
      </c>
      <c r="F100" s="346">
        <v>704</v>
      </c>
      <c r="G100" s="346">
        <v>30.3</v>
      </c>
      <c r="H100" s="346">
        <f>G100*0.61</f>
        <v>18.483000000000001</v>
      </c>
      <c r="I100" s="346">
        <f>G100*0.27</f>
        <v>8.1810000000000009</v>
      </c>
      <c r="J100" s="346">
        <f>G100*0.2</f>
        <v>6.0600000000000005</v>
      </c>
      <c r="K100" s="346">
        <f t="shared" si="6"/>
        <v>355.59999999999997</v>
      </c>
      <c r="L100" s="346">
        <v>0</v>
      </c>
      <c r="M100" s="346">
        <v>0</v>
      </c>
      <c r="N100" s="346">
        <f t="shared" si="7"/>
        <v>508</v>
      </c>
      <c r="O100" s="346">
        <v>0</v>
      </c>
      <c r="P100" s="346">
        <v>20</v>
      </c>
      <c r="Q100" s="346">
        <v>14</v>
      </c>
      <c r="R100" s="346">
        <v>7.5</v>
      </c>
      <c r="S100" s="346">
        <v>25</v>
      </c>
      <c r="T100" s="346">
        <v>10</v>
      </c>
      <c r="U100" s="346">
        <v>40</v>
      </c>
      <c r="V100" s="346">
        <v>15</v>
      </c>
      <c r="W100" s="346">
        <v>0.5</v>
      </c>
      <c r="X100" s="346">
        <v>100</v>
      </c>
      <c r="Y100" s="346">
        <v>3.5</v>
      </c>
      <c r="Z100" s="346">
        <v>400</v>
      </c>
      <c r="AA100" s="346">
        <v>400</v>
      </c>
      <c r="AB100" s="346">
        <v>1</v>
      </c>
      <c r="AC100" s="346">
        <v>400</v>
      </c>
      <c r="AD100" s="346">
        <v>30</v>
      </c>
      <c r="AE100" s="346">
        <v>3300</v>
      </c>
      <c r="AF100" s="346">
        <v>800</v>
      </c>
      <c r="AG100" s="346">
        <v>30</v>
      </c>
      <c r="AH100" s="346">
        <v>20</v>
      </c>
    </row>
    <row r="101" spans="2:34" ht="15" customHeight="1">
      <c r="B101" s="340" t="s">
        <v>43</v>
      </c>
      <c r="C101" s="345">
        <v>610</v>
      </c>
      <c r="D101" s="346"/>
      <c r="E101" s="346"/>
      <c r="F101" s="346"/>
      <c r="G101" s="346"/>
      <c r="H101" s="346"/>
      <c r="I101" s="346"/>
      <c r="J101" s="346"/>
      <c r="K101" s="346">
        <f t="shared" si="6"/>
        <v>427</v>
      </c>
      <c r="L101" s="346"/>
      <c r="M101" s="346"/>
      <c r="N101" s="346">
        <f t="shared" si="7"/>
        <v>610</v>
      </c>
      <c r="O101" s="346"/>
      <c r="P101" s="346"/>
      <c r="Q101" s="346"/>
      <c r="R101" s="346"/>
      <c r="S101" s="346"/>
      <c r="T101" s="346"/>
      <c r="U101" s="346"/>
      <c r="V101" s="346"/>
      <c r="W101" s="346"/>
      <c r="X101" s="346"/>
      <c r="Y101" s="346"/>
      <c r="Z101" s="346"/>
      <c r="AA101" s="346"/>
      <c r="AB101" s="346"/>
      <c r="AC101" s="346"/>
      <c r="AD101" s="346"/>
      <c r="AE101" s="346"/>
      <c r="AF101" s="346"/>
      <c r="AG101" s="346"/>
      <c r="AH101" s="346"/>
    </row>
    <row r="102" spans="2:34" ht="15" customHeight="1">
      <c r="B102" s="340" t="s">
        <v>44</v>
      </c>
      <c r="C102" s="345">
        <v>206</v>
      </c>
      <c r="D102" s="346">
        <v>0.1</v>
      </c>
      <c r="E102" s="346">
        <v>7.2</v>
      </c>
      <c r="F102" s="346">
        <v>291</v>
      </c>
      <c r="G102" s="346">
        <v>12.5</v>
      </c>
      <c r="H102" s="346">
        <f>G102*0.61</f>
        <v>7.625</v>
      </c>
      <c r="I102" s="346">
        <f>G102*0.27</f>
        <v>3.375</v>
      </c>
      <c r="J102" s="346">
        <f>G102*0.2</f>
        <v>2.5</v>
      </c>
      <c r="K102" s="346">
        <f t="shared" si="6"/>
        <v>144.19999999999999</v>
      </c>
      <c r="L102" s="346">
        <v>0</v>
      </c>
      <c r="M102" s="346">
        <v>0</v>
      </c>
      <c r="N102" s="346">
        <f t="shared" si="7"/>
        <v>206.00000000000003</v>
      </c>
      <c r="O102" s="346">
        <v>0</v>
      </c>
      <c r="P102" s="346">
        <v>11.2</v>
      </c>
      <c r="Q102" s="346">
        <v>8</v>
      </c>
      <c r="R102" s="346"/>
      <c r="S102" s="346"/>
      <c r="T102" s="346"/>
      <c r="U102" s="346"/>
      <c r="V102" s="346"/>
      <c r="W102" s="346"/>
      <c r="X102" s="346"/>
      <c r="Y102" s="346"/>
      <c r="Z102" s="346"/>
      <c r="AA102" s="346"/>
      <c r="AB102" s="346"/>
      <c r="AC102" s="346"/>
      <c r="AD102" s="346"/>
      <c r="AE102" s="346"/>
      <c r="AF102" s="346"/>
      <c r="AG102" s="346"/>
      <c r="AH102" s="346"/>
    </row>
    <row r="103" spans="2:34" ht="15" customHeight="1">
      <c r="B103" s="340" t="s">
        <v>44</v>
      </c>
      <c r="C103" s="345">
        <v>412</v>
      </c>
      <c r="D103" s="346">
        <v>0.19</v>
      </c>
      <c r="E103" s="346">
        <v>14.3</v>
      </c>
      <c r="F103" s="346">
        <v>583</v>
      </c>
      <c r="G103" s="346">
        <v>25.1</v>
      </c>
      <c r="H103" s="346">
        <f>G103*0.61</f>
        <v>15.311</v>
      </c>
      <c r="I103" s="346">
        <f>G103*0.27</f>
        <v>6.777000000000001</v>
      </c>
      <c r="J103" s="346">
        <f>G103*0.2</f>
        <v>5.0200000000000005</v>
      </c>
      <c r="K103" s="346">
        <f t="shared" si="6"/>
        <v>288.39999999999998</v>
      </c>
      <c r="L103" s="346">
        <v>0</v>
      </c>
      <c r="M103" s="346">
        <v>0</v>
      </c>
      <c r="N103" s="346">
        <f t="shared" si="7"/>
        <v>412.00000000000006</v>
      </c>
      <c r="O103" s="346">
        <v>0</v>
      </c>
      <c r="P103" s="346">
        <v>22.4</v>
      </c>
      <c r="Q103" s="346">
        <v>16</v>
      </c>
      <c r="R103" s="346"/>
      <c r="S103" s="346"/>
      <c r="T103" s="346"/>
      <c r="U103" s="346"/>
      <c r="V103" s="346"/>
      <c r="W103" s="346"/>
      <c r="X103" s="346"/>
      <c r="Y103" s="346"/>
      <c r="Z103" s="346"/>
      <c r="AA103" s="346"/>
      <c r="AB103" s="346"/>
      <c r="AC103" s="346"/>
      <c r="AD103" s="346"/>
      <c r="AE103" s="346"/>
      <c r="AF103" s="346"/>
      <c r="AG103" s="346"/>
      <c r="AH103" s="346"/>
    </row>
    <row r="104" spans="2:34" ht="15" customHeight="1">
      <c r="B104" s="340" t="s">
        <v>44</v>
      </c>
      <c r="C104" s="345">
        <v>515</v>
      </c>
      <c r="D104" s="346">
        <v>0.24</v>
      </c>
      <c r="E104" s="346">
        <v>17.899999999999999</v>
      </c>
      <c r="F104" s="346">
        <v>729</v>
      </c>
      <c r="G104" s="346">
        <v>31.3</v>
      </c>
      <c r="H104" s="346">
        <f>G104*0.61</f>
        <v>19.093</v>
      </c>
      <c r="I104" s="346">
        <f>G104*0.27</f>
        <v>8.4510000000000005</v>
      </c>
      <c r="J104" s="346">
        <f>G104*0.2</f>
        <v>6.2600000000000007</v>
      </c>
      <c r="K104" s="346">
        <f t="shared" si="6"/>
        <v>360.5</v>
      </c>
      <c r="L104" s="346">
        <v>0</v>
      </c>
      <c r="M104" s="346">
        <v>0</v>
      </c>
      <c r="N104" s="346">
        <f t="shared" si="7"/>
        <v>515</v>
      </c>
      <c r="O104" s="346">
        <v>0</v>
      </c>
      <c r="P104" s="346">
        <v>28</v>
      </c>
      <c r="Q104" s="346">
        <v>20</v>
      </c>
      <c r="R104" s="346">
        <v>7.6</v>
      </c>
      <c r="S104" s="346">
        <v>25</v>
      </c>
      <c r="T104" s="346">
        <v>10</v>
      </c>
      <c r="U104" s="346">
        <v>40</v>
      </c>
      <c r="V104" s="346">
        <v>15</v>
      </c>
      <c r="W104" s="346">
        <v>0.5</v>
      </c>
      <c r="X104" s="346">
        <v>100</v>
      </c>
      <c r="Y104" s="346">
        <v>3.5</v>
      </c>
      <c r="Z104" s="346">
        <v>400</v>
      </c>
      <c r="AA104" s="346">
        <v>400</v>
      </c>
      <c r="AB104" s="346">
        <v>1</v>
      </c>
      <c r="AC104" s="346">
        <v>400</v>
      </c>
      <c r="AD104" s="346">
        <v>30</v>
      </c>
      <c r="AE104" s="346">
        <v>3300</v>
      </c>
      <c r="AF104" s="346">
        <v>800</v>
      </c>
      <c r="AG104" s="346">
        <v>30</v>
      </c>
      <c r="AH104" s="346">
        <v>20</v>
      </c>
    </row>
    <row r="105" spans="2:34" ht="15" customHeight="1">
      <c r="B105" s="340" t="s">
        <v>44</v>
      </c>
      <c r="C105" s="345">
        <v>618</v>
      </c>
      <c r="D105" s="346"/>
      <c r="E105" s="346"/>
      <c r="F105" s="346"/>
      <c r="G105" s="346"/>
      <c r="H105" s="346"/>
      <c r="I105" s="346"/>
      <c r="J105" s="346"/>
      <c r="K105" s="346">
        <f t="shared" si="6"/>
        <v>432.59999999999997</v>
      </c>
      <c r="L105" s="346"/>
      <c r="M105" s="346"/>
      <c r="N105" s="346">
        <f t="shared" si="7"/>
        <v>618</v>
      </c>
      <c r="O105" s="346"/>
      <c r="P105" s="346"/>
      <c r="Q105" s="346"/>
      <c r="R105" s="346"/>
      <c r="S105" s="346"/>
      <c r="T105" s="346"/>
      <c r="U105" s="346"/>
      <c r="V105" s="346"/>
      <c r="W105" s="346"/>
      <c r="X105" s="346"/>
      <c r="Y105" s="346"/>
      <c r="Z105" s="346"/>
      <c r="AA105" s="346"/>
      <c r="AB105" s="346"/>
      <c r="AC105" s="346"/>
      <c r="AD105" s="346"/>
      <c r="AE105" s="346"/>
      <c r="AF105" s="346"/>
      <c r="AG105" s="346"/>
      <c r="AH105" s="346"/>
    </row>
    <row r="106" spans="2:34" ht="15" customHeight="1">
      <c r="B106" s="340" t="s">
        <v>45</v>
      </c>
      <c r="C106" s="345">
        <v>209</v>
      </c>
      <c r="D106" s="346">
        <v>0.13</v>
      </c>
      <c r="E106" s="346">
        <v>7.4</v>
      </c>
      <c r="F106" s="346">
        <v>304</v>
      </c>
      <c r="G106" s="346">
        <v>13.1</v>
      </c>
      <c r="H106" s="346">
        <f>G106*0.61</f>
        <v>7.9909999999999997</v>
      </c>
      <c r="I106" s="346">
        <f>G106*0.27</f>
        <v>3.5369999999999999</v>
      </c>
      <c r="J106" s="346">
        <f>G106*0.2</f>
        <v>2.62</v>
      </c>
      <c r="K106" s="346">
        <f t="shared" si="6"/>
        <v>146.29999999999998</v>
      </c>
      <c r="L106" s="346">
        <v>0</v>
      </c>
      <c r="M106" s="346">
        <v>0</v>
      </c>
      <c r="N106" s="346">
        <f t="shared" si="7"/>
        <v>209</v>
      </c>
      <c r="O106" s="346">
        <v>0</v>
      </c>
      <c r="P106" s="346">
        <v>11.2</v>
      </c>
      <c r="Q106" s="346">
        <v>8</v>
      </c>
      <c r="R106" s="346"/>
      <c r="S106" s="346"/>
      <c r="T106" s="346"/>
      <c r="U106" s="346"/>
      <c r="V106" s="346"/>
      <c r="W106" s="346"/>
      <c r="X106" s="346"/>
      <c r="Y106" s="346"/>
      <c r="Z106" s="346"/>
      <c r="AA106" s="346"/>
      <c r="AB106" s="346"/>
      <c r="AC106" s="346"/>
      <c r="AD106" s="346"/>
      <c r="AE106" s="346"/>
      <c r="AF106" s="346"/>
      <c r="AG106" s="346"/>
      <c r="AH106" s="346"/>
    </row>
    <row r="107" spans="2:34" ht="15" customHeight="1">
      <c r="B107" s="340" t="s">
        <v>45</v>
      </c>
      <c r="C107" s="345">
        <v>419</v>
      </c>
      <c r="D107" s="346">
        <v>0.26</v>
      </c>
      <c r="E107" s="346">
        <v>14.8</v>
      </c>
      <c r="F107" s="346">
        <v>607</v>
      </c>
      <c r="G107" s="346">
        <v>26.1</v>
      </c>
      <c r="H107" s="346">
        <f>G107*0.61</f>
        <v>15.921000000000001</v>
      </c>
      <c r="I107" s="346">
        <f>G107*0.27</f>
        <v>7.0470000000000006</v>
      </c>
      <c r="J107" s="346">
        <f>G107*0.2</f>
        <v>5.2200000000000006</v>
      </c>
      <c r="K107" s="346">
        <f t="shared" si="6"/>
        <v>293.29999999999995</v>
      </c>
      <c r="L107" s="346">
        <v>0</v>
      </c>
      <c r="M107" s="346">
        <v>0</v>
      </c>
      <c r="N107" s="346">
        <f t="shared" si="7"/>
        <v>419</v>
      </c>
      <c r="O107" s="346">
        <v>0</v>
      </c>
      <c r="P107" s="346">
        <v>22.4</v>
      </c>
      <c r="Q107" s="346">
        <v>16</v>
      </c>
      <c r="R107" s="346"/>
      <c r="S107" s="346"/>
      <c r="T107" s="346"/>
      <c r="U107" s="346"/>
      <c r="V107" s="346"/>
      <c r="W107" s="346"/>
      <c r="X107" s="346"/>
      <c r="Y107" s="346"/>
      <c r="Z107" s="346"/>
      <c r="AA107" s="346"/>
      <c r="AB107" s="346"/>
      <c r="AC107" s="346"/>
      <c r="AD107" s="346"/>
      <c r="AE107" s="346"/>
      <c r="AF107" s="346"/>
      <c r="AG107" s="346"/>
      <c r="AH107" s="346"/>
    </row>
    <row r="108" spans="2:34" ht="15" customHeight="1">
      <c r="B108" s="340" t="s">
        <v>45</v>
      </c>
      <c r="C108" s="345">
        <v>523</v>
      </c>
      <c r="D108" s="346">
        <v>0.32</v>
      </c>
      <c r="E108" s="346">
        <v>18.5</v>
      </c>
      <c r="F108" s="346">
        <v>759</v>
      </c>
      <c r="G108" s="346">
        <v>32.700000000000003</v>
      </c>
      <c r="H108" s="346">
        <f>G108*0.61</f>
        <v>19.947000000000003</v>
      </c>
      <c r="I108" s="346">
        <f>G108*0.27</f>
        <v>8.8290000000000006</v>
      </c>
      <c r="J108" s="346">
        <f>G108*0.2</f>
        <v>6.5400000000000009</v>
      </c>
      <c r="K108" s="346">
        <f t="shared" si="6"/>
        <v>366.09999999999997</v>
      </c>
      <c r="L108" s="346">
        <v>0</v>
      </c>
      <c r="M108" s="346">
        <v>0</v>
      </c>
      <c r="N108" s="346">
        <f t="shared" si="7"/>
        <v>523</v>
      </c>
      <c r="O108" s="346">
        <v>0</v>
      </c>
      <c r="P108" s="346">
        <v>28</v>
      </c>
      <c r="Q108" s="346">
        <v>20</v>
      </c>
      <c r="R108" s="346">
        <v>7.6</v>
      </c>
      <c r="S108" s="346">
        <v>25</v>
      </c>
      <c r="T108" s="346">
        <v>10</v>
      </c>
      <c r="U108" s="346">
        <v>40</v>
      </c>
      <c r="V108" s="346">
        <v>15</v>
      </c>
      <c r="W108" s="346">
        <v>0.5</v>
      </c>
      <c r="X108" s="346">
        <v>100</v>
      </c>
      <c r="Y108" s="346">
        <v>3.5</v>
      </c>
      <c r="Z108" s="346">
        <v>400</v>
      </c>
      <c r="AA108" s="346">
        <v>400</v>
      </c>
      <c r="AB108" s="346">
        <v>1</v>
      </c>
      <c r="AC108" s="346">
        <v>400</v>
      </c>
      <c r="AD108" s="346">
        <v>30</v>
      </c>
      <c r="AE108" s="346">
        <v>3300</v>
      </c>
      <c r="AF108" s="346">
        <v>800</v>
      </c>
      <c r="AG108" s="346">
        <v>30</v>
      </c>
      <c r="AH108" s="346">
        <v>20</v>
      </c>
    </row>
    <row r="109" spans="2:34" ht="15" customHeight="1">
      <c r="B109" s="340" t="s">
        <v>45</v>
      </c>
      <c r="C109" s="345">
        <v>628</v>
      </c>
      <c r="D109" s="346"/>
      <c r="E109" s="346"/>
      <c r="F109" s="346"/>
      <c r="G109" s="346"/>
      <c r="H109" s="346"/>
      <c r="I109" s="346"/>
      <c r="J109" s="346"/>
      <c r="K109" s="346">
        <f t="shared" si="6"/>
        <v>439.59999999999997</v>
      </c>
      <c r="L109" s="346"/>
      <c r="M109" s="346"/>
      <c r="N109" s="346">
        <f t="shared" si="7"/>
        <v>628</v>
      </c>
      <c r="O109" s="346"/>
      <c r="P109" s="346"/>
      <c r="Q109" s="346"/>
      <c r="R109" s="346"/>
      <c r="S109" s="346"/>
      <c r="T109" s="346"/>
      <c r="U109" s="346"/>
      <c r="V109" s="346"/>
      <c r="W109" s="346"/>
      <c r="X109" s="346"/>
      <c r="Y109" s="346"/>
      <c r="Z109" s="346"/>
      <c r="AA109" s="346"/>
      <c r="AB109" s="346"/>
      <c r="AC109" s="346"/>
      <c r="AD109" s="346"/>
      <c r="AE109" s="346"/>
      <c r="AF109" s="346"/>
      <c r="AG109" s="346"/>
      <c r="AH109" s="346"/>
    </row>
    <row r="110" spans="2:34" ht="15" customHeight="1">
      <c r="B110" s="340" t="s">
        <v>46</v>
      </c>
      <c r="C110" s="345">
        <v>214</v>
      </c>
      <c r="D110" s="346">
        <v>0.16</v>
      </c>
      <c r="E110" s="346">
        <v>7.7</v>
      </c>
      <c r="F110" s="346">
        <v>319</v>
      </c>
      <c r="G110" s="346">
        <v>13.7</v>
      </c>
      <c r="H110" s="346">
        <f>G110*0.61</f>
        <v>8.3569999999999993</v>
      </c>
      <c r="I110" s="346">
        <f>G110*0.27</f>
        <v>3.6989999999999998</v>
      </c>
      <c r="J110" s="346">
        <f>G110*0.2</f>
        <v>2.74</v>
      </c>
      <c r="K110" s="346">
        <f t="shared" si="6"/>
        <v>149.79999999999998</v>
      </c>
      <c r="L110" s="346">
        <v>0</v>
      </c>
      <c r="M110" s="346">
        <v>0</v>
      </c>
      <c r="N110" s="346">
        <f t="shared" si="7"/>
        <v>214</v>
      </c>
      <c r="O110" s="346">
        <v>0</v>
      </c>
      <c r="P110" s="346">
        <v>14.4</v>
      </c>
      <c r="Q110" s="346">
        <v>10.5</v>
      </c>
      <c r="R110" s="346"/>
      <c r="S110" s="346"/>
      <c r="T110" s="346"/>
      <c r="U110" s="346"/>
      <c r="V110" s="346"/>
      <c r="W110" s="346"/>
      <c r="X110" s="346"/>
      <c r="Y110" s="346"/>
      <c r="Z110" s="346"/>
      <c r="AA110" s="346"/>
      <c r="AB110" s="346"/>
      <c r="AC110" s="346"/>
      <c r="AD110" s="346"/>
      <c r="AE110" s="346"/>
      <c r="AF110" s="346"/>
      <c r="AG110" s="346"/>
      <c r="AH110" s="346"/>
    </row>
    <row r="111" spans="2:34" ht="15" customHeight="1">
      <c r="B111" s="340" t="s">
        <v>46</v>
      </c>
      <c r="C111" s="345">
        <v>427</v>
      </c>
      <c r="D111" s="346">
        <v>0.33</v>
      </c>
      <c r="E111" s="346">
        <v>15.4</v>
      </c>
      <c r="F111" s="346">
        <v>637</v>
      </c>
      <c r="G111" s="346">
        <v>27.4</v>
      </c>
      <c r="H111" s="346">
        <f>G111*0.61</f>
        <v>16.713999999999999</v>
      </c>
      <c r="I111" s="346">
        <f>G111*0.27</f>
        <v>7.3979999999999997</v>
      </c>
      <c r="J111" s="346">
        <f>G111*0.2</f>
        <v>5.48</v>
      </c>
      <c r="K111" s="346">
        <f t="shared" si="6"/>
        <v>298.89999999999998</v>
      </c>
      <c r="L111" s="346">
        <v>0</v>
      </c>
      <c r="M111" s="346">
        <v>0</v>
      </c>
      <c r="N111" s="346">
        <f t="shared" si="7"/>
        <v>427</v>
      </c>
      <c r="O111" s="346">
        <v>0</v>
      </c>
      <c r="P111" s="346">
        <v>28.8</v>
      </c>
      <c r="Q111" s="346">
        <v>21</v>
      </c>
      <c r="R111" s="346"/>
      <c r="S111" s="346"/>
      <c r="T111" s="346"/>
      <c r="U111" s="346"/>
      <c r="V111" s="346"/>
      <c r="W111" s="346"/>
      <c r="X111" s="346"/>
      <c r="Y111" s="346"/>
      <c r="Z111" s="346"/>
      <c r="AA111" s="346"/>
      <c r="AB111" s="346"/>
      <c r="AC111" s="346"/>
      <c r="AD111" s="346"/>
      <c r="AE111" s="346"/>
      <c r="AF111" s="346"/>
      <c r="AG111" s="346"/>
      <c r="AH111" s="346"/>
    </row>
    <row r="112" spans="2:34" ht="15" customHeight="1">
      <c r="B112" s="340" t="s">
        <v>46</v>
      </c>
      <c r="C112" s="345">
        <v>534</v>
      </c>
      <c r="D112" s="346">
        <v>0.41</v>
      </c>
      <c r="E112" s="346">
        <v>19.2</v>
      </c>
      <c r="F112" s="346">
        <v>797</v>
      </c>
      <c r="G112" s="346">
        <v>34.299999999999997</v>
      </c>
      <c r="H112" s="346">
        <f>G112*0.61</f>
        <v>20.922999999999998</v>
      </c>
      <c r="I112" s="346">
        <f>G112*0.27</f>
        <v>9.2609999999999992</v>
      </c>
      <c r="J112" s="346">
        <f>G112*0.2</f>
        <v>6.8599999999999994</v>
      </c>
      <c r="K112" s="346">
        <f t="shared" si="6"/>
        <v>373.79999999999995</v>
      </c>
      <c r="L112" s="346">
        <v>0</v>
      </c>
      <c r="M112" s="346">
        <v>0</v>
      </c>
      <c r="N112" s="346">
        <f t="shared" si="7"/>
        <v>534</v>
      </c>
      <c r="O112" s="346">
        <v>0</v>
      </c>
      <c r="P112" s="346">
        <v>36</v>
      </c>
      <c r="Q112" s="346">
        <v>26.3</v>
      </c>
      <c r="R112" s="346">
        <v>7.7</v>
      </c>
      <c r="S112" s="346">
        <v>25.9</v>
      </c>
      <c r="T112" s="346">
        <v>11</v>
      </c>
      <c r="U112" s="346">
        <v>41</v>
      </c>
      <c r="V112" s="346">
        <v>15</v>
      </c>
      <c r="W112" s="346">
        <v>0.5</v>
      </c>
      <c r="X112" s="346">
        <v>125</v>
      </c>
      <c r="Y112" s="346">
        <v>4</v>
      </c>
      <c r="Z112" s="346">
        <v>500</v>
      </c>
      <c r="AA112" s="346">
        <v>400</v>
      </c>
      <c r="AB112" s="346">
        <v>1</v>
      </c>
      <c r="AC112" s="346">
        <v>400</v>
      </c>
      <c r="AD112" s="346">
        <v>30</v>
      </c>
      <c r="AE112" s="346">
        <v>3300</v>
      </c>
      <c r="AF112" s="346">
        <v>800</v>
      </c>
      <c r="AG112" s="346">
        <v>30</v>
      </c>
      <c r="AH112" s="346">
        <v>20</v>
      </c>
    </row>
    <row r="113" spans="2:34" ht="15" customHeight="1">
      <c r="B113" s="340" t="s">
        <v>46</v>
      </c>
      <c r="C113" s="345">
        <v>641</v>
      </c>
      <c r="D113" s="346"/>
      <c r="E113" s="346"/>
      <c r="F113" s="346"/>
      <c r="G113" s="346"/>
      <c r="H113" s="346"/>
      <c r="I113" s="346"/>
      <c r="J113" s="346"/>
      <c r="K113" s="346">
        <f t="shared" si="6"/>
        <v>448.7</v>
      </c>
      <c r="L113" s="346"/>
      <c r="M113" s="346"/>
      <c r="N113" s="346">
        <f t="shared" si="7"/>
        <v>641</v>
      </c>
      <c r="O113" s="346"/>
      <c r="P113" s="346"/>
      <c r="Q113" s="346"/>
      <c r="R113" s="346"/>
      <c r="S113" s="346"/>
      <c r="T113" s="346"/>
      <c r="U113" s="346"/>
      <c r="V113" s="346"/>
      <c r="W113" s="346"/>
      <c r="X113" s="346"/>
      <c r="Y113" s="346"/>
      <c r="Z113" s="346"/>
      <c r="AA113" s="346"/>
      <c r="AB113" s="346"/>
      <c r="AC113" s="346"/>
      <c r="AD113" s="346"/>
      <c r="AE113" s="346"/>
      <c r="AF113" s="346"/>
      <c r="AG113" s="346"/>
      <c r="AH113" s="346"/>
    </row>
    <row r="114" spans="2:34" ht="15" customHeight="1">
      <c r="B114" s="340" t="s">
        <v>40</v>
      </c>
      <c r="C114" s="345">
        <v>200</v>
      </c>
      <c r="D114" s="346">
        <v>0</v>
      </c>
      <c r="E114" s="346">
        <v>8.6999999999999993</v>
      </c>
      <c r="F114" s="346">
        <v>316</v>
      </c>
      <c r="G114" s="346">
        <v>13.6</v>
      </c>
      <c r="H114" s="346">
        <f>G114*0.61</f>
        <v>8.2959999999999994</v>
      </c>
      <c r="I114" s="346">
        <f>G114*0.27</f>
        <v>3.6720000000000002</v>
      </c>
      <c r="J114" s="346">
        <f>G114*0.2</f>
        <v>2.72</v>
      </c>
      <c r="K114" s="346">
        <f t="shared" si="6"/>
        <v>140</v>
      </c>
      <c r="L114" s="346">
        <v>0</v>
      </c>
      <c r="M114" s="346">
        <v>0</v>
      </c>
      <c r="N114" s="346">
        <f t="shared" si="7"/>
        <v>200</v>
      </c>
      <c r="O114" s="346">
        <v>0</v>
      </c>
      <c r="P114" s="346">
        <v>12</v>
      </c>
      <c r="Q114" s="346">
        <v>7.2</v>
      </c>
      <c r="R114" s="346"/>
      <c r="S114" s="346"/>
      <c r="T114" s="346"/>
      <c r="U114" s="346"/>
      <c r="V114" s="346"/>
      <c r="W114" s="346"/>
      <c r="X114" s="346"/>
      <c r="Y114" s="346"/>
      <c r="Z114" s="346"/>
      <c r="AA114" s="346"/>
      <c r="AB114" s="346"/>
      <c r="AC114" s="346"/>
      <c r="AD114" s="346"/>
      <c r="AE114" s="346"/>
      <c r="AF114" s="346"/>
      <c r="AG114" s="346"/>
      <c r="AH114" s="346"/>
    </row>
    <row r="115" spans="2:34" ht="15" customHeight="1">
      <c r="B115" s="340" t="s">
        <v>40</v>
      </c>
      <c r="C115" s="345">
        <v>400</v>
      </c>
      <c r="D115" s="346">
        <v>0</v>
      </c>
      <c r="E115" s="346">
        <v>17.399999999999999</v>
      </c>
      <c r="F115" s="346">
        <v>631</v>
      </c>
      <c r="G115" s="346">
        <v>27.1</v>
      </c>
      <c r="H115" s="346">
        <f>G115*0.61</f>
        <v>16.530999999999999</v>
      </c>
      <c r="I115" s="346">
        <f>G115*0.27</f>
        <v>7.3170000000000011</v>
      </c>
      <c r="J115" s="346">
        <f>G115*0.2</f>
        <v>5.4200000000000008</v>
      </c>
      <c r="K115" s="346">
        <f t="shared" si="6"/>
        <v>280</v>
      </c>
      <c r="L115" s="346">
        <v>0</v>
      </c>
      <c r="M115" s="346">
        <v>0</v>
      </c>
      <c r="N115" s="346">
        <f t="shared" si="7"/>
        <v>400</v>
      </c>
      <c r="O115" s="346">
        <v>0</v>
      </c>
      <c r="P115" s="346">
        <v>24</v>
      </c>
      <c r="Q115" s="346">
        <v>14.4</v>
      </c>
      <c r="R115" s="346"/>
      <c r="S115" s="346"/>
      <c r="T115" s="346"/>
      <c r="U115" s="346"/>
      <c r="V115" s="346"/>
      <c r="W115" s="346"/>
      <c r="X115" s="346"/>
      <c r="Y115" s="346"/>
      <c r="Z115" s="346"/>
      <c r="AA115" s="346"/>
      <c r="AB115" s="346"/>
      <c r="AC115" s="346"/>
      <c r="AD115" s="346"/>
      <c r="AE115" s="346"/>
      <c r="AF115" s="346"/>
      <c r="AG115" s="346"/>
      <c r="AH115" s="346"/>
    </row>
    <row r="116" spans="2:34" ht="15" customHeight="1">
      <c r="B116" s="340" t="s">
        <v>40</v>
      </c>
      <c r="C116" s="345">
        <v>500</v>
      </c>
      <c r="D116" s="346">
        <v>0</v>
      </c>
      <c r="E116" s="346">
        <v>21.8</v>
      </c>
      <c r="F116" s="346">
        <v>789</v>
      </c>
      <c r="G116" s="346">
        <v>33.9</v>
      </c>
      <c r="H116" s="346">
        <f>G116*0.61</f>
        <v>20.678999999999998</v>
      </c>
      <c r="I116" s="346">
        <f>G116*0.27</f>
        <v>9.1530000000000005</v>
      </c>
      <c r="J116" s="346">
        <f>G116*0.2</f>
        <v>6.78</v>
      </c>
      <c r="K116" s="346">
        <f t="shared" si="6"/>
        <v>350</v>
      </c>
      <c r="L116" s="346">
        <v>0</v>
      </c>
      <c r="M116" s="346">
        <v>0</v>
      </c>
      <c r="N116" s="346">
        <f t="shared" si="7"/>
        <v>500</v>
      </c>
      <c r="O116" s="346">
        <v>0</v>
      </c>
      <c r="P116" s="346">
        <v>30</v>
      </c>
      <c r="Q116" s="346">
        <v>18</v>
      </c>
      <c r="R116" s="346">
        <v>9.5</v>
      </c>
      <c r="S116" s="346">
        <v>28.5</v>
      </c>
      <c r="T116" s="346">
        <v>13.9</v>
      </c>
      <c r="U116" s="346">
        <v>46.6</v>
      </c>
      <c r="V116" s="346">
        <v>15</v>
      </c>
      <c r="W116" s="346">
        <v>0.5</v>
      </c>
      <c r="X116" s="346">
        <v>100</v>
      </c>
      <c r="Y116" s="346">
        <v>3.5</v>
      </c>
      <c r="Z116" s="346">
        <v>400</v>
      </c>
      <c r="AA116" s="346">
        <v>400</v>
      </c>
      <c r="AB116" s="346">
        <v>1</v>
      </c>
      <c r="AC116" s="346">
        <v>400</v>
      </c>
      <c r="AD116" s="346">
        <v>22.5</v>
      </c>
      <c r="AE116" s="346">
        <v>3300</v>
      </c>
      <c r="AF116" s="346">
        <v>800</v>
      </c>
      <c r="AG116" s="346">
        <v>30</v>
      </c>
      <c r="AH116" s="346">
        <v>20</v>
      </c>
    </row>
    <row r="117" spans="2:34" ht="15" customHeight="1">
      <c r="B117" s="340" t="s">
        <v>40</v>
      </c>
      <c r="C117" s="345">
        <v>600</v>
      </c>
      <c r="D117" s="346">
        <v>0</v>
      </c>
      <c r="E117" s="346"/>
      <c r="F117" s="346"/>
      <c r="G117" s="346"/>
      <c r="H117" s="346"/>
      <c r="I117" s="346"/>
      <c r="J117" s="346"/>
      <c r="K117" s="346">
        <f t="shared" si="6"/>
        <v>420</v>
      </c>
      <c r="L117" s="346"/>
      <c r="M117" s="346"/>
      <c r="N117" s="346">
        <f t="shared" si="7"/>
        <v>600</v>
      </c>
      <c r="O117" s="346"/>
      <c r="P117" s="346"/>
      <c r="Q117" s="346"/>
      <c r="R117" s="346"/>
      <c r="S117" s="346"/>
      <c r="T117" s="346"/>
      <c r="U117" s="346"/>
      <c r="V117" s="346"/>
      <c r="W117" s="346"/>
      <c r="X117" s="346"/>
      <c r="Y117" s="346"/>
      <c r="Z117" s="346"/>
      <c r="AA117" s="346"/>
      <c r="AB117" s="346"/>
      <c r="AC117" s="346"/>
      <c r="AD117" s="346"/>
      <c r="AE117" s="346"/>
      <c r="AF117" s="346"/>
      <c r="AG117" s="346"/>
      <c r="AH117" s="346"/>
    </row>
    <row r="118" spans="2:34" ht="15" customHeight="1">
      <c r="B118" s="340" t="s">
        <v>39</v>
      </c>
      <c r="C118" s="345">
        <v>200</v>
      </c>
      <c r="D118" s="346">
        <v>0</v>
      </c>
      <c r="E118" s="346">
        <v>7.3</v>
      </c>
      <c r="F118" s="346">
        <v>288</v>
      </c>
      <c r="G118" s="346">
        <v>12.4</v>
      </c>
      <c r="H118" s="346">
        <f>G118*0.61</f>
        <v>7.5640000000000001</v>
      </c>
      <c r="I118" s="346">
        <f>G118*0.27</f>
        <v>3.3480000000000003</v>
      </c>
      <c r="J118" s="346">
        <f>G118*0.2</f>
        <v>2.4800000000000004</v>
      </c>
      <c r="K118" s="346">
        <f t="shared" si="6"/>
        <v>140</v>
      </c>
      <c r="L118" s="346">
        <v>0</v>
      </c>
      <c r="M118" s="346">
        <v>0</v>
      </c>
      <c r="N118" s="346">
        <f t="shared" si="7"/>
        <v>200</v>
      </c>
      <c r="O118" s="346">
        <v>0</v>
      </c>
      <c r="P118" s="346">
        <v>8</v>
      </c>
      <c r="Q118" s="346">
        <v>5.6</v>
      </c>
      <c r="R118" s="346"/>
      <c r="S118" s="346"/>
      <c r="T118" s="346"/>
      <c r="U118" s="346"/>
      <c r="V118" s="346"/>
      <c r="W118" s="346"/>
      <c r="X118" s="346"/>
      <c r="Y118" s="346"/>
      <c r="Z118" s="346"/>
      <c r="AA118" s="346"/>
      <c r="AB118" s="346"/>
      <c r="AC118" s="346"/>
      <c r="AD118" s="346"/>
      <c r="AE118" s="346"/>
      <c r="AF118" s="346"/>
      <c r="AG118" s="346"/>
      <c r="AH118" s="346"/>
    </row>
    <row r="119" spans="2:34" ht="15" customHeight="1">
      <c r="B119" s="340" t="s">
        <v>39</v>
      </c>
      <c r="C119" s="345">
        <v>400</v>
      </c>
      <c r="D119" s="346">
        <v>0</v>
      </c>
      <c r="E119" s="346">
        <v>14.5</v>
      </c>
      <c r="F119" s="346">
        <v>576</v>
      </c>
      <c r="G119" s="346">
        <v>24.8</v>
      </c>
      <c r="H119" s="346">
        <f>G119*0.61</f>
        <v>15.128</v>
      </c>
      <c r="I119" s="346">
        <f>G119*0.27</f>
        <v>6.6960000000000006</v>
      </c>
      <c r="J119" s="346">
        <f>G119*0.2</f>
        <v>4.9600000000000009</v>
      </c>
      <c r="K119" s="346">
        <f t="shared" si="6"/>
        <v>280</v>
      </c>
      <c r="L119" s="346">
        <v>0</v>
      </c>
      <c r="M119" s="346">
        <v>0</v>
      </c>
      <c r="N119" s="346">
        <f t="shared" si="7"/>
        <v>400</v>
      </c>
      <c r="O119" s="346">
        <v>0</v>
      </c>
      <c r="P119" s="346">
        <v>16</v>
      </c>
      <c r="Q119" s="346">
        <v>11.2</v>
      </c>
      <c r="R119" s="346"/>
      <c r="S119" s="346"/>
      <c r="T119" s="346"/>
      <c r="U119" s="346"/>
      <c r="V119" s="346"/>
      <c r="W119" s="346"/>
      <c r="X119" s="346"/>
      <c r="Y119" s="346"/>
      <c r="Z119" s="346"/>
      <c r="AA119" s="346"/>
      <c r="AB119" s="346"/>
      <c r="AC119" s="346"/>
      <c r="AD119" s="346"/>
      <c r="AE119" s="346"/>
      <c r="AF119" s="346"/>
      <c r="AG119" s="346"/>
      <c r="AH119" s="346"/>
    </row>
    <row r="120" spans="2:34" ht="15" customHeight="1">
      <c r="B120" s="340" t="s">
        <v>39</v>
      </c>
      <c r="C120" s="345">
        <v>500</v>
      </c>
      <c r="D120" s="346">
        <v>0</v>
      </c>
      <c r="E120" s="346">
        <v>18.2</v>
      </c>
      <c r="F120" s="346">
        <v>720</v>
      </c>
      <c r="G120" s="346">
        <v>31</v>
      </c>
      <c r="H120" s="346">
        <f>G120*0.61</f>
        <v>18.91</v>
      </c>
      <c r="I120" s="346">
        <f>G120*0.27</f>
        <v>8.370000000000001</v>
      </c>
      <c r="J120" s="346">
        <f>G120*0.2</f>
        <v>6.2</v>
      </c>
      <c r="K120" s="346">
        <f t="shared" si="6"/>
        <v>350</v>
      </c>
      <c r="L120" s="346">
        <v>0</v>
      </c>
      <c r="M120" s="346">
        <v>0</v>
      </c>
      <c r="N120" s="346">
        <f t="shared" si="7"/>
        <v>500</v>
      </c>
      <c r="O120" s="346">
        <v>0</v>
      </c>
      <c r="P120" s="346">
        <v>20</v>
      </c>
      <c r="Q120" s="346">
        <v>14</v>
      </c>
      <c r="R120" s="346">
        <v>7.5</v>
      </c>
      <c r="S120" s="346">
        <v>25</v>
      </c>
      <c r="T120" s="346">
        <v>10</v>
      </c>
      <c r="U120" s="346">
        <v>40</v>
      </c>
      <c r="V120" s="346">
        <v>15</v>
      </c>
      <c r="W120" s="346">
        <v>0.5</v>
      </c>
      <c r="X120" s="346">
        <v>100</v>
      </c>
      <c r="Y120" s="346">
        <v>3.5</v>
      </c>
      <c r="Z120" s="346">
        <v>400</v>
      </c>
      <c r="AA120" s="346">
        <v>400</v>
      </c>
      <c r="AB120" s="346">
        <v>1</v>
      </c>
      <c r="AC120" s="346">
        <v>400</v>
      </c>
      <c r="AD120" s="346">
        <v>15</v>
      </c>
      <c r="AE120" s="346">
        <v>3300</v>
      </c>
      <c r="AF120" s="346">
        <v>500</v>
      </c>
      <c r="AG120" s="346">
        <v>30</v>
      </c>
      <c r="AH120" s="346">
        <v>20</v>
      </c>
    </row>
    <row r="121" spans="2:34" ht="15" customHeight="1">
      <c r="B121" s="340" t="s">
        <v>39</v>
      </c>
      <c r="C121" s="345">
        <v>600</v>
      </c>
      <c r="D121" s="346">
        <v>0</v>
      </c>
      <c r="E121" s="346"/>
      <c r="F121" s="346"/>
      <c r="G121" s="346"/>
      <c r="H121" s="346"/>
      <c r="I121" s="346"/>
      <c r="J121" s="346"/>
      <c r="K121" s="346">
        <f t="shared" si="6"/>
        <v>420</v>
      </c>
      <c r="L121" s="346"/>
      <c r="M121" s="346"/>
      <c r="N121" s="346">
        <f t="shared" si="7"/>
        <v>600</v>
      </c>
      <c r="O121" s="346"/>
      <c r="P121" s="346"/>
      <c r="Q121" s="346"/>
      <c r="R121" s="346"/>
      <c r="S121" s="346"/>
      <c r="T121" s="346"/>
      <c r="U121" s="346"/>
      <c r="V121" s="346"/>
      <c r="W121" s="346"/>
      <c r="X121" s="346"/>
      <c r="Y121" s="346"/>
      <c r="Z121" s="346"/>
      <c r="AA121" s="346"/>
      <c r="AB121" s="346"/>
      <c r="AC121" s="346"/>
      <c r="AD121" s="346"/>
      <c r="AE121" s="346"/>
      <c r="AF121" s="346"/>
      <c r="AG121" s="346"/>
      <c r="AH121" s="346"/>
    </row>
    <row r="122" spans="2:34" ht="15" customHeight="1">
      <c r="B122" s="340" t="s">
        <v>35</v>
      </c>
      <c r="C122" s="345">
        <v>200</v>
      </c>
      <c r="D122" s="346">
        <v>0</v>
      </c>
      <c r="E122" s="346">
        <v>8</v>
      </c>
      <c r="F122" s="346">
        <v>80</v>
      </c>
      <c r="G122" s="346">
        <v>12</v>
      </c>
      <c r="H122" s="346">
        <f>G122*0.61</f>
        <v>7.32</v>
      </c>
      <c r="I122" s="346">
        <f>G122*0.27</f>
        <v>3.24</v>
      </c>
      <c r="J122" s="346">
        <f>G122*0.2</f>
        <v>2.4000000000000004</v>
      </c>
      <c r="K122" s="346">
        <f t="shared" si="6"/>
        <v>140</v>
      </c>
      <c r="L122" s="346">
        <v>0</v>
      </c>
      <c r="M122" s="346">
        <v>0</v>
      </c>
      <c r="N122" s="346">
        <f t="shared" si="7"/>
        <v>200</v>
      </c>
      <c r="O122" s="346">
        <v>0</v>
      </c>
      <c r="P122" s="346">
        <v>12</v>
      </c>
      <c r="Q122" s="346">
        <v>7.2</v>
      </c>
      <c r="R122" s="346"/>
      <c r="S122" s="346"/>
      <c r="T122" s="346"/>
      <c r="U122" s="346"/>
      <c r="V122" s="346"/>
      <c r="W122" s="346"/>
      <c r="X122" s="346"/>
      <c r="Y122" s="346"/>
      <c r="Z122" s="346"/>
      <c r="AA122" s="346"/>
      <c r="AB122" s="346"/>
      <c r="AC122" s="346"/>
      <c r="AD122" s="346"/>
      <c r="AE122" s="346"/>
      <c r="AF122" s="346"/>
      <c r="AG122" s="346"/>
      <c r="AH122" s="346"/>
    </row>
    <row r="123" spans="2:34" ht="15" customHeight="1">
      <c r="B123" s="340" t="s">
        <v>35</v>
      </c>
      <c r="C123" s="345">
        <v>400</v>
      </c>
      <c r="D123" s="346">
        <v>0</v>
      </c>
      <c r="E123" s="346">
        <v>16</v>
      </c>
      <c r="F123" s="346">
        <v>559</v>
      </c>
      <c r="G123" s="346">
        <v>24.1</v>
      </c>
      <c r="H123" s="346">
        <f>G123*0.61</f>
        <v>14.701000000000001</v>
      </c>
      <c r="I123" s="346">
        <f>G123*0.27</f>
        <v>6.5070000000000006</v>
      </c>
      <c r="J123" s="346">
        <f>G123*0.2</f>
        <v>4.82</v>
      </c>
      <c r="K123" s="346">
        <f t="shared" si="6"/>
        <v>280</v>
      </c>
      <c r="L123" s="346">
        <v>0</v>
      </c>
      <c r="M123" s="346">
        <v>0</v>
      </c>
      <c r="N123" s="346">
        <f t="shared" si="7"/>
        <v>400</v>
      </c>
      <c r="O123" s="346">
        <v>0</v>
      </c>
      <c r="P123" s="346">
        <v>14</v>
      </c>
      <c r="Q123" s="346">
        <v>14.4</v>
      </c>
      <c r="R123" s="346"/>
      <c r="S123" s="346"/>
      <c r="T123" s="346"/>
      <c r="U123" s="346"/>
      <c r="V123" s="346"/>
      <c r="W123" s="346"/>
      <c r="X123" s="346"/>
      <c r="Y123" s="346"/>
      <c r="Z123" s="346"/>
      <c r="AA123" s="346"/>
      <c r="AB123" s="346"/>
      <c r="AC123" s="346"/>
      <c r="AD123" s="346"/>
      <c r="AE123" s="346"/>
      <c r="AF123" s="346"/>
      <c r="AG123" s="346"/>
      <c r="AH123" s="346"/>
    </row>
    <row r="124" spans="2:34" ht="15" customHeight="1">
      <c r="B124" s="340" t="s">
        <v>35</v>
      </c>
      <c r="C124" s="345">
        <v>500</v>
      </c>
      <c r="D124" s="346">
        <v>0</v>
      </c>
      <c r="E124" s="346">
        <v>26.6</v>
      </c>
      <c r="F124" s="346">
        <v>862</v>
      </c>
      <c r="G124" s="346">
        <v>37.1</v>
      </c>
      <c r="H124" s="346">
        <f>G124*0.61</f>
        <v>22.631</v>
      </c>
      <c r="I124" s="346">
        <f>G124*0.27</f>
        <v>10.017000000000001</v>
      </c>
      <c r="J124" s="346">
        <f>G124*0.2</f>
        <v>7.4200000000000008</v>
      </c>
      <c r="K124" s="346">
        <f t="shared" si="6"/>
        <v>350</v>
      </c>
      <c r="L124" s="346">
        <v>0</v>
      </c>
      <c r="M124" s="346">
        <v>0</v>
      </c>
      <c r="N124" s="346">
        <f t="shared" si="7"/>
        <v>500</v>
      </c>
      <c r="O124" s="346">
        <v>0</v>
      </c>
      <c r="P124" s="346">
        <v>40</v>
      </c>
      <c r="Q124" s="346">
        <v>29</v>
      </c>
      <c r="R124" s="346">
        <v>15</v>
      </c>
      <c r="S124" s="346">
        <v>39</v>
      </c>
      <c r="T124" s="346">
        <v>25.5</v>
      </c>
      <c r="U124" s="346">
        <v>66.5</v>
      </c>
      <c r="V124" s="346">
        <v>18.8</v>
      </c>
      <c r="W124" s="346">
        <v>0.6</v>
      </c>
      <c r="X124" s="346">
        <v>125</v>
      </c>
      <c r="Y124" s="346">
        <v>4.4000000000000004</v>
      </c>
      <c r="Z124" s="346">
        <v>500</v>
      </c>
      <c r="AA124" s="346">
        <v>500</v>
      </c>
      <c r="AB124" s="346">
        <v>1.25</v>
      </c>
      <c r="AC124" s="346">
        <v>500</v>
      </c>
      <c r="AD124" s="346">
        <v>22.5</v>
      </c>
      <c r="AE124" s="346">
        <v>3300</v>
      </c>
      <c r="AF124" s="346">
        <v>1000</v>
      </c>
      <c r="AG124" s="346">
        <v>62.5</v>
      </c>
      <c r="AH124" s="346">
        <v>25</v>
      </c>
    </row>
    <row r="125" spans="2:34" ht="15" customHeight="1">
      <c r="B125" s="340" t="s">
        <v>35</v>
      </c>
      <c r="C125" s="345">
        <v>600</v>
      </c>
      <c r="D125" s="346">
        <v>0</v>
      </c>
      <c r="E125" s="346"/>
      <c r="F125" s="346"/>
      <c r="G125" s="346"/>
      <c r="H125" s="346"/>
      <c r="I125" s="346"/>
      <c r="J125" s="346"/>
      <c r="K125" s="346">
        <f t="shared" si="6"/>
        <v>420</v>
      </c>
      <c r="L125" s="346"/>
      <c r="M125" s="346"/>
      <c r="N125" s="346">
        <f t="shared" si="7"/>
        <v>600</v>
      </c>
      <c r="O125" s="346"/>
      <c r="P125" s="346"/>
      <c r="Q125" s="346"/>
      <c r="R125" s="346"/>
      <c r="S125" s="346"/>
      <c r="T125" s="346"/>
      <c r="U125" s="346"/>
      <c r="V125" s="346"/>
      <c r="W125" s="346"/>
      <c r="X125" s="346"/>
      <c r="Y125" s="346"/>
      <c r="Z125" s="346"/>
      <c r="AA125" s="346"/>
      <c r="AB125" s="346"/>
      <c r="AC125" s="346"/>
      <c r="AD125" s="346"/>
      <c r="AE125" s="346"/>
      <c r="AF125" s="346"/>
      <c r="AG125" s="346"/>
      <c r="AH125" s="346"/>
    </row>
    <row r="126" spans="2:34" ht="15" customHeight="1">
      <c r="B126" s="340" t="s">
        <v>36</v>
      </c>
      <c r="C126" s="345">
        <v>200</v>
      </c>
      <c r="D126" s="346">
        <v>0</v>
      </c>
      <c r="E126" s="346">
        <v>9.3000000000000007</v>
      </c>
      <c r="F126" s="346">
        <v>307</v>
      </c>
      <c r="G126" s="346">
        <v>13.2</v>
      </c>
      <c r="H126" s="346">
        <f>G126*0.61</f>
        <v>8.0519999999999996</v>
      </c>
      <c r="I126" s="346">
        <f>G126*0.27</f>
        <v>3.5640000000000001</v>
      </c>
      <c r="J126" s="346">
        <f>G126*0.2</f>
        <v>2.64</v>
      </c>
      <c r="K126" s="346">
        <f t="shared" si="6"/>
        <v>140</v>
      </c>
      <c r="L126" s="346">
        <v>0</v>
      </c>
      <c r="M126" s="346">
        <v>0</v>
      </c>
      <c r="N126" s="346">
        <f t="shared" si="7"/>
        <v>200</v>
      </c>
      <c r="O126" s="346">
        <v>0</v>
      </c>
      <c r="P126" s="346">
        <v>14</v>
      </c>
      <c r="Q126" s="346">
        <v>8.4</v>
      </c>
      <c r="R126" s="346"/>
      <c r="S126" s="346"/>
      <c r="T126" s="346"/>
      <c r="U126" s="346"/>
      <c r="V126" s="346"/>
      <c r="W126" s="346"/>
      <c r="X126" s="346"/>
      <c r="Y126" s="346"/>
      <c r="Z126" s="346"/>
      <c r="AA126" s="346"/>
      <c r="AB126" s="346"/>
      <c r="AC126" s="346"/>
      <c r="AD126" s="346"/>
      <c r="AE126" s="346"/>
      <c r="AF126" s="346"/>
      <c r="AG126" s="346"/>
      <c r="AH126" s="346"/>
    </row>
    <row r="127" spans="2:34" ht="15" customHeight="1">
      <c r="B127" s="340" t="s">
        <v>36</v>
      </c>
      <c r="C127" s="345">
        <v>400</v>
      </c>
      <c r="D127" s="346">
        <v>0</v>
      </c>
      <c r="E127" s="346">
        <v>18.600000000000001</v>
      </c>
      <c r="F127" s="346">
        <v>614</v>
      </c>
      <c r="G127" s="346">
        <v>26.4</v>
      </c>
      <c r="H127" s="346">
        <f>G127*0.61</f>
        <v>16.103999999999999</v>
      </c>
      <c r="I127" s="346">
        <f>G127*0.27</f>
        <v>7.1280000000000001</v>
      </c>
      <c r="J127" s="346">
        <f>G127*0.2</f>
        <v>5.28</v>
      </c>
      <c r="K127" s="346">
        <f t="shared" si="6"/>
        <v>280</v>
      </c>
      <c r="L127" s="346">
        <v>0</v>
      </c>
      <c r="M127" s="346">
        <v>0</v>
      </c>
      <c r="N127" s="346">
        <f t="shared" si="7"/>
        <v>400</v>
      </c>
      <c r="O127" s="346">
        <v>0</v>
      </c>
      <c r="P127" s="346">
        <v>18</v>
      </c>
      <c r="Q127" s="346">
        <v>16.8</v>
      </c>
      <c r="R127" s="346"/>
      <c r="S127" s="346"/>
      <c r="T127" s="346"/>
      <c r="U127" s="346"/>
      <c r="V127" s="346"/>
      <c r="W127" s="346"/>
      <c r="X127" s="346"/>
      <c r="Y127" s="346"/>
      <c r="Z127" s="346"/>
      <c r="AA127" s="346"/>
      <c r="AB127" s="346"/>
      <c r="AC127" s="346"/>
      <c r="AD127" s="346"/>
      <c r="AE127" s="346"/>
      <c r="AF127" s="346"/>
      <c r="AG127" s="346"/>
      <c r="AH127" s="346"/>
    </row>
    <row r="128" spans="2:34" ht="15" customHeight="1">
      <c r="B128" s="344" t="s">
        <v>36</v>
      </c>
      <c r="C128" s="345">
        <v>500</v>
      </c>
      <c r="D128" s="346">
        <v>0</v>
      </c>
      <c r="E128" s="346">
        <v>20</v>
      </c>
      <c r="F128" s="346">
        <v>699</v>
      </c>
      <c r="G128" s="346">
        <v>30.1</v>
      </c>
      <c r="H128" s="346">
        <f>G128*0.61</f>
        <v>18.361000000000001</v>
      </c>
      <c r="I128" s="346">
        <f>G128*0.27</f>
        <v>8.1270000000000007</v>
      </c>
      <c r="J128" s="346">
        <f>G128*0.2</f>
        <v>6.0200000000000005</v>
      </c>
      <c r="K128" s="346">
        <f t="shared" si="6"/>
        <v>350</v>
      </c>
      <c r="L128" s="346">
        <v>0</v>
      </c>
      <c r="M128" s="346">
        <v>0</v>
      </c>
      <c r="N128" s="346">
        <f t="shared" si="7"/>
        <v>500</v>
      </c>
      <c r="O128" s="346">
        <v>0</v>
      </c>
      <c r="P128" s="346">
        <v>30</v>
      </c>
      <c r="Q128" s="346">
        <v>18</v>
      </c>
      <c r="R128" s="346">
        <v>9.5</v>
      </c>
      <c r="S128" s="346">
        <v>28.5</v>
      </c>
      <c r="T128" s="346">
        <v>13.9</v>
      </c>
      <c r="U128" s="346">
        <v>46.6</v>
      </c>
      <c r="V128" s="346">
        <v>15</v>
      </c>
      <c r="W128" s="346">
        <v>0.5</v>
      </c>
      <c r="X128" s="346">
        <v>100</v>
      </c>
      <c r="Y128" s="346">
        <v>3.5</v>
      </c>
      <c r="Z128" s="346">
        <v>400</v>
      </c>
      <c r="AA128" s="346">
        <v>400</v>
      </c>
      <c r="AB128" s="346">
        <v>1</v>
      </c>
      <c r="AC128" s="346">
        <v>400</v>
      </c>
      <c r="AD128" s="346">
        <v>22.5</v>
      </c>
      <c r="AE128" s="346">
        <v>3300</v>
      </c>
      <c r="AF128" s="346">
        <v>800</v>
      </c>
      <c r="AG128" s="346">
        <v>30</v>
      </c>
      <c r="AH128" s="346">
        <v>20</v>
      </c>
    </row>
    <row r="129" spans="2:34" ht="15" customHeight="1">
      <c r="B129" s="340" t="s">
        <v>36</v>
      </c>
      <c r="C129" s="345">
        <v>600</v>
      </c>
      <c r="D129" s="346">
        <v>0</v>
      </c>
      <c r="E129" s="346"/>
      <c r="F129" s="346"/>
      <c r="G129" s="346"/>
      <c r="H129" s="346"/>
      <c r="I129" s="346"/>
      <c r="J129" s="346"/>
      <c r="K129" s="346">
        <f t="shared" si="6"/>
        <v>420</v>
      </c>
      <c r="L129" s="346"/>
      <c r="M129" s="346"/>
      <c r="N129" s="346">
        <f t="shared" si="7"/>
        <v>600</v>
      </c>
      <c r="O129" s="346"/>
      <c r="P129" s="346"/>
      <c r="Q129" s="346"/>
      <c r="R129" s="346"/>
      <c r="S129" s="346"/>
      <c r="T129" s="346"/>
      <c r="U129" s="346"/>
      <c r="V129" s="346"/>
      <c r="W129" s="346"/>
      <c r="X129" s="346"/>
      <c r="Y129" s="346"/>
      <c r="Z129" s="346"/>
      <c r="AA129" s="346"/>
      <c r="AB129" s="346"/>
      <c r="AC129" s="346"/>
      <c r="AD129" s="346"/>
      <c r="AE129" s="346"/>
      <c r="AF129" s="346"/>
      <c r="AG129" s="346"/>
      <c r="AH129" s="346"/>
    </row>
    <row r="130" spans="2:34" ht="15" customHeight="1">
      <c r="B130" s="340" t="s">
        <v>65</v>
      </c>
      <c r="C130" s="345">
        <v>200</v>
      </c>
      <c r="D130" s="346">
        <v>0</v>
      </c>
      <c r="E130" s="346" t="s">
        <v>66</v>
      </c>
      <c r="F130" s="346">
        <v>345</v>
      </c>
      <c r="G130" s="346">
        <v>14.8</v>
      </c>
      <c r="H130" s="346">
        <f>G130*0.61</f>
        <v>9.0280000000000005</v>
      </c>
      <c r="I130" s="346">
        <f>G130*0.27</f>
        <v>3.9960000000000004</v>
      </c>
      <c r="J130" s="346">
        <f>G130*0.2</f>
        <v>2.9600000000000004</v>
      </c>
      <c r="K130" s="346">
        <f t="shared" ref="K130:K137" si="8">C130*0.7</f>
        <v>140</v>
      </c>
      <c r="L130" s="346">
        <v>0</v>
      </c>
      <c r="M130" s="346">
        <v>0</v>
      </c>
      <c r="N130" s="346">
        <f t="shared" ref="N130:N137" si="9">(C130*0.1%)*1000</f>
        <v>200</v>
      </c>
      <c r="O130" s="346">
        <v>0</v>
      </c>
      <c r="P130" s="346">
        <v>16</v>
      </c>
      <c r="Q130" s="346">
        <v>11.6</v>
      </c>
      <c r="R130" s="346"/>
      <c r="S130" s="346"/>
      <c r="T130" s="346"/>
      <c r="U130" s="346"/>
      <c r="V130" s="346"/>
      <c r="W130" s="346"/>
      <c r="X130" s="346"/>
      <c r="Y130" s="346"/>
      <c r="Z130" s="346"/>
      <c r="AA130" s="346"/>
      <c r="AB130" s="346"/>
      <c r="AC130" s="346"/>
      <c r="AD130" s="346"/>
      <c r="AE130" s="346"/>
      <c r="AF130" s="346"/>
      <c r="AG130" s="346"/>
      <c r="AH130" s="346"/>
    </row>
    <row r="131" spans="2:34" ht="15" customHeight="1">
      <c r="B131" s="340" t="s">
        <v>65</v>
      </c>
      <c r="C131" s="345">
        <v>400</v>
      </c>
      <c r="D131" s="346">
        <v>0</v>
      </c>
      <c r="E131" s="346">
        <v>21.3</v>
      </c>
      <c r="F131" s="346">
        <v>689</v>
      </c>
      <c r="G131" s="346">
        <v>29.6</v>
      </c>
      <c r="H131" s="346">
        <f>G131*0.61</f>
        <v>18.056000000000001</v>
      </c>
      <c r="I131" s="346">
        <f>G131*0.27</f>
        <v>7.9920000000000009</v>
      </c>
      <c r="J131" s="346">
        <f>G131*0.2</f>
        <v>5.9200000000000008</v>
      </c>
      <c r="K131" s="346">
        <f t="shared" si="8"/>
        <v>280</v>
      </c>
      <c r="L131" s="346">
        <v>0</v>
      </c>
      <c r="M131" s="346">
        <v>0</v>
      </c>
      <c r="N131" s="346">
        <f t="shared" si="9"/>
        <v>400</v>
      </c>
      <c r="O131" s="346">
        <v>0</v>
      </c>
      <c r="P131" s="346">
        <v>32</v>
      </c>
      <c r="Q131" s="346">
        <v>23.2</v>
      </c>
      <c r="R131" s="346"/>
      <c r="S131" s="346"/>
      <c r="T131" s="346"/>
      <c r="U131" s="346"/>
      <c r="V131" s="346"/>
      <c r="W131" s="346"/>
      <c r="X131" s="346"/>
      <c r="Y131" s="346"/>
      <c r="Z131" s="346"/>
      <c r="AA131" s="346"/>
      <c r="AB131" s="346"/>
      <c r="AC131" s="346"/>
      <c r="AD131" s="346"/>
      <c r="AE131" s="346"/>
      <c r="AF131" s="346"/>
      <c r="AG131" s="346"/>
      <c r="AH131" s="346"/>
    </row>
    <row r="132" spans="2:34" ht="15" customHeight="1">
      <c r="B132" s="340" t="s">
        <v>65</v>
      </c>
      <c r="C132" s="345">
        <v>500</v>
      </c>
      <c r="D132" s="346">
        <v>0</v>
      </c>
      <c r="E132" s="346">
        <v>23.3</v>
      </c>
      <c r="F132" s="346">
        <v>768</v>
      </c>
      <c r="G132" s="346">
        <v>33</v>
      </c>
      <c r="H132" s="346">
        <f>G132*0.61</f>
        <v>20.13</v>
      </c>
      <c r="I132" s="346">
        <f>G132*0.27</f>
        <v>8.91</v>
      </c>
      <c r="J132" s="346">
        <f>G132*0.2</f>
        <v>6.6000000000000005</v>
      </c>
      <c r="K132" s="346">
        <f t="shared" si="8"/>
        <v>350</v>
      </c>
      <c r="L132" s="346">
        <v>0</v>
      </c>
      <c r="M132" s="346">
        <v>0</v>
      </c>
      <c r="N132" s="346">
        <f t="shared" si="9"/>
        <v>500</v>
      </c>
      <c r="O132" s="346">
        <v>0</v>
      </c>
      <c r="P132" s="346">
        <v>35</v>
      </c>
      <c r="Q132" s="346">
        <v>21</v>
      </c>
      <c r="R132" s="346">
        <v>11.5</v>
      </c>
      <c r="S132" s="346">
        <v>32</v>
      </c>
      <c r="T132" s="346">
        <v>17.8</v>
      </c>
      <c r="U132" s="346">
        <v>53.3</v>
      </c>
      <c r="V132" s="346">
        <v>16.899999999999999</v>
      </c>
      <c r="W132" s="346">
        <v>0.6</v>
      </c>
      <c r="X132" s="346">
        <v>112.5</v>
      </c>
      <c r="Y132" s="346">
        <v>4</v>
      </c>
      <c r="Z132" s="346">
        <v>450</v>
      </c>
      <c r="AA132" s="346">
        <v>450</v>
      </c>
      <c r="AB132" s="346">
        <v>1.1299999999999999</v>
      </c>
      <c r="AC132" s="346">
        <v>450</v>
      </c>
      <c r="AD132" s="346">
        <v>22.5</v>
      </c>
      <c r="AE132" s="346">
        <v>3300</v>
      </c>
      <c r="AF132" s="346">
        <v>900</v>
      </c>
      <c r="AG132" s="346">
        <v>46.3</v>
      </c>
      <c r="AH132" s="346">
        <v>22.5</v>
      </c>
    </row>
    <row r="133" spans="2:34" ht="15" customHeight="1">
      <c r="B133" s="340" t="s">
        <v>65</v>
      </c>
      <c r="C133" s="345">
        <v>600</v>
      </c>
      <c r="D133" s="346">
        <v>0</v>
      </c>
      <c r="E133" s="346"/>
      <c r="F133" s="346"/>
      <c r="G133" s="346"/>
      <c r="H133" s="346"/>
      <c r="I133" s="346"/>
      <c r="J133" s="346"/>
      <c r="K133" s="346">
        <f t="shared" si="8"/>
        <v>420</v>
      </c>
      <c r="L133" s="346"/>
      <c r="M133" s="346"/>
      <c r="N133" s="346">
        <f t="shared" si="9"/>
        <v>600</v>
      </c>
      <c r="O133" s="346"/>
      <c r="P133" s="346"/>
      <c r="Q133" s="346"/>
      <c r="R133" s="346"/>
      <c r="S133" s="346"/>
      <c r="T133" s="346"/>
      <c r="U133" s="346"/>
      <c r="V133" s="346"/>
      <c r="W133" s="346"/>
      <c r="X133" s="346"/>
      <c r="Y133" s="346"/>
      <c r="Z133" s="346"/>
      <c r="AA133" s="346"/>
      <c r="AB133" s="346"/>
      <c r="AC133" s="346"/>
      <c r="AD133" s="346"/>
      <c r="AE133" s="346"/>
      <c r="AF133" s="346"/>
      <c r="AG133" s="346"/>
      <c r="AH133" s="346"/>
    </row>
    <row r="134" spans="2:34" ht="15" customHeight="1">
      <c r="B134" s="340" t="s">
        <v>38</v>
      </c>
      <c r="C134" s="345">
        <v>200</v>
      </c>
      <c r="D134" s="346">
        <v>0</v>
      </c>
      <c r="E134" s="346">
        <v>13.8</v>
      </c>
      <c r="F134" s="346">
        <v>402</v>
      </c>
      <c r="G134" s="346">
        <v>17.3</v>
      </c>
      <c r="H134" s="346">
        <f>G134*0.61</f>
        <v>10.553000000000001</v>
      </c>
      <c r="I134" s="346">
        <f>G134*0.27</f>
        <v>4.6710000000000003</v>
      </c>
      <c r="J134" s="346">
        <f>G134*0.2</f>
        <v>3.4600000000000004</v>
      </c>
      <c r="K134" s="346">
        <f t="shared" si="8"/>
        <v>140</v>
      </c>
      <c r="L134" s="346">
        <v>0</v>
      </c>
      <c r="M134" s="346">
        <v>0</v>
      </c>
      <c r="N134" s="346">
        <f t="shared" si="9"/>
        <v>200</v>
      </c>
      <c r="O134" s="346">
        <v>0</v>
      </c>
      <c r="P134" s="346">
        <v>16</v>
      </c>
      <c r="Q134" s="346">
        <v>11.6</v>
      </c>
      <c r="R134" s="346"/>
      <c r="S134" s="346"/>
      <c r="T134" s="346"/>
      <c r="U134" s="346"/>
      <c r="V134" s="346"/>
      <c r="W134" s="346"/>
      <c r="X134" s="346"/>
      <c r="Y134" s="346"/>
      <c r="Z134" s="346"/>
      <c r="AA134" s="346"/>
      <c r="AB134" s="346"/>
      <c r="AC134" s="346"/>
      <c r="AD134" s="346"/>
      <c r="AE134" s="346"/>
      <c r="AF134" s="346"/>
      <c r="AG134" s="346"/>
      <c r="AH134" s="346"/>
    </row>
    <row r="135" spans="2:34" ht="15.75" customHeight="1">
      <c r="B135" s="347" t="s">
        <v>38</v>
      </c>
      <c r="C135" s="348">
        <v>400</v>
      </c>
      <c r="D135" s="17">
        <v>0</v>
      </c>
      <c r="E135" s="17">
        <v>27.6</v>
      </c>
      <c r="F135" s="17">
        <v>804</v>
      </c>
      <c r="G135" s="17">
        <v>34.6</v>
      </c>
      <c r="H135" s="17">
        <f>G135*0.61</f>
        <v>21.106000000000002</v>
      </c>
      <c r="I135" s="17">
        <f>G135*0.27</f>
        <v>9.3420000000000005</v>
      </c>
      <c r="J135" s="17">
        <f>G135*0.2</f>
        <v>6.9200000000000008</v>
      </c>
      <c r="K135" s="17">
        <f t="shared" si="8"/>
        <v>280</v>
      </c>
      <c r="L135" s="17">
        <v>0</v>
      </c>
      <c r="M135" s="17">
        <v>0</v>
      </c>
      <c r="N135" s="17">
        <f t="shared" si="9"/>
        <v>400</v>
      </c>
      <c r="O135" s="17">
        <v>0</v>
      </c>
      <c r="P135" s="17">
        <v>32</v>
      </c>
      <c r="Q135" s="17">
        <v>23.2</v>
      </c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</row>
    <row r="136" spans="2:34" ht="15.75" customHeight="1">
      <c r="B136" s="347" t="s">
        <v>38</v>
      </c>
      <c r="C136" s="348">
        <v>500</v>
      </c>
      <c r="D136" s="17">
        <v>0</v>
      </c>
      <c r="E136" s="17">
        <v>34.5</v>
      </c>
      <c r="F136" s="17">
        <v>1004</v>
      </c>
      <c r="G136" s="17">
        <v>43.2</v>
      </c>
      <c r="H136" s="17">
        <f>G136*0.61</f>
        <v>26.352</v>
      </c>
      <c r="I136" s="17">
        <f>G136*0.27</f>
        <v>11.664000000000001</v>
      </c>
      <c r="J136" s="17">
        <f>G136*0.2</f>
        <v>8.64</v>
      </c>
      <c r="K136" s="17">
        <f t="shared" si="8"/>
        <v>350</v>
      </c>
      <c r="L136" s="17">
        <v>0</v>
      </c>
      <c r="M136" s="17">
        <v>0</v>
      </c>
      <c r="N136" s="17">
        <f t="shared" si="9"/>
        <v>500</v>
      </c>
      <c r="O136" s="17">
        <v>0</v>
      </c>
      <c r="P136" s="17">
        <v>40</v>
      </c>
      <c r="Q136" s="17">
        <v>29</v>
      </c>
      <c r="R136" s="17">
        <v>15</v>
      </c>
      <c r="S136" s="17">
        <v>53</v>
      </c>
      <c r="T136" s="17">
        <v>41</v>
      </c>
      <c r="U136" s="17">
        <v>93</v>
      </c>
      <c r="V136" s="17">
        <v>18.8</v>
      </c>
      <c r="W136" s="17">
        <v>0.6</v>
      </c>
      <c r="X136" s="17">
        <v>125</v>
      </c>
      <c r="Y136" s="17">
        <v>4.4000000000000004</v>
      </c>
      <c r="Z136" s="17">
        <v>500</v>
      </c>
      <c r="AA136" s="17">
        <v>500</v>
      </c>
      <c r="AB136" s="17">
        <v>1.25</v>
      </c>
      <c r="AC136" s="17">
        <v>500</v>
      </c>
      <c r="AD136" s="17">
        <v>22.5</v>
      </c>
      <c r="AE136" s="17">
        <v>3300</v>
      </c>
      <c r="AF136" s="17">
        <v>1000</v>
      </c>
      <c r="AG136" s="17">
        <v>62.5</v>
      </c>
      <c r="AH136" s="17">
        <v>25</v>
      </c>
    </row>
    <row r="137" spans="2:34" ht="15.75" customHeight="1">
      <c r="B137" s="347" t="s">
        <v>38</v>
      </c>
      <c r="C137" s="348">
        <v>600</v>
      </c>
      <c r="D137" s="17">
        <v>0</v>
      </c>
      <c r="E137" s="17"/>
      <c r="F137" s="17"/>
      <c r="G137" s="17"/>
      <c r="H137" s="17"/>
      <c r="I137" s="17"/>
      <c r="J137" s="17"/>
      <c r="K137" s="17">
        <f t="shared" si="8"/>
        <v>420</v>
      </c>
      <c r="L137" s="17"/>
      <c r="M137" s="17"/>
      <c r="N137" s="17">
        <f t="shared" si="9"/>
        <v>600</v>
      </c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</row>
    <row r="138" spans="2:34" ht="15.75" customHeight="1">
      <c r="B138" s="15"/>
      <c r="C138" s="16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</row>
    <row r="139" spans="2:34" ht="15.75" customHeight="1">
      <c r="B139" s="15"/>
      <c r="C139" s="16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</row>
    <row r="140" spans="2:34" ht="15.75" customHeight="1">
      <c r="B140" s="15"/>
      <c r="C140" s="16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</row>
    <row r="141" spans="2:34" ht="15.75" customHeight="1">
      <c r="B141" s="15"/>
      <c r="C141" s="16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</row>
    <row r="142" spans="2:34" ht="15.75" customHeight="1">
      <c r="B142" s="15"/>
      <c r="C142" s="16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</row>
    <row r="143" spans="2:34" ht="15.75" customHeight="1">
      <c r="B143" s="15"/>
      <c r="C143" s="16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</row>
    <row r="144" spans="2:34" ht="15.75" customHeight="1">
      <c r="B144" s="15"/>
      <c r="C144" s="16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</row>
    <row r="145" spans="2:34" ht="15.75" customHeight="1">
      <c r="B145" s="15"/>
      <c r="C145" s="16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</row>
    <row r="146" spans="2:34" ht="15.75" customHeight="1">
      <c r="B146" s="15"/>
      <c r="C146" s="16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</row>
    <row r="147" spans="2:34" ht="15.75" customHeight="1">
      <c r="B147" s="15"/>
      <c r="C147" s="16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</row>
    <row r="148" spans="2:34" ht="15.75" customHeight="1">
      <c r="B148" s="15"/>
      <c r="C148" s="16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</row>
    <row r="149" spans="2:34" ht="15.75" customHeight="1">
      <c r="B149" s="15"/>
      <c r="C149" s="16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</row>
    <row r="150" spans="2:34" ht="15.75" customHeight="1">
      <c r="B150" s="15"/>
      <c r="C150" s="16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</row>
    <row r="151" spans="2:34" ht="15.75" customHeight="1">
      <c r="B151" s="15"/>
      <c r="C151" s="16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</row>
    <row r="152" spans="2:34" ht="15.75" customHeight="1">
      <c r="B152" s="15"/>
      <c r="C152" s="16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</row>
    <row r="153" spans="2:34" ht="15.75" customHeight="1">
      <c r="B153" s="15"/>
      <c r="C153" s="16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</row>
    <row r="154" spans="2:34" ht="15.75" customHeight="1">
      <c r="B154" s="15"/>
      <c r="C154" s="16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</row>
    <row r="155" spans="2:34" ht="15.75" customHeight="1">
      <c r="B155" s="15"/>
      <c r="C155" s="16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</row>
    <row r="156" spans="2:34" ht="15.75" customHeight="1">
      <c r="B156" s="15"/>
      <c r="C156" s="16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</row>
    <row r="157" spans="2:34" ht="15.75" customHeight="1">
      <c r="B157" s="15"/>
      <c r="C157" s="16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</row>
    <row r="158" spans="2:34" ht="15.75" customHeight="1">
      <c r="B158" s="15"/>
      <c r="C158" s="16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</row>
    <row r="159" spans="2:34" ht="15.75" customHeight="1">
      <c r="B159" s="15"/>
      <c r="C159" s="16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</row>
    <row r="160" spans="2:34" ht="15.75" customHeight="1">
      <c r="B160" s="15"/>
      <c r="C160" s="16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</row>
    <row r="161" spans="2:34" ht="15.75" customHeight="1">
      <c r="B161" s="15"/>
      <c r="C161" s="16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</row>
    <row r="162" spans="2:34" ht="15.75" customHeight="1">
      <c r="B162" s="15"/>
      <c r="C162" s="16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</row>
    <row r="163" spans="2:34" ht="15.75" customHeight="1">
      <c r="B163" s="15"/>
      <c r="C163" s="16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</row>
    <row r="164" spans="2:34" ht="15.75" customHeight="1">
      <c r="B164" s="15"/>
      <c r="C164" s="16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</row>
    <row r="165" spans="2:34" ht="15.75" customHeight="1">
      <c r="B165" s="15"/>
      <c r="C165" s="16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</row>
    <row r="166" spans="2:34" ht="15.75" customHeight="1">
      <c r="B166" s="15"/>
      <c r="C166" s="16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</row>
    <row r="167" spans="2:34" ht="15.75" customHeight="1">
      <c r="B167" s="15"/>
      <c r="C167" s="16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</row>
    <row r="168" spans="2:34" ht="15.75" customHeight="1">
      <c r="B168" s="15"/>
      <c r="C168" s="16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</row>
    <row r="169" spans="2:34" ht="15.75" customHeight="1">
      <c r="B169" s="15"/>
      <c r="C169" s="16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</row>
    <row r="170" spans="2:34" ht="15.75" customHeight="1">
      <c r="B170" s="15"/>
      <c r="C170" s="16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</row>
    <row r="171" spans="2:34" ht="15.75" customHeight="1">
      <c r="B171" s="15"/>
      <c r="C171" s="16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</row>
    <row r="172" spans="2:34" ht="15.75" customHeight="1">
      <c r="B172" s="15"/>
      <c r="C172" s="16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</row>
    <row r="173" spans="2:34" ht="15.75" customHeight="1">
      <c r="B173" s="15"/>
      <c r="C173" s="16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</row>
    <row r="174" spans="2:34" ht="15.75" customHeight="1">
      <c r="B174" s="15"/>
      <c r="C174" s="16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</row>
    <row r="175" spans="2:34" ht="15.75" customHeight="1">
      <c r="B175" s="15"/>
      <c r="C175" s="16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</row>
    <row r="176" spans="2:34" ht="15.75" customHeight="1">
      <c r="B176" s="15"/>
      <c r="C176" s="16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</row>
    <row r="177" spans="2:34" ht="15.75" customHeight="1">
      <c r="B177" s="15"/>
      <c r="C177" s="16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</row>
    <row r="178" spans="2:34" ht="15.75" customHeight="1">
      <c r="B178" s="15"/>
      <c r="C178" s="16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</row>
    <row r="179" spans="2:34" ht="15.75" customHeight="1">
      <c r="B179" s="15"/>
      <c r="C179" s="16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</row>
    <row r="180" spans="2:34" ht="15.75" customHeight="1">
      <c r="B180" s="15"/>
      <c r="C180" s="16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</row>
    <row r="181" spans="2:34" ht="15.75" customHeight="1">
      <c r="B181" s="15"/>
      <c r="C181" s="16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</row>
    <row r="182" spans="2:34" ht="15.75" customHeight="1">
      <c r="B182" s="15"/>
      <c r="C182" s="16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</row>
    <row r="183" spans="2:34" ht="15.75" customHeight="1">
      <c r="B183" s="15"/>
      <c r="C183" s="16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</row>
    <row r="184" spans="2:34" ht="15.75" customHeight="1">
      <c r="B184" s="15"/>
      <c r="C184" s="16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</row>
    <row r="185" spans="2:34" ht="15.75" customHeight="1">
      <c r="B185" s="15"/>
      <c r="C185" s="16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</row>
    <row r="186" spans="2:34" ht="15.75" customHeight="1">
      <c r="B186" s="15"/>
      <c r="C186" s="16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</row>
    <row r="187" spans="2:34" ht="15.75" customHeight="1">
      <c r="B187" s="15"/>
      <c r="C187" s="16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</row>
    <row r="188" spans="2:34" ht="15.75" customHeight="1">
      <c r="B188" s="15"/>
      <c r="C188" s="16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</row>
    <row r="189" spans="2:34" ht="15.75" customHeight="1">
      <c r="B189" s="15"/>
      <c r="C189" s="16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</row>
    <row r="190" spans="2:34" ht="15.75" customHeight="1">
      <c r="B190" s="15"/>
      <c r="C190" s="16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</row>
    <row r="191" spans="2:34" ht="15.75" customHeight="1">
      <c r="B191" s="15"/>
      <c r="C191" s="16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</row>
    <row r="192" spans="2:34" ht="15.75" customHeight="1">
      <c r="B192" s="15"/>
      <c r="C192" s="16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</row>
    <row r="193" spans="2:34" ht="15.75" customHeight="1">
      <c r="B193" s="15"/>
      <c r="C193" s="16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</row>
    <row r="194" spans="2:34" ht="15.75" customHeight="1">
      <c r="B194" s="15"/>
      <c r="C194" s="16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</row>
    <row r="195" spans="2:34" ht="15.75" customHeight="1">
      <c r="B195" s="15"/>
      <c r="C195" s="16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</row>
    <row r="196" spans="2:34" ht="15.75" customHeight="1">
      <c r="B196" s="15"/>
      <c r="C196" s="16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</row>
    <row r="197" spans="2:34" ht="15.75" customHeight="1">
      <c r="B197" s="15"/>
      <c r="C197" s="16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</row>
    <row r="198" spans="2:34" ht="15.75" customHeight="1">
      <c r="B198" s="15"/>
      <c r="C198" s="16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</row>
    <row r="199" spans="2:34" ht="15.75" customHeight="1">
      <c r="B199" s="15"/>
      <c r="C199" s="16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</row>
    <row r="200" spans="2:34" ht="15.75" customHeight="1">
      <c r="B200" s="15"/>
      <c r="C200" s="16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</row>
    <row r="201" spans="2:34" ht="15.75" customHeight="1">
      <c r="B201" s="15"/>
      <c r="C201" s="16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</row>
    <row r="202" spans="2:34" ht="15.75" customHeight="1">
      <c r="B202" s="15"/>
      <c r="C202" s="16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</row>
    <row r="203" spans="2:34" ht="15.75" customHeight="1">
      <c r="B203" s="15"/>
      <c r="C203" s="16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</row>
    <row r="204" spans="2:34" ht="15.75" customHeight="1">
      <c r="B204" s="15"/>
      <c r="C204" s="16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</row>
    <row r="205" spans="2:34" ht="15.75" customHeight="1">
      <c r="B205" s="15"/>
      <c r="C205" s="16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</row>
    <row r="206" spans="2:34" ht="15.75" customHeight="1">
      <c r="B206" s="15"/>
      <c r="C206" s="16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</row>
    <row r="207" spans="2:34" ht="15.75" customHeight="1">
      <c r="B207" s="15"/>
      <c r="C207" s="16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</row>
    <row r="208" spans="2:34" ht="15.75" customHeight="1">
      <c r="B208" s="15"/>
      <c r="C208" s="16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</row>
    <row r="209" spans="2:34" ht="15.75" customHeight="1">
      <c r="B209" s="15"/>
      <c r="C209" s="16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</row>
    <row r="210" spans="2:34" ht="15.75" customHeight="1">
      <c r="B210" s="15"/>
      <c r="C210" s="16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</row>
    <row r="211" spans="2:34" ht="15.75" customHeight="1">
      <c r="B211" s="15"/>
      <c r="C211" s="16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</row>
    <row r="212" spans="2:34" ht="15.75" customHeight="1">
      <c r="B212" s="15"/>
      <c r="C212" s="16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</row>
    <row r="213" spans="2:34" ht="15.75" customHeight="1">
      <c r="B213" s="15"/>
      <c r="C213" s="16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</row>
    <row r="214" spans="2:34" ht="15.75" customHeight="1">
      <c r="B214" s="15"/>
      <c r="C214" s="16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</row>
    <row r="215" spans="2:34" ht="15.75" customHeight="1">
      <c r="B215" s="15"/>
      <c r="C215" s="16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</row>
    <row r="216" spans="2:34" ht="15.75" customHeight="1">
      <c r="B216" s="15"/>
      <c r="C216" s="16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</row>
    <row r="217" spans="2:34" ht="15.75" customHeight="1">
      <c r="B217" s="15"/>
      <c r="C217" s="16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</row>
    <row r="218" spans="2:34" ht="15.75" customHeight="1">
      <c r="B218" s="15"/>
      <c r="C218" s="16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</row>
    <row r="219" spans="2:34" ht="15.75" customHeight="1">
      <c r="B219" s="15"/>
      <c r="C219" s="16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</row>
    <row r="220" spans="2:34" ht="15.75" customHeight="1">
      <c r="B220" s="15"/>
      <c r="C220" s="16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</row>
    <row r="221" spans="2:34" ht="15.75" customHeight="1">
      <c r="B221" s="15"/>
      <c r="C221" s="16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</row>
    <row r="222" spans="2:34" ht="15.75" customHeight="1">
      <c r="B222" s="15"/>
      <c r="C222" s="16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</row>
    <row r="223" spans="2:34" ht="15.75" customHeight="1">
      <c r="B223" s="15"/>
      <c r="C223" s="16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</row>
    <row r="224" spans="2:34" ht="15.75" customHeight="1">
      <c r="B224" s="15"/>
      <c r="C224" s="16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</row>
    <row r="225" spans="2:34" ht="15.75" customHeight="1">
      <c r="B225" s="15"/>
      <c r="C225" s="16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</row>
    <row r="226" spans="2:34" ht="15.75" customHeight="1">
      <c r="B226" s="15"/>
      <c r="C226" s="16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</row>
    <row r="227" spans="2:34" ht="15.75" customHeight="1">
      <c r="B227" s="15"/>
      <c r="C227" s="16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</row>
    <row r="228" spans="2:34" ht="15.75" customHeight="1">
      <c r="B228" s="15"/>
      <c r="C228" s="16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</row>
    <row r="229" spans="2:34" ht="15.75" customHeight="1">
      <c r="B229" s="15"/>
      <c r="C229" s="16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</row>
    <row r="230" spans="2:34" ht="15.75" customHeight="1">
      <c r="B230" s="15"/>
      <c r="C230" s="16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</row>
    <row r="231" spans="2:34" ht="15.75" customHeight="1">
      <c r="B231" s="15"/>
      <c r="C231" s="16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</row>
    <row r="232" spans="2:34" ht="15.75" customHeight="1">
      <c r="B232" s="15"/>
      <c r="C232" s="16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</row>
    <row r="233" spans="2:34" ht="15.75" customHeight="1">
      <c r="B233" s="15"/>
      <c r="C233" s="16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</row>
    <row r="234" spans="2:34" ht="15.75" customHeight="1">
      <c r="B234" s="15"/>
      <c r="C234" s="16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</row>
    <row r="235" spans="2:34" ht="15.75" customHeight="1">
      <c r="B235" s="15"/>
      <c r="C235" s="16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</row>
    <row r="236" spans="2:34" ht="15.75" customHeight="1">
      <c r="B236" s="15"/>
      <c r="C236" s="16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</row>
    <row r="237" spans="2:34" ht="15.75" customHeight="1">
      <c r="B237" s="15"/>
      <c r="C237" s="16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</row>
    <row r="238" spans="2:34" ht="15.75" customHeight="1">
      <c r="B238" s="15"/>
      <c r="C238" s="16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</row>
    <row r="239" spans="2:34" ht="15.75" customHeight="1">
      <c r="B239" s="15"/>
      <c r="C239" s="16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</row>
    <row r="240" spans="2:34" ht="15.75" customHeight="1">
      <c r="B240" s="15"/>
      <c r="C240" s="16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</row>
    <row r="241" spans="2:34" ht="15.75" customHeight="1">
      <c r="B241" s="15"/>
      <c r="C241" s="16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</row>
    <row r="242" spans="2:34" ht="15.75" customHeight="1">
      <c r="B242" s="15"/>
      <c r="C242" s="16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</row>
    <row r="243" spans="2:34" ht="15.75" customHeight="1">
      <c r="B243" s="15"/>
      <c r="C243" s="16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</row>
    <row r="244" spans="2:34" ht="15.75" customHeight="1">
      <c r="B244" s="15"/>
      <c r="C244" s="16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</row>
    <row r="245" spans="2:34" ht="15.75" customHeight="1">
      <c r="B245" s="15"/>
      <c r="C245" s="16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</row>
    <row r="246" spans="2:34" ht="15.75" customHeight="1">
      <c r="B246" s="15"/>
      <c r="C246" s="16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</row>
    <row r="247" spans="2:34" ht="15.75" customHeight="1">
      <c r="B247" s="15"/>
      <c r="C247" s="16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</row>
    <row r="248" spans="2:34" ht="15.75" customHeight="1">
      <c r="B248" s="15"/>
      <c r="C248" s="16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</row>
    <row r="249" spans="2:34" ht="15.75" customHeight="1">
      <c r="B249" s="15"/>
      <c r="C249" s="16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</row>
    <row r="250" spans="2:34" ht="15.75" customHeight="1">
      <c r="B250" s="15"/>
      <c r="C250" s="16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</row>
    <row r="251" spans="2:34" ht="15.75" customHeight="1">
      <c r="B251" s="15"/>
      <c r="C251" s="16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</row>
    <row r="252" spans="2:34" ht="15.75" customHeight="1">
      <c r="B252" s="15"/>
      <c r="C252" s="16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</row>
    <row r="253" spans="2:34" ht="15.75" customHeight="1">
      <c r="B253" s="15"/>
      <c r="C253" s="16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</row>
    <row r="254" spans="2:34" ht="15.75" customHeight="1">
      <c r="B254" s="15"/>
      <c r="C254" s="16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</row>
    <row r="255" spans="2:34" ht="15.75" customHeight="1">
      <c r="B255" s="15"/>
      <c r="C255" s="16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</row>
    <row r="256" spans="2:34" ht="15.75" customHeight="1">
      <c r="B256" s="15"/>
      <c r="C256" s="16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</row>
    <row r="257" spans="2:34" ht="15.75" customHeight="1">
      <c r="B257" s="15"/>
      <c r="C257" s="16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</row>
    <row r="258" spans="2:34" ht="15.75" customHeight="1">
      <c r="B258" s="15"/>
      <c r="C258" s="16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</row>
    <row r="259" spans="2:34" ht="15.75" customHeight="1">
      <c r="B259" s="15"/>
      <c r="C259" s="16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</row>
    <row r="260" spans="2:34" ht="15.75" customHeight="1">
      <c r="B260" s="15"/>
      <c r="C260" s="16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</row>
    <row r="261" spans="2:34" ht="15.75" customHeight="1">
      <c r="B261" s="15"/>
      <c r="C261" s="16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</row>
    <row r="262" spans="2:34" ht="15.75" customHeight="1">
      <c r="B262" s="15"/>
      <c r="C262" s="16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</row>
    <row r="263" spans="2:34" ht="15.75" customHeight="1">
      <c r="B263" s="15"/>
      <c r="C263" s="16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</row>
    <row r="264" spans="2:34" ht="15.75" customHeight="1">
      <c r="B264" s="15"/>
      <c r="C264" s="16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</row>
    <row r="265" spans="2:34" ht="15.75" customHeight="1">
      <c r="B265" s="15"/>
      <c r="C265" s="16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</row>
    <row r="266" spans="2:34" ht="15.75" customHeight="1">
      <c r="B266" s="15"/>
      <c r="C266" s="16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</row>
    <row r="267" spans="2:34" ht="15.75" customHeight="1">
      <c r="B267" s="15"/>
      <c r="C267" s="16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</row>
    <row r="268" spans="2:34" ht="15.75" customHeight="1">
      <c r="B268" s="15"/>
      <c r="C268" s="16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</row>
    <row r="269" spans="2:34" ht="15.75" customHeight="1">
      <c r="B269" s="15"/>
      <c r="C269" s="16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</row>
    <row r="270" spans="2:34" ht="15.75" customHeight="1">
      <c r="B270" s="15"/>
      <c r="C270" s="16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</row>
    <row r="271" spans="2:34" ht="15.75" customHeight="1">
      <c r="B271" s="15"/>
      <c r="C271" s="16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</row>
    <row r="272" spans="2:34" ht="15.75" customHeight="1">
      <c r="B272" s="15"/>
      <c r="C272" s="16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</row>
    <row r="273" spans="2:34" ht="15.75" customHeight="1">
      <c r="B273" s="15"/>
      <c r="C273" s="16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</row>
    <row r="274" spans="2:34" ht="15.75" customHeight="1">
      <c r="B274" s="15"/>
      <c r="C274" s="16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</row>
    <row r="275" spans="2:34" ht="15.75" customHeight="1">
      <c r="B275" s="15"/>
      <c r="C275" s="16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</row>
    <row r="276" spans="2:34" ht="15.75" customHeight="1">
      <c r="B276" s="15"/>
      <c r="C276" s="16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</row>
    <row r="277" spans="2:34" ht="15.75" customHeight="1">
      <c r="B277" s="15"/>
      <c r="C277" s="16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</row>
    <row r="278" spans="2:34" ht="15.75" customHeight="1">
      <c r="B278" s="15"/>
      <c r="C278" s="16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</row>
    <row r="279" spans="2:34" ht="15.75" customHeight="1">
      <c r="B279" s="15"/>
      <c r="C279" s="16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</row>
    <row r="280" spans="2:34" ht="15.75" customHeight="1">
      <c r="B280" s="15"/>
      <c r="C280" s="16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</row>
    <row r="281" spans="2:34" ht="15.75" customHeight="1">
      <c r="B281" s="15"/>
      <c r="C281" s="16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</row>
    <row r="282" spans="2:34" ht="15.75" customHeight="1">
      <c r="B282" s="15"/>
      <c r="C282" s="16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</row>
    <row r="283" spans="2:34" ht="15.75" customHeight="1">
      <c r="B283" s="15"/>
      <c r="C283" s="16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</row>
    <row r="284" spans="2:34" ht="15.75" customHeight="1">
      <c r="B284" s="15"/>
      <c r="C284" s="16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</row>
    <row r="285" spans="2:34" ht="15.75" customHeight="1">
      <c r="B285" s="15"/>
      <c r="C285" s="16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</row>
    <row r="286" spans="2:34" ht="15.75" customHeight="1">
      <c r="B286" s="15"/>
      <c r="C286" s="16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</row>
    <row r="287" spans="2:34" ht="15.75" customHeight="1">
      <c r="B287" s="15"/>
      <c r="C287" s="16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</row>
    <row r="288" spans="2:34" ht="15.75" customHeight="1">
      <c r="B288" s="15"/>
      <c r="C288" s="16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</row>
    <row r="289" spans="2:34" ht="15.75" customHeight="1">
      <c r="B289" s="15"/>
      <c r="C289" s="16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</row>
    <row r="290" spans="2:34" ht="15.75" customHeight="1">
      <c r="B290" s="15"/>
      <c r="C290" s="16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</row>
    <row r="291" spans="2:34" ht="15.75" customHeight="1">
      <c r="B291" s="15"/>
      <c r="C291" s="16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</row>
    <row r="292" spans="2:34" ht="15.75" customHeight="1">
      <c r="B292" s="15"/>
      <c r="C292" s="16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</row>
    <row r="293" spans="2:34" ht="15.75" customHeight="1">
      <c r="B293" s="15"/>
      <c r="C293" s="16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</row>
    <row r="294" spans="2:34" ht="15.75" customHeight="1">
      <c r="B294" s="15"/>
      <c r="C294" s="16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</row>
    <row r="295" spans="2:34" ht="15.75" customHeight="1">
      <c r="B295" s="15"/>
      <c r="C295" s="16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</row>
    <row r="296" spans="2:34" ht="15.75" customHeight="1">
      <c r="B296" s="15"/>
      <c r="C296" s="16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</row>
    <row r="297" spans="2:34" ht="15.75" customHeight="1">
      <c r="B297" s="15"/>
      <c r="C297" s="16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</row>
    <row r="298" spans="2:34" ht="15.75" customHeight="1">
      <c r="B298" s="15"/>
      <c r="C298" s="16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</row>
    <row r="299" spans="2:34" ht="15.75" customHeight="1">
      <c r="B299" s="15"/>
      <c r="C299" s="16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</row>
    <row r="300" spans="2:34" ht="15.75" customHeight="1">
      <c r="B300" s="15"/>
      <c r="C300" s="16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</row>
    <row r="301" spans="2:34" ht="15.75" customHeight="1">
      <c r="B301" s="15"/>
      <c r="C301" s="16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</row>
    <row r="302" spans="2:34" ht="15.75" customHeight="1">
      <c r="B302" s="15"/>
      <c r="C302" s="16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</row>
    <row r="303" spans="2:34" ht="15.75" customHeight="1">
      <c r="B303" s="15"/>
      <c r="C303" s="16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</row>
    <row r="304" spans="2:34" ht="15.75" customHeight="1">
      <c r="B304" s="15"/>
      <c r="C304" s="16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</row>
    <row r="305" spans="2:34" ht="15.75" customHeight="1">
      <c r="B305" s="15"/>
      <c r="C305" s="16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</row>
    <row r="306" spans="2:34" ht="15.75" customHeight="1">
      <c r="B306" s="15"/>
      <c r="C306" s="16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</row>
    <row r="307" spans="2:34" ht="15.75" customHeight="1">
      <c r="B307" s="15"/>
      <c r="C307" s="16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</row>
    <row r="308" spans="2:34" ht="15.75" customHeight="1">
      <c r="B308" s="15"/>
      <c r="C308" s="16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</row>
    <row r="309" spans="2:34" ht="15.75" customHeight="1">
      <c r="B309" s="15"/>
      <c r="C309" s="16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</row>
    <row r="310" spans="2:34" ht="15.75" customHeight="1">
      <c r="B310" s="15"/>
      <c r="C310" s="16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</row>
    <row r="311" spans="2:34" ht="15.75" customHeight="1">
      <c r="B311" s="15"/>
      <c r="C311" s="16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</row>
    <row r="312" spans="2:34" ht="15.75" customHeight="1">
      <c r="B312" s="15"/>
      <c r="C312" s="16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</row>
    <row r="313" spans="2:34" ht="15.75" customHeight="1">
      <c r="B313" s="15"/>
      <c r="C313" s="16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</row>
    <row r="314" spans="2:34" ht="15.75" customHeight="1">
      <c r="B314" s="15"/>
      <c r="C314" s="16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</row>
    <row r="315" spans="2:34" ht="15.75" customHeight="1">
      <c r="B315" s="15"/>
      <c r="C315" s="16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</row>
    <row r="316" spans="2:34" ht="15.75" customHeight="1">
      <c r="B316" s="15"/>
      <c r="C316" s="16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</row>
    <row r="317" spans="2:34" ht="15.75" customHeight="1">
      <c r="B317" s="15"/>
      <c r="C317" s="16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</row>
    <row r="318" spans="2:34" ht="15.75" customHeight="1">
      <c r="B318" s="15"/>
      <c r="C318" s="16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</row>
    <row r="319" spans="2:34" ht="15.75" customHeight="1">
      <c r="B319" s="15"/>
      <c r="C319" s="16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</row>
    <row r="320" spans="2:34" ht="15.75" customHeight="1">
      <c r="B320" s="15"/>
      <c r="C320" s="16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</row>
    <row r="321" spans="2:34" ht="15.75" customHeight="1">
      <c r="B321" s="15"/>
      <c r="C321" s="16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</row>
    <row r="322" spans="2:34" ht="15.75" customHeight="1">
      <c r="B322" s="15"/>
      <c r="C322" s="16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</row>
    <row r="323" spans="2:34" ht="15.75" customHeight="1">
      <c r="B323" s="15"/>
      <c r="C323" s="16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</row>
    <row r="324" spans="2:34" ht="15.75" customHeight="1">
      <c r="B324" s="15"/>
      <c r="C324" s="16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</row>
    <row r="325" spans="2:34" ht="15.75" customHeight="1">
      <c r="B325" s="15"/>
      <c r="C325" s="16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</row>
    <row r="326" spans="2:34" ht="15.75" customHeight="1">
      <c r="B326" s="15"/>
      <c r="C326" s="16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</row>
    <row r="327" spans="2:34" ht="15.75" customHeight="1">
      <c r="B327" s="15"/>
      <c r="C327" s="16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</row>
    <row r="328" spans="2:34" ht="15.75" customHeight="1">
      <c r="B328" s="15"/>
      <c r="C328" s="16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</row>
    <row r="329" spans="2:34" ht="15.75" customHeight="1">
      <c r="B329" s="15"/>
      <c r="C329" s="16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</row>
    <row r="330" spans="2:34" ht="15.75" customHeight="1">
      <c r="B330" s="15"/>
      <c r="C330" s="16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</row>
    <row r="331" spans="2:34" ht="15.75" customHeight="1">
      <c r="B331" s="15"/>
      <c r="C331" s="16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</row>
    <row r="332" spans="2:34" ht="15.75" customHeight="1">
      <c r="B332" s="15"/>
      <c r="C332" s="16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</row>
    <row r="333" spans="2:34" ht="15.75" customHeight="1">
      <c r="B333" s="15"/>
      <c r="C333" s="16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</row>
    <row r="334" spans="2:34" ht="15.75" customHeight="1">
      <c r="B334" s="15"/>
      <c r="C334" s="16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</row>
    <row r="335" spans="2:34" ht="15.75" customHeight="1">
      <c r="B335" s="15"/>
      <c r="C335" s="16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</row>
    <row r="336" spans="2:34" ht="15.75" customHeight="1">
      <c r="B336" s="15"/>
      <c r="C336" s="16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</row>
    <row r="337" spans="2:34" ht="15.75" customHeight="1">
      <c r="B337" s="15"/>
      <c r="C337" s="16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</row>
    <row r="338" spans="2:34" ht="15.75" customHeight="1">
      <c r="B338" s="15"/>
      <c r="C338" s="16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</row>
    <row r="339" spans="2:34" ht="15.75" customHeight="1">
      <c r="B339" s="15"/>
      <c r="C339" s="16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</row>
    <row r="340" spans="2:34" ht="15.75" customHeight="1">
      <c r="B340" s="15"/>
      <c r="C340" s="16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</row>
    <row r="341" spans="2:34" ht="15.75" customHeight="1">
      <c r="B341" s="15"/>
      <c r="C341" s="16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</row>
    <row r="342" spans="2:34" ht="15.75" customHeight="1">
      <c r="B342" s="15"/>
      <c r="C342" s="16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</row>
    <row r="343" spans="2:34" ht="15.75" customHeight="1">
      <c r="B343" s="15"/>
      <c r="C343" s="16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</row>
    <row r="344" spans="2:34" ht="15.75" customHeight="1">
      <c r="B344" s="15"/>
      <c r="C344" s="16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</row>
    <row r="345" spans="2:34" ht="15.75" customHeight="1">
      <c r="B345" s="15"/>
      <c r="C345" s="16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</row>
    <row r="346" spans="2:34" ht="15.75" customHeight="1">
      <c r="B346" s="15"/>
      <c r="C346" s="16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</row>
    <row r="347" spans="2:34" ht="15.75" customHeight="1">
      <c r="B347" s="15"/>
      <c r="C347" s="16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</row>
    <row r="348" spans="2:34" ht="15.75" customHeight="1">
      <c r="B348" s="15"/>
      <c r="C348" s="16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</row>
    <row r="349" spans="2:34" ht="15.75" customHeight="1">
      <c r="B349" s="15"/>
      <c r="C349" s="16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</row>
    <row r="350" spans="2:34" ht="15.75" customHeight="1">
      <c r="B350" s="15"/>
      <c r="C350" s="16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</row>
    <row r="351" spans="2:34" ht="15.75" customHeight="1">
      <c r="B351" s="15"/>
      <c r="C351" s="16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</row>
    <row r="352" spans="2:34" ht="15.75" customHeight="1">
      <c r="B352" s="15"/>
      <c r="C352" s="16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</row>
    <row r="353" spans="2:34" ht="15.75" customHeight="1">
      <c r="B353" s="15"/>
      <c r="C353" s="16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</row>
    <row r="354" spans="2:34" ht="15.75" customHeight="1">
      <c r="B354" s="15"/>
      <c r="C354" s="16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</row>
    <row r="355" spans="2:34" ht="15.75" customHeight="1">
      <c r="B355" s="15"/>
      <c r="C355" s="16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</row>
    <row r="356" spans="2:34" ht="15.75" customHeight="1">
      <c r="B356" s="15"/>
      <c r="C356" s="16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</row>
    <row r="357" spans="2:34" ht="15.75" customHeight="1">
      <c r="B357" s="15"/>
      <c r="C357" s="16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</row>
    <row r="358" spans="2:34" ht="15.75" customHeight="1">
      <c r="B358" s="15"/>
      <c r="C358" s="16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</row>
    <row r="359" spans="2:34" ht="15.75" customHeight="1">
      <c r="B359" s="15"/>
      <c r="C359" s="16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</row>
    <row r="360" spans="2:34" ht="15.75" customHeight="1">
      <c r="B360" s="15"/>
      <c r="C360" s="16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</row>
    <row r="361" spans="2:34" ht="15.75" customHeight="1">
      <c r="B361" s="15"/>
      <c r="C361" s="16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</row>
    <row r="362" spans="2:34" ht="15.75" customHeight="1">
      <c r="B362" s="15"/>
      <c r="C362" s="16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</row>
    <row r="363" spans="2:34" ht="15.75" customHeight="1">
      <c r="B363" s="15"/>
      <c r="C363" s="16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</row>
    <row r="364" spans="2:34" ht="15.75" customHeight="1">
      <c r="B364" s="15"/>
      <c r="C364" s="16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</row>
    <row r="365" spans="2:34" ht="15.75" customHeight="1">
      <c r="B365" s="15"/>
      <c r="C365" s="16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</row>
    <row r="366" spans="2:34" ht="15.75" customHeight="1">
      <c r="B366" s="15"/>
      <c r="C366" s="16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</row>
    <row r="367" spans="2:34" ht="15.75" customHeight="1">
      <c r="B367" s="15"/>
      <c r="C367" s="16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</row>
    <row r="368" spans="2:34" ht="15.75" customHeight="1">
      <c r="B368" s="15"/>
      <c r="C368" s="16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</row>
    <row r="369" spans="2:34" ht="15.75" customHeight="1">
      <c r="B369" s="15"/>
      <c r="C369" s="16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</row>
    <row r="370" spans="2:34" ht="15.75" customHeight="1">
      <c r="B370" s="15"/>
      <c r="C370" s="16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</row>
    <row r="371" spans="2:34" ht="15.75" customHeight="1">
      <c r="B371" s="15"/>
      <c r="C371" s="16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</row>
    <row r="372" spans="2:34" ht="15.75" customHeight="1">
      <c r="B372" s="15"/>
      <c r="C372" s="16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</row>
    <row r="373" spans="2:34" ht="15.75" customHeight="1">
      <c r="B373" s="15"/>
      <c r="C373" s="16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</row>
    <row r="374" spans="2:34" ht="15.75" customHeight="1">
      <c r="B374" s="15"/>
      <c r="C374" s="16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</row>
    <row r="375" spans="2:34" ht="15.75" customHeight="1">
      <c r="B375" s="15"/>
      <c r="C375" s="16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</row>
    <row r="376" spans="2:34" ht="15.75" customHeight="1">
      <c r="B376" s="15"/>
      <c r="C376" s="16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</row>
    <row r="377" spans="2:34" ht="15.75" customHeight="1">
      <c r="B377" s="15"/>
      <c r="C377" s="16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</row>
    <row r="378" spans="2:34" ht="15.75" customHeight="1">
      <c r="B378" s="15"/>
      <c r="C378" s="16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</row>
    <row r="379" spans="2:34" ht="15.75" customHeight="1">
      <c r="B379" s="15"/>
      <c r="C379" s="16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</row>
    <row r="380" spans="2:34" ht="15.75" customHeight="1">
      <c r="B380" s="15"/>
      <c r="C380" s="16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</row>
    <row r="381" spans="2:34" ht="15.75" customHeight="1">
      <c r="B381" s="15"/>
      <c r="C381" s="16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</row>
    <row r="382" spans="2:34" ht="15.75" customHeight="1">
      <c r="B382" s="15"/>
      <c r="C382" s="16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</row>
    <row r="383" spans="2:34" ht="15.75" customHeight="1">
      <c r="B383" s="15"/>
      <c r="C383" s="16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</row>
    <row r="384" spans="2:34" ht="15.75" customHeight="1">
      <c r="B384" s="15"/>
      <c r="C384" s="16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</row>
    <row r="385" spans="2:34" ht="15.75" customHeight="1">
      <c r="B385" s="15"/>
      <c r="C385" s="16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</row>
    <row r="386" spans="2:34" ht="15.75" customHeight="1">
      <c r="B386" s="15"/>
      <c r="C386" s="16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</row>
    <row r="387" spans="2:34" ht="15.75" customHeight="1">
      <c r="B387" s="15"/>
      <c r="C387" s="16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</row>
    <row r="388" spans="2:34" ht="15.75" customHeight="1">
      <c r="B388" s="15"/>
      <c r="C388" s="16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</row>
    <row r="389" spans="2:34" ht="15.75" customHeight="1">
      <c r="B389" s="15"/>
      <c r="C389" s="16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</row>
    <row r="390" spans="2:34" ht="15.75" customHeight="1">
      <c r="B390" s="15"/>
      <c r="C390" s="16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</row>
    <row r="391" spans="2:34" ht="15.75" customHeight="1">
      <c r="B391" s="15"/>
      <c r="C391" s="16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</row>
    <row r="392" spans="2:34" ht="15.75" customHeight="1">
      <c r="B392" s="15"/>
      <c r="C392" s="16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</row>
    <row r="393" spans="2:34" ht="15.75" customHeight="1">
      <c r="B393" s="15"/>
      <c r="C393" s="16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</row>
    <row r="394" spans="2:34" ht="15.75" customHeight="1">
      <c r="B394" s="15"/>
      <c r="C394" s="16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</row>
    <row r="395" spans="2:34" ht="15.75" customHeight="1">
      <c r="B395" s="15"/>
      <c r="C395" s="16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</row>
    <row r="396" spans="2:34" ht="15.75" customHeight="1">
      <c r="B396" s="15"/>
      <c r="C396" s="16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</row>
    <row r="397" spans="2:34" ht="15.75" customHeight="1">
      <c r="B397" s="15"/>
      <c r="C397" s="16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</row>
    <row r="398" spans="2:34" ht="15.75" customHeight="1">
      <c r="B398" s="15"/>
      <c r="C398" s="16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</row>
    <row r="399" spans="2:34" ht="15.75" customHeight="1">
      <c r="B399" s="15"/>
      <c r="C399" s="16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</row>
    <row r="400" spans="2:34" ht="15.75" customHeight="1">
      <c r="B400" s="15"/>
      <c r="C400" s="16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</row>
    <row r="401" spans="2:34" ht="15.75" customHeight="1">
      <c r="B401" s="15"/>
      <c r="C401" s="16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</row>
    <row r="402" spans="2:34" ht="15.75" customHeight="1">
      <c r="B402" s="15"/>
      <c r="C402" s="16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</row>
    <row r="403" spans="2:34" ht="15.75" customHeight="1">
      <c r="B403" s="15"/>
      <c r="C403" s="16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</row>
    <row r="404" spans="2:34" ht="15.75" customHeight="1">
      <c r="B404" s="15"/>
      <c r="C404" s="16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</row>
    <row r="405" spans="2:34" ht="15.75" customHeight="1">
      <c r="B405" s="15"/>
      <c r="C405" s="16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</row>
    <row r="406" spans="2:34" ht="15.75" customHeight="1">
      <c r="B406" s="15"/>
      <c r="C406" s="16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</row>
    <row r="407" spans="2:34" ht="15.75" customHeight="1">
      <c r="B407" s="15"/>
      <c r="C407" s="16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</row>
    <row r="408" spans="2:34" ht="15.75" customHeight="1">
      <c r="B408" s="15"/>
      <c r="C408" s="16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</row>
    <row r="409" spans="2:34" ht="15.75" customHeight="1">
      <c r="B409" s="15"/>
      <c r="C409" s="16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</row>
    <row r="410" spans="2:34" ht="15.75" customHeight="1">
      <c r="B410" s="15"/>
      <c r="C410" s="16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</row>
    <row r="411" spans="2:34" ht="15.75" customHeight="1">
      <c r="B411" s="15"/>
      <c r="C411" s="16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</row>
    <row r="412" spans="2:34" ht="15.75" customHeight="1">
      <c r="B412" s="15"/>
      <c r="C412" s="16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</row>
    <row r="413" spans="2:34" ht="15.75" customHeight="1">
      <c r="B413" s="15"/>
      <c r="C413" s="16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</row>
    <row r="414" spans="2:34" ht="15.75" customHeight="1">
      <c r="B414" s="15"/>
      <c r="C414" s="16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</row>
    <row r="415" spans="2:34" ht="15.75" customHeight="1">
      <c r="B415" s="15"/>
      <c r="C415" s="16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</row>
    <row r="416" spans="2:34" ht="15.75" customHeight="1">
      <c r="B416" s="15"/>
      <c r="C416" s="16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</row>
    <row r="417" spans="2:34" ht="15.75" customHeight="1">
      <c r="B417" s="15"/>
      <c r="C417" s="16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</row>
    <row r="418" spans="2:34" ht="15.75" customHeight="1">
      <c r="B418" s="15"/>
      <c r="C418" s="16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</row>
    <row r="419" spans="2:34" ht="15.75" customHeight="1">
      <c r="B419" s="15"/>
      <c r="C419" s="16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</row>
    <row r="420" spans="2:34" ht="15.75" customHeight="1">
      <c r="B420" s="15"/>
      <c r="C420" s="16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</row>
    <row r="421" spans="2:34" ht="15.75" customHeight="1">
      <c r="B421" s="15"/>
      <c r="C421" s="16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</row>
    <row r="422" spans="2:34" ht="15.75" customHeight="1">
      <c r="B422" s="15"/>
      <c r="C422" s="16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</row>
    <row r="423" spans="2:34" ht="15.75" customHeight="1">
      <c r="B423" s="15"/>
      <c r="C423" s="16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</row>
    <row r="424" spans="2:34" ht="15.75" customHeight="1">
      <c r="B424" s="15"/>
      <c r="C424" s="16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</row>
    <row r="425" spans="2:34" ht="15.75" customHeight="1">
      <c r="B425" s="15"/>
      <c r="C425" s="16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</row>
    <row r="426" spans="2:34" ht="15.75" customHeight="1">
      <c r="B426" s="15"/>
      <c r="C426" s="16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</row>
    <row r="427" spans="2:34" ht="15.75" customHeight="1">
      <c r="B427" s="15"/>
      <c r="C427" s="16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</row>
    <row r="428" spans="2:34" ht="15.75" customHeight="1">
      <c r="B428" s="15"/>
      <c r="C428" s="16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</row>
    <row r="429" spans="2:34" ht="15.75" customHeight="1">
      <c r="B429" s="15"/>
      <c r="C429" s="16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</row>
    <row r="430" spans="2:34" ht="15.75" customHeight="1">
      <c r="B430" s="15"/>
      <c r="C430" s="16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</row>
    <row r="431" spans="2:34" ht="15.75" customHeight="1">
      <c r="B431" s="15"/>
      <c r="C431" s="16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</row>
    <row r="432" spans="2:34" ht="15.75" customHeight="1">
      <c r="B432" s="15"/>
      <c r="C432" s="16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</row>
    <row r="433" spans="2:34" ht="15.75" customHeight="1">
      <c r="B433" s="15"/>
      <c r="C433" s="16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</row>
    <row r="434" spans="2:34" ht="15.75" customHeight="1">
      <c r="B434" s="15"/>
      <c r="C434" s="16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</row>
    <row r="435" spans="2:34" ht="15.75" customHeight="1">
      <c r="B435" s="15"/>
      <c r="C435" s="16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</row>
    <row r="436" spans="2:34" ht="15.75" customHeight="1">
      <c r="B436" s="15"/>
      <c r="C436" s="16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</row>
    <row r="437" spans="2:34" ht="15.75" customHeight="1">
      <c r="B437" s="15"/>
      <c r="C437" s="16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</row>
    <row r="438" spans="2:34" ht="15.75" customHeight="1">
      <c r="B438" s="15"/>
      <c r="C438" s="16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</row>
    <row r="439" spans="2:34" ht="15.75" customHeight="1">
      <c r="B439" s="15"/>
      <c r="C439" s="16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</row>
    <row r="440" spans="2:34" ht="15.75" customHeight="1">
      <c r="B440" s="15"/>
      <c r="C440" s="16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</row>
    <row r="441" spans="2:34" ht="15.75" customHeight="1">
      <c r="B441" s="15"/>
      <c r="C441" s="16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</row>
    <row r="442" spans="2:34" ht="15.75" customHeight="1">
      <c r="B442" s="15"/>
      <c r="C442" s="16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</row>
    <row r="443" spans="2:34" ht="15.75" customHeight="1">
      <c r="B443" s="15"/>
      <c r="C443" s="16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</row>
    <row r="444" spans="2:34" ht="15.75" customHeight="1">
      <c r="B444" s="15"/>
      <c r="C444" s="16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</row>
    <row r="445" spans="2:34" ht="15.75" customHeight="1">
      <c r="B445" s="15"/>
      <c r="C445" s="16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</row>
    <row r="446" spans="2:34" ht="15.75" customHeight="1">
      <c r="B446" s="15"/>
      <c r="C446" s="16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</row>
    <row r="447" spans="2:34" ht="15.75" customHeight="1">
      <c r="B447" s="15"/>
      <c r="C447" s="16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</row>
    <row r="448" spans="2:34" ht="15.75" customHeight="1">
      <c r="B448" s="15"/>
      <c r="C448" s="16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</row>
    <row r="449" spans="2:34" ht="15.75" customHeight="1">
      <c r="B449" s="15"/>
      <c r="C449" s="16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</row>
    <row r="450" spans="2:34" ht="15.75" customHeight="1">
      <c r="B450" s="15"/>
      <c r="C450" s="16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</row>
    <row r="451" spans="2:34" ht="15.75" customHeight="1">
      <c r="B451" s="15"/>
      <c r="C451" s="16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</row>
    <row r="452" spans="2:34" ht="15.75" customHeight="1">
      <c r="B452" s="15"/>
      <c r="C452" s="16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</row>
    <row r="453" spans="2:34" ht="15.75" customHeight="1">
      <c r="B453" s="15"/>
      <c r="C453" s="16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</row>
    <row r="454" spans="2:34" ht="15.75" customHeight="1">
      <c r="B454" s="15"/>
      <c r="C454" s="16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</row>
    <row r="455" spans="2:34" ht="15.75" customHeight="1">
      <c r="B455" s="15"/>
      <c r="C455" s="16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</row>
    <row r="456" spans="2:34" ht="15.75" customHeight="1">
      <c r="B456" s="15"/>
      <c r="C456" s="16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</row>
    <row r="457" spans="2:34" ht="15.75" customHeight="1">
      <c r="B457" s="15"/>
      <c r="C457" s="16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</row>
    <row r="458" spans="2:34" ht="15.75" customHeight="1">
      <c r="B458" s="15"/>
      <c r="C458" s="16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</row>
    <row r="459" spans="2:34" ht="15.75" customHeight="1">
      <c r="B459" s="15"/>
      <c r="C459" s="16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</row>
    <row r="460" spans="2:34" ht="15.75" customHeight="1">
      <c r="B460" s="15"/>
      <c r="C460" s="16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</row>
    <row r="461" spans="2:34" ht="15.75" customHeight="1">
      <c r="B461" s="15"/>
      <c r="C461" s="16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</row>
    <row r="462" spans="2:34" ht="15.75" customHeight="1">
      <c r="B462" s="15"/>
      <c r="C462" s="16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</row>
    <row r="463" spans="2:34" ht="15.75" customHeight="1">
      <c r="B463" s="15"/>
      <c r="C463" s="16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</row>
    <row r="464" spans="2:34" ht="15.75" customHeight="1">
      <c r="B464" s="15"/>
      <c r="C464" s="16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</row>
    <row r="465" spans="2:34" ht="15.75" customHeight="1">
      <c r="B465" s="15"/>
      <c r="C465" s="16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</row>
    <row r="466" spans="2:34" ht="15.75" customHeight="1">
      <c r="B466" s="15"/>
      <c r="C466" s="16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</row>
    <row r="467" spans="2:34" ht="15.75" customHeight="1">
      <c r="B467" s="15"/>
      <c r="C467" s="16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</row>
    <row r="468" spans="2:34" ht="15.75" customHeight="1">
      <c r="B468" s="15"/>
      <c r="C468" s="16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</row>
    <row r="469" spans="2:34" ht="15.75" customHeight="1">
      <c r="B469" s="15"/>
      <c r="C469" s="16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</row>
    <row r="470" spans="2:34" ht="15.75" customHeight="1">
      <c r="B470" s="15"/>
      <c r="C470" s="16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</row>
    <row r="471" spans="2:34" ht="15.75" customHeight="1">
      <c r="B471" s="15"/>
      <c r="C471" s="16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</row>
    <row r="472" spans="2:34" ht="15.75" customHeight="1">
      <c r="B472" s="15"/>
      <c r="C472" s="16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</row>
    <row r="473" spans="2:34" ht="15.75" customHeight="1">
      <c r="B473" s="15"/>
      <c r="C473" s="16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</row>
    <row r="474" spans="2:34" ht="15.75" customHeight="1">
      <c r="B474" s="15"/>
      <c r="C474" s="16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</row>
    <row r="475" spans="2:34" ht="15.75" customHeight="1">
      <c r="B475" s="15"/>
      <c r="C475" s="16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</row>
    <row r="476" spans="2:34" ht="15.75" customHeight="1">
      <c r="B476" s="15"/>
      <c r="C476" s="16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</row>
    <row r="477" spans="2:34" ht="15.75" customHeight="1">
      <c r="B477" s="15"/>
      <c r="C477" s="16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</row>
    <row r="478" spans="2:34" ht="15.75" customHeight="1">
      <c r="B478" s="15"/>
      <c r="C478" s="16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</row>
    <row r="479" spans="2:34" ht="15.75" customHeight="1">
      <c r="B479" s="15"/>
      <c r="C479" s="16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</row>
    <row r="480" spans="2:34" ht="15.75" customHeight="1">
      <c r="B480" s="15"/>
      <c r="C480" s="16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</row>
    <row r="481" spans="2:34" ht="15.75" customHeight="1">
      <c r="B481" s="15"/>
      <c r="C481" s="16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</row>
    <row r="482" spans="2:34" ht="15.75" customHeight="1">
      <c r="B482" s="15"/>
      <c r="C482" s="16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</row>
    <row r="483" spans="2:34" ht="15.75" customHeight="1">
      <c r="B483" s="15"/>
      <c r="C483" s="16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</row>
    <row r="484" spans="2:34" ht="15.75" customHeight="1">
      <c r="B484" s="15"/>
      <c r="C484" s="16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</row>
    <row r="485" spans="2:34" ht="15.75" customHeight="1">
      <c r="B485" s="15"/>
      <c r="C485" s="16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</row>
    <row r="486" spans="2:34" ht="15.75" customHeight="1">
      <c r="B486" s="15"/>
      <c r="C486" s="16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</row>
    <row r="487" spans="2:34" ht="15.75" customHeight="1">
      <c r="B487" s="15"/>
      <c r="C487" s="16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</row>
    <row r="488" spans="2:34" ht="15.75" customHeight="1">
      <c r="B488" s="15"/>
      <c r="C488" s="16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</row>
    <row r="489" spans="2:34" ht="15.75" customHeight="1">
      <c r="B489" s="15"/>
      <c r="C489" s="16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</row>
    <row r="490" spans="2:34" ht="15.75" customHeight="1">
      <c r="B490" s="15"/>
      <c r="C490" s="16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</row>
    <row r="491" spans="2:34" ht="15.75" customHeight="1">
      <c r="B491" s="15"/>
      <c r="C491" s="16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</row>
    <row r="492" spans="2:34" ht="15.75" customHeight="1">
      <c r="B492" s="15"/>
      <c r="C492" s="16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</row>
    <row r="493" spans="2:34" ht="15.75" customHeight="1">
      <c r="B493" s="15"/>
      <c r="C493" s="16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</row>
    <row r="494" spans="2:34" ht="15.75" customHeight="1">
      <c r="B494" s="15"/>
      <c r="C494" s="16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</row>
    <row r="495" spans="2:34" ht="15.75" customHeight="1">
      <c r="B495" s="15"/>
      <c r="C495" s="16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</row>
    <row r="496" spans="2:34" ht="15.75" customHeight="1">
      <c r="B496" s="15"/>
      <c r="C496" s="16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</row>
    <row r="497" spans="2:34" ht="15.75" customHeight="1">
      <c r="B497" s="15"/>
      <c r="C497" s="16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</row>
    <row r="498" spans="2:34" ht="15.75" customHeight="1">
      <c r="B498" s="15"/>
      <c r="C498" s="16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</row>
    <row r="499" spans="2:34" ht="15.75" customHeight="1">
      <c r="B499" s="15"/>
      <c r="C499" s="16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</row>
    <row r="500" spans="2:34" ht="15.75" customHeight="1">
      <c r="B500" s="15"/>
      <c r="C500" s="16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</row>
    <row r="501" spans="2:34" ht="15.75" customHeight="1">
      <c r="B501" s="15"/>
      <c r="C501" s="16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</row>
    <row r="502" spans="2:34" ht="15.75" customHeight="1">
      <c r="B502" s="15"/>
      <c r="C502" s="16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</row>
    <row r="503" spans="2:34" ht="15.75" customHeight="1">
      <c r="B503" s="15"/>
      <c r="C503" s="16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</row>
    <row r="504" spans="2:34" ht="15.75" customHeight="1">
      <c r="B504" s="15"/>
      <c r="C504" s="16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</row>
    <row r="505" spans="2:34" ht="15.75" customHeight="1">
      <c r="B505" s="15"/>
      <c r="C505" s="16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</row>
    <row r="506" spans="2:34" ht="15.75" customHeight="1">
      <c r="B506" s="15"/>
      <c r="C506" s="16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</row>
    <row r="507" spans="2:34" ht="15.75" customHeight="1">
      <c r="B507" s="15"/>
      <c r="C507" s="16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</row>
    <row r="508" spans="2:34" ht="15.75" customHeight="1">
      <c r="B508" s="15"/>
      <c r="C508" s="16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</row>
    <row r="509" spans="2:34" ht="15.75" customHeight="1">
      <c r="B509" s="15"/>
      <c r="C509" s="16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</row>
    <row r="510" spans="2:34" ht="15.75" customHeight="1">
      <c r="B510" s="15"/>
      <c r="C510" s="16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</row>
    <row r="511" spans="2:34" ht="15.75" customHeight="1">
      <c r="B511" s="15"/>
      <c r="C511" s="16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</row>
    <row r="512" spans="2:34" ht="15.75" customHeight="1">
      <c r="B512" s="15"/>
      <c r="C512" s="16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</row>
    <row r="513" spans="2:34" ht="15.75" customHeight="1">
      <c r="B513" s="15"/>
      <c r="C513" s="16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</row>
    <row r="514" spans="2:34" ht="15.75" customHeight="1">
      <c r="B514" s="15"/>
      <c r="C514" s="16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</row>
    <row r="515" spans="2:34" ht="15.75" customHeight="1">
      <c r="B515" s="15"/>
      <c r="C515" s="16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</row>
    <row r="516" spans="2:34" ht="15.75" customHeight="1">
      <c r="B516" s="15"/>
      <c r="C516" s="16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</row>
    <row r="517" spans="2:34" ht="15.75" customHeight="1">
      <c r="B517" s="15"/>
      <c r="C517" s="16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</row>
    <row r="518" spans="2:34" ht="15.75" customHeight="1">
      <c r="B518" s="15"/>
      <c r="C518" s="16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</row>
    <row r="519" spans="2:34" ht="15.75" customHeight="1">
      <c r="B519" s="15"/>
      <c r="C519" s="16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</row>
    <row r="520" spans="2:34" ht="15.75" customHeight="1">
      <c r="B520" s="15"/>
      <c r="C520" s="16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</row>
    <row r="521" spans="2:34" ht="15.75" customHeight="1">
      <c r="B521" s="15"/>
      <c r="C521" s="16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</row>
    <row r="522" spans="2:34" ht="15.75" customHeight="1">
      <c r="B522" s="15"/>
      <c r="C522" s="16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</row>
    <row r="523" spans="2:34" ht="15.75" customHeight="1">
      <c r="B523" s="15"/>
      <c r="C523" s="16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</row>
    <row r="524" spans="2:34" ht="15.75" customHeight="1">
      <c r="B524" s="15"/>
      <c r="C524" s="16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</row>
    <row r="525" spans="2:34" ht="15.75" customHeight="1">
      <c r="B525" s="15"/>
      <c r="C525" s="16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</row>
    <row r="526" spans="2:34" ht="15.75" customHeight="1">
      <c r="B526" s="15"/>
      <c r="C526" s="16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</row>
    <row r="527" spans="2:34" ht="15.75" customHeight="1">
      <c r="B527" s="15"/>
      <c r="C527" s="16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</row>
    <row r="528" spans="2:34" ht="15.75" customHeight="1">
      <c r="B528" s="15"/>
      <c r="C528" s="16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</row>
    <row r="529" spans="2:34" ht="15.75" customHeight="1">
      <c r="B529" s="15"/>
      <c r="C529" s="16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</row>
    <row r="530" spans="2:34" ht="15.75" customHeight="1">
      <c r="B530" s="15"/>
      <c r="C530" s="16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</row>
    <row r="531" spans="2:34" ht="15.75" customHeight="1">
      <c r="B531" s="15"/>
      <c r="C531" s="16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</row>
    <row r="532" spans="2:34" ht="15.75" customHeight="1">
      <c r="B532" s="15"/>
      <c r="C532" s="16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</row>
    <row r="533" spans="2:34" ht="15.75" customHeight="1">
      <c r="B533" s="15"/>
      <c r="C533" s="16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</row>
    <row r="534" spans="2:34" ht="15.75" customHeight="1">
      <c r="B534" s="15"/>
      <c r="C534" s="16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</row>
    <row r="535" spans="2:34" ht="15.75" customHeight="1">
      <c r="B535" s="15"/>
      <c r="C535" s="16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</row>
    <row r="536" spans="2:34" ht="15.75" customHeight="1">
      <c r="B536" s="15"/>
      <c r="C536" s="16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</row>
    <row r="537" spans="2:34" ht="15.75" customHeight="1">
      <c r="B537" s="15"/>
      <c r="C537" s="16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</row>
    <row r="538" spans="2:34" ht="15.75" customHeight="1">
      <c r="B538" s="15"/>
      <c r="C538" s="16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</row>
    <row r="539" spans="2:34" ht="15.75" customHeight="1">
      <c r="B539" s="15"/>
      <c r="C539" s="16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</row>
    <row r="540" spans="2:34" ht="15.75" customHeight="1">
      <c r="B540" s="15"/>
      <c r="C540" s="16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</row>
    <row r="541" spans="2:34" ht="15.75" customHeight="1">
      <c r="B541" s="15"/>
      <c r="C541" s="16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</row>
    <row r="542" spans="2:34" ht="15.75" customHeight="1">
      <c r="B542" s="15"/>
      <c r="C542" s="16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</row>
    <row r="543" spans="2:34" ht="15.75" customHeight="1">
      <c r="B543" s="15"/>
      <c r="C543" s="16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</row>
    <row r="544" spans="2:34" ht="15.75" customHeight="1">
      <c r="B544" s="15"/>
      <c r="C544" s="16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</row>
    <row r="545" spans="2:34" ht="15.75" customHeight="1">
      <c r="B545" s="15"/>
      <c r="C545" s="16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</row>
    <row r="546" spans="2:34" ht="15.75" customHeight="1">
      <c r="B546" s="15"/>
      <c r="C546" s="16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</row>
    <row r="547" spans="2:34" ht="15.75" customHeight="1">
      <c r="B547" s="15"/>
      <c r="C547" s="16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</row>
    <row r="548" spans="2:34" ht="15.75" customHeight="1">
      <c r="B548" s="15"/>
      <c r="C548" s="16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</row>
    <row r="549" spans="2:34" ht="15.75" customHeight="1">
      <c r="B549" s="15"/>
      <c r="C549" s="16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</row>
    <row r="550" spans="2:34" ht="15.75" customHeight="1">
      <c r="B550" s="15"/>
      <c r="C550" s="16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</row>
    <row r="551" spans="2:34" ht="15.75" customHeight="1">
      <c r="B551" s="15"/>
      <c r="C551" s="16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</row>
    <row r="552" spans="2:34" ht="15.75" customHeight="1">
      <c r="B552" s="15"/>
      <c r="C552" s="16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</row>
    <row r="553" spans="2:34" ht="15.75" customHeight="1">
      <c r="B553" s="15"/>
      <c r="C553" s="16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</row>
    <row r="554" spans="2:34" ht="15.75" customHeight="1">
      <c r="B554" s="15"/>
      <c r="C554" s="16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</row>
    <row r="555" spans="2:34" ht="15.75" customHeight="1">
      <c r="B555" s="15"/>
      <c r="C555" s="16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</row>
    <row r="556" spans="2:34" ht="15.75" customHeight="1">
      <c r="B556" s="15"/>
      <c r="C556" s="16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</row>
    <row r="557" spans="2:34" ht="15.75" customHeight="1">
      <c r="B557" s="15"/>
      <c r="C557" s="16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</row>
    <row r="558" spans="2:34" ht="15.75" customHeight="1">
      <c r="B558" s="15"/>
      <c r="C558" s="16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</row>
    <row r="559" spans="2:34" ht="15.75" customHeight="1">
      <c r="B559" s="15"/>
      <c r="C559" s="16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</row>
    <row r="560" spans="2:34" ht="15.75" customHeight="1">
      <c r="B560" s="15"/>
      <c r="C560" s="16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</row>
    <row r="561" spans="2:34" ht="15.75" customHeight="1">
      <c r="B561" s="15"/>
      <c r="C561" s="16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</row>
    <row r="562" spans="2:34" ht="15.75" customHeight="1">
      <c r="B562" s="15"/>
      <c r="C562" s="16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</row>
    <row r="563" spans="2:34" ht="15.75" customHeight="1">
      <c r="B563" s="15"/>
      <c r="C563" s="16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</row>
    <row r="564" spans="2:34" ht="15.75" customHeight="1">
      <c r="B564" s="15"/>
      <c r="C564" s="16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</row>
    <row r="565" spans="2:34" ht="15.75" customHeight="1">
      <c r="B565" s="15"/>
      <c r="C565" s="16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</row>
    <row r="566" spans="2:34" ht="15.75" customHeight="1">
      <c r="B566" s="15"/>
      <c r="C566" s="16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</row>
    <row r="567" spans="2:34" ht="15.75" customHeight="1">
      <c r="B567" s="15"/>
      <c r="C567" s="16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</row>
    <row r="568" spans="2:34" ht="15.75" customHeight="1">
      <c r="B568" s="15"/>
      <c r="C568" s="16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</row>
    <row r="569" spans="2:34" ht="15.75" customHeight="1">
      <c r="B569" s="15"/>
      <c r="C569" s="16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</row>
    <row r="570" spans="2:34" ht="15.75" customHeight="1">
      <c r="B570" s="15"/>
      <c r="C570" s="16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</row>
    <row r="571" spans="2:34" ht="15.75" customHeight="1">
      <c r="B571" s="15"/>
      <c r="C571" s="16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</row>
    <row r="572" spans="2:34" ht="15.75" customHeight="1">
      <c r="B572" s="15"/>
      <c r="C572" s="16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</row>
    <row r="573" spans="2:34" ht="15.75" customHeight="1">
      <c r="B573" s="15"/>
      <c r="C573" s="16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</row>
    <row r="574" spans="2:34" ht="15.75" customHeight="1">
      <c r="B574" s="15"/>
      <c r="C574" s="16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</row>
    <row r="575" spans="2:34" ht="15.75" customHeight="1">
      <c r="B575" s="15"/>
      <c r="C575" s="16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</row>
    <row r="576" spans="2:34" ht="15.75" customHeight="1">
      <c r="B576" s="15"/>
      <c r="C576" s="16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</row>
    <row r="577" spans="2:34" ht="15.75" customHeight="1">
      <c r="B577" s="15"/>
      <c r="C577" s="16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</row>
    <row r="578" spans="2:34" ht="15.75" customHeight="1">
      <c r="B578" s="15"/>
      <c r="C578" s="16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</row>
    <row r="579" spans="2:34" ht="15.75" customHeight="1">
      <c r="B579" s="15"/>
      <c r="C579" s="16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</row>
    <row r="580" spans="2:34" ht="15.75" customHeight="1">
      <c r="B580" s="15"/>
      <c r="C580" s="16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</row>
    <row r="581" spans="2:34" ht="15.75" customHeight="1">
      <c r="B581" s="15"/>
      <c r="C581" s="16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</row>
    <row r="582" spans="2:34" ht="15.75" customHeight="1">
      <c r="B582" s="15"/>
      <c r="C582" s="16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</row>
    <row r="583" spans="2:34" ht="15.75" customHeight="1">
      <c r="B583" s="15"/>
      <c r="C583" s="16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</row>
    <row r="584" spans="2:34" ht="15.75" customHeight="1">
      <c r="B584" s="15"/>
      <c r="C584" s="16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</row>
    <row r="585" spans="2:34" ht="15.75" customHeight="1">
      <c r="B585" s="15"/>
      <c r="C585" s="16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</row>
    <row r="586" spans="2:34" ht="15.75" customHeight="1">
      <c r="B586" s="15"/>
      <c r="C586" s="16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</row>
    <row r="587" spans="2:34" ht="15.75" customHeight="1">
      <c r="B587" s="15"/>
      <c r="C587" s="16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</row>
    <row r="588" spans="2:34" ht="15.75" customHeight="1">
      <c r="B588" s="15"/>
      <c r="C588" s="16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</row>
    <row r="589" spans="2:34" ht="15.75" customHeight="1">
      <c r="B589" s="15"/>
      <c r="C589" s="16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</row>
    <row r="590" spans="2:34" ht="15.75" customHeight="1">
      <c r="B590" s="15"/>
      <c r="C590" s="16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</row>
    <row r="591" spans="2:34" ht="15.75" customHeight="1">
      <c r="B591" s="15"/>
      <c r="C591" s="16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</row>
    <row r="592" spans="2:34" ht="15.75" customHeight="1">
      <c r="B592" s="15"/>
      <c r="C592" s="16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</row>
    <row r="593" spans="2:34" ht="15.75" customHeight="1">
      <c r="B593" s="15"/>
      <c r="C593" s="16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</row>
    <row r="594" spans="2:34" ht="15.75" customHeight="1">
      <c r="B594" s="15"/>
      <c r="C594" s="16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</row>
    <row r="595" spans="2:34" ht="15.75" customHeight="1">
      <c r="B595" s="15"/>
      <c r="C595" s="16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</row>
    <row r="596" spans="2:34" ht="15.75" customHeight="1">
      <c r="B596" s="15"/>
      <c r="C596" s="16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</row>
    <row r="597" spans="2:34" ht="15.75" customHeight="1">
      <c r="B597" s="15"/>
      <c r="C597" s="16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</row>
    <row r="598" spans="2:34" ht="15.75" customHeight="1">
      <c r="B598" s="15"/>
      <c r="C598" s="16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</row>
    <row r="599" spans="2:34" ht="15.75" customHeight="1">
      <c r="B599" s="15"/>
      <c r="C599" s="16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</row>
    <row r="600" spans="2:34" ht="15.75" customHeight="1">
      <c r="B600" s="15"/>
      <c r="C600" s="16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</row>
    <row r="601" spans="2:34" ht="15.75" customHeight="1">
      <c r="B601" s="15"/>
      <c r="C601" s="16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</row>
    <row r="602" spans="2:34" ht="15.75" customHeight="1">
      <c r="B602" s="15"/>
      <c r="C602" s="16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</row>
    <row r="603" spans="2:34" ht="15.75" customHeight="1">
      <c r="B603" s="15"/>
      <c r="C603" s="16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</row>
    <row r="604" spans="2:34" ht="15.75" customHeight="1">
      <c r="B604" s="15"/>
      <c r="C604" s="16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</row>
    <row r="605" spans="2:34" ht="15.75" customHeight="1">
      <c r="B605" s="15"/>
      <c r="C605" s="16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</row>
    <row r="606" spans="2:34" ht="15.75" customHeight="1">
      <c r="B606" s="15"/>
      <c r="C606" s="16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</row>
    <row r="607" spans="2:34" ht="15.75" customHeight="1">
      <c r="B607" s="15"/>
      <c r="C607" s="16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</row>
    <row r="608" spans="2:34" ht="15.75" customHeight="1">
      <c r="B608" s="15"/>
      <c r="C608" s="16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</row>
    <row r="609" spans="2:34" ht="15.75" customHeight="1">
      <c r="B609" s="15"/>
      <c r="C609" s="16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</row>
    <row r="610" spans="2:34" ht="15.75" customHeight="1">
      <c r="B610" s="15"/>
      <c r="C610" s="16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</row>
    <row r="611" spans="2:34" ht="15.75" customHeight="1">
      <c r="B611" s="15"/>
      <c r="C611" s="16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</row>
    <row r="612" spans="2:34" ht="15.75" customHeight="1">
      <c r="B612" s="15"/>
      <c r="C612" s="16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</row>
    <row r="613" spans="2:34" ht="15.75" customHeight="1">
      <c r="B613" s="15"/>
      <c r="C613" s="16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</row>
    <row r="614" spans="2:34" ht="15.75" customHeight="1">
      <c r="B614" s="15"/>
      <c r="C614" s="16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</row>
    <row r="615" spans="2:34" ht="15.75" customHeight="1">
      <c r="B615" s="15"/>
      <c r="C615" s="16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</row>
    <row r="616" spans="2:34" ht="15.75" customHeight="1">
      <c r="B616" s="15"/>
      <c r="C616" s="16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</row>
    <row r="617" spans="2:34" ht="15.75" customHeight="1">
      <c r="B617" s="15"/>
      <c r="C617" s="16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</row>
    <row r="618" spans="2:34" ht="15.75" customHeight="1">
      <c r="B618" s="15"/>
      <c r="C618" s="16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</row>
    <row r="619" spans="2:34" ht="15.75" customHeight="1">
      <c r="B619" s="15"/>
      <c r="C619" s="16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</row>
    <row r="620" spans="2:34" ht="15.75" customHeight="1">
      <c r="B620" s="15"/>
      <c r="C620" s="16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</row>
    <row r="621" spans="2:34" ht="15.75" customHeight="1">
      <c r="B621" s="15"/>
      <c r="C621" s="16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</row>
    <row r="622" spans="2:34" ht="15.75" customHeight="1">
      <c r="B622" s="15"/>
      <c r="C622" s="16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</row>
    <row r="623" spans="2:34" ht="15.75" customHeight="1">
      <c r="B623" s="15"/>
      <c r="C623" s="16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</row>
    <row r="624" spans="2:34" ht="15.75" customHeight="1">
      <c r="B624" s="15"/>
      <c r="C624" s="16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</row>
    <row r="625" spans="2:34" ht="15.75" customHeight="1">
      <c r="B625" s="15"/>
      <c r="C625" s="16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</row>
    <row r="626" spans="2:34" ht="15.75" customHeight="1">
      <c r="B626" s="15"/>
      <c r="C626" s="16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</row>
    <row r="627" spans="2:34" ht="15.75" customHeight="1">
      <c r="B627" s="15"/>
      <c r="C627" s="16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</row>
    <row r="628" spans="2:34" ht="15.75" customHeight="1">
      <c r="B628" s="15"/>
      <c r="C628" s="16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</row>
    <row r="629" spans="2:34" ht="15.75" customHeight="1">
      <c r="B629" s="15"/>
      <c r="C629" s="16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</row>
    <row r="630" spans="2:34" ht="15.75" customHeight="1">
      <c r="B630" s="15"/>
      <c r="C630" s="16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</row>
    <row r="631" spans="2:34" ht="15.75" customHeight="1">
      <c r="B631" s="15"/>
      <c r="C631" s="16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</row>
    <row r="632" spans="2:34" ht="15.75" customHeight="1">
      <c r="B632" s="15"/>
      <c r="C632" s="16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</row>
    <row r="633" spans="2:34" ht="15.75" customHeight="1">
      <c r="B633" s="15"/>
      <c r="C633" s="16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</row>
    <row r="634" spans="2:34" ht="15.75" customHeight="1">
      <c r="B634" s="15"/>
      <c r="C634" s="16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</row>
    <row r="635" spans="2:34" ht="15.75" customHeight="1">
      <c r="B635" s="15"/>
      <c r="C635" s="16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</row>
    <row r="636" spans="2:34" ht="15.75" customHeight="1">
      <c r="B636" s="15"/>
      <c r="C636" s="16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</row>
    <row r="637" spans="2:34" ht="15.75" customHeight="1">
      <c r="B637" s="15"/>
      <c r="C637" s="16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</row>
    <row r="638" spans="2:34" ht="15.75" customHeight="1">
      <c r="B638" s="15"/>
      <c r="C638" s="16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</row>
    <row r="639" spans="2:34" ht="15.75" customHeight="1">
      <c r="B639" s="15"/>
      <c r="C639" s="16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</row>
    <row r="640" spans="2:34" ht="15.75" customHeight="1">
      <c r="B640" s="15"/>
      <c r="C640" s="16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</row>
    <row r="641" spans="2:34" ht="15.75" customHeight="1">
      <c r="B641" s="15"/>
      <c r="C641" s="16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</row>
    <row r="642" spans="2:34" ht="15.75" customHeight="1">
      <c r="B642" s="15"/>
      <c r="C642" s="16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</row>
    <row r="643" spans="2:34" ht="15.75" customHeight="1">
      <c r="B643" s="15"/>
      <c r="C643" s="16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</row>
    <row r="644" spans="2:34" ht="15.75" customHeight="1">
      <c r="B644" s="15"/>
      <c r="C644" s="16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</row>
    <row r="645" spans="2:34" ht="15.75" customHeight="1">
      <c r="B645" s="15"/>
      <c r="C645" s="16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</row>
    <row r="646" spans="2:34" ht="15.75" customHeight="1">
      <c r="B646" s="15"/>
      <c r="C646" s="16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</row>
    <row r="647" spans="2:34" ht="15.75" customHeight="1">
      <c r="B647" s="15"/>
      <c r="C647" s="16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</row>
    <row r="648" spans="2:34" ht="15.75" customHeight="1">
      <c r="B648" s="15"/>
      <c r="C648" s="16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</row>
    <row r="649" spans="2:34" ht="15.75" customHeight="1">
      <c r="B649" s="15"/>
      <c r="C649" s="16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</row>
    <row r="650" spans="2:34" ht="15.75" customHeight="1">
      <c r="B650" s="15"/>
      <c r="C650" s="16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</row>
    <row r="651" spans="2:34" ht="15.75" customHeight="1">
      <c r="B651" s="15"/>
      <c r="C651" s="16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</row>
    <row r="652" spans="2:34" ht="15.75" customHeight="1">
      <c r="B652" s="15"/>
      <c r="C652" s="16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</row>
    <row r="653" spans="2:34" ht="15.75" customHeight="1">
      <c r="B653" s="15"/>
      <c r="C653" s="16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</row>
    <row r="654" spans="2:34" ht="15.75" customHeight="1">
      <c r="B654" s="15"/>
      <c r="C654" s="16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</row>
    <row r="655" spans="2:34" ht="15.75" customHeight="1">
      <c r="B655" s="15"/>
      <c r="C655" s="16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</row>
    <row r="656" spans="2:34" ht="15.75" customHeight="1">
      <c r="B656" s="15"/>
      <c r="C656" s="16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</row>
    <row r="657" spans="2:34" ht="15.75" customHeight="1">
      <c r="B657" s="15"/>
      <c r="C657" s="16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</row>
    <row r="658" spans="2:34" ht="15.75" customHeight="1">
      <c r="B658" s="15"/>
      <c r="C658" s="16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</row>
    <row r="659" spans="2:34" ht="15.75" customHeight="1">
      <c r="B659" s="15"/>
      <c r="C659" s="16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</row>
    <row r="660" spans="2:34" ht="15.75" customHeight="1">
      <c r="B660" s="15"/>
      <c r="C660" s="16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</row>
    <row r="661" spans="2:34" ht="15.75" customHeight="1">
      <c r="B661" s="15"/>
      <c r="C661" s="16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</row>
    <row r="662" spans="2:34" ht="15.75" customHeight="1">
      <c r="B662" s="15"/>
      <c r="C662" s="16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</row>
    <row r="663" spans="2:34" ht="15.75" customHeight="1">
      <c r="B663" s="15"/>
      <c r="C663" s="16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</row>
    <row r="664" spans="2:34" ht="15.75" customHeight="1">
      <c r="B664" s="15"/>
      <c r="C664" s="16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</row>
    <row r="665" spans="2:34" ht="15.75" customHeight="1">
      <c r="B665" s="15"/>
      <c r="C665" s="16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</row>
    <row r="666" spans="2:34" ht="15.75" customHeight="1">
      <c r="B666" s="15"/>
      <c r="C666" s="16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</row>
    <row r="667" spans="2:34" ht="15.75" customHeight="1">
      <c r="B667" s="15"/>
      <c r="C667" s="16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</row>
    <row r="668" spans="2:34" ht="15.75" customHeight="1">
      <c r="B668" s="15"/>
      <c r="C668" s="16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</row>
    <row r="669" spans="2:34" ht="15.75" customHeight="1">
      <c r="B669" s="15"/>
      <c r="C669" s="16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</row>
    <row r="670" spans="2:34" ht="15.75" customHeight="1">
      <c r="B670" s="15"/>
      <c r="C670" s="16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</row>
    <row r="671" spans="2:34" ht="15.75" customHeight="1">
      <c r="B671" s="15"/>
      <c r="C671" s="16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</row>
    <row r="672" spans="2:34" ht="15.75" customHeight="1">
      <c r="B672" s="15"/>
      <c r="C672" s="16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</row>
    <row r="673" spans="2:34" ht="15.75" customHeight="1">
      <c r="B673" s="15"/>
      <c r="C673" s="16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</row>
    <row r="674" spans="2:34" ht="15.75" customHeight="1">
      <c r="B674" s="15"/>
      <c r="C674" s="16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</row>
    <row r="675" spans="2:34" ht="15.75" customHeight="1">
      <c r="B675" s="15"/>
      <c r="C675" s="16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</row>
    <row r="676" spans="2:34" ht="15.75" customHeight="1">
      <c r="B676" s="15"/>
      <c r="C676" s="16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</row>
    <row r="677" spans="2:34" ht="15.75" customHeight="1">
      <c r="B677" s="15"/>
      <c r="C677" s="16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</row>
    <row r="678" spans="2:34" ht="15.75" customHeight="1">
      <c r="B678" s="15"/>
      <c r="C678" s="16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</row>
    <row r="679" spans="2:34" ht="15.75" customHeight="1">
      <c r="B679" s="15"/>
      <c r="C679" s="16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</row>
    <row r="680" spans="2:34" ht="15.75" customHeight="1">
      <c r="B680" s="15"/>
      <c r="C680" s="16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</row>
    <row r="681" spans="2:34" ht="15.75" customHeight="1">
      <c r="B681" s="15"/>
      <c r="C681" s="16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</row>
    <row r="682" spans="2:34" ht="15.75" customHeight="1">
      <c r="B682" s="15"/>
      <c r="C682" s="16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</row>
    <row r="683" spans="2:34" ht="15.75" customHeight="1">
      <c r="B683" s="15"/>
      <c r="C683" s="16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</row>
    <row r="684" spans="2:34" ht="15.75" customHeight="1">
      <c r="B684" s="15"/>
      <c r="C684" s="16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</row>
    <row r="685" spans="2:34" ht="15.75" customHeight="1">
      <c r="B685" s="15"/>
      <c r="C685" s="16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</row>
    <row r="686" spans="2:34" ht="15.75" customHeight="1">
      <c r="B686" s="15"/>
      <c r="C686" s="16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</row>
    <row r="687" spans="2:34" ht="15.75" customHeight="1">
      <c r="B687" s="15"/>
      <c r="C687" s="16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</row>
    <row r="688" spans="2:34" ht="15.75" customHeight="1">
      <c r="B688" s="15"/>
      <c r="C688" s="16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</row>
    <row r="689" spans="2:34" ht="15.75" customHeight="1">
      <c r="B689" s="15"/>
      <c r="C689" s="16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</row>
    <row r="690" spans="2:34" ht="15.75" customHeight="1">
      <c r="B690" s="15"/>
      <c r="C690" s="16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</row>
    <row r="691" spans="2:34" ht="15.75" customHeight="1">
      <c r="B691" s="15"/>
      <c r="C691" s="16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</row>
    <row r="692" spans="2:34" ht="15.75" customHeight="1">
      <c r="B692" s="15"/>
      <c r="C692" s="16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</row>
    <row r="693" spans="2:34" ht="15.75" customHeight="1">
      <c r="B693" s="15"/>
      <c r="C693" s="16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</row>
    <row r="694" spans="2:34" ht="15.75" customHeight="1">
      <c r="B694" s="15"/>
      <c r="C694" s="16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</row>
    <row r="695" spans="2:34" ht="15.75" customHeight="1">
      <c r="B695" s="15"/>
      <c r="C695" s="16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</row>
    <row r="696" spans="2:34" ht="15.75" customHeight="1">
      <c r="B696" s="15"/>
      <c r="C696" s="16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</row>
    <row r="697" spans="2:34" ht="15.75" customHeight="1">
      <c r="B697" s="15"/>
      <c r="C697" s="16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</row>
    <row r="698" spans="2:34" ht="15.75" customHeight="1">
      <c r="B698" s="15"/>
      <c r="C698" s="16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</row>
    <row r="699" spans="2:34" ht="15.75" customHeight="1">
      <c r="B699" s="15"/>
      <c r="C699" s="16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</row>
    <row r="700" spans="2:34" ht="15.75" customHeight="1">
      <c r="B700" s="15"/>
      <c r="C700" s="16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</row>
    <row r="701" spans="2:34" ht="15.75" customHeight="1">
      <c r="B701" s="15"/>
      <c r="C701" s="16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</row>
    <row r="702" spans="2:34" ht="15.75" customHeight="1">
      <c r="B702" s="15"/>
      <c r="C702" s="16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</row>
    <row r="703" spans="2:34" ht="15.75" customHeight="1">
      <c r="B703" s="15"/>
      <c r="C703" s="16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</row>
    <row r="704" spans="2:34" ht="15.75" customHeight="1">
      <c r="B704" s="15"/>
      <c r="C704" s="16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</row>
    <row r="705" spans="2:34" ht="15.75" customHeight="1">
      <c r="B705" s="15"/>
      <c r="C705" s="16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</row>
    <row r="706" spans="2:34" ht="15.75" customHeight="1">
      <c r="B706" s="15"/>
      <c r="C706" s="16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</row>
    <row r="707" spans="2:34" ht="15.75" customHeight="1">
      <c r="B707" s="15"/>
      <c r="C707" s="16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</row>
    <row r="708" spans="2:34" ht="15.75" customHeight="1">
      <c r="B708" s="15"/>
      <c r="C708" s="16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</row>
    <row r="709" spans="2:34" ht="15.75" customHeight="1">
      <c r="B709" s="15"/>
      <c r="C709" s="16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</row>
    <row r="710" spans="2:34" ht="15.75" customHeight="1">
      <c r="B710" s="15"/>
      <c r="C710" s="16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</row>
    <row r="711" spans="2:34" ht="15.75" customHeight="1">
      <c r="B711" s="15"/>
      <c r="C711" s="16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</row>
    <row r="712" spans="2:34" ht="15.75" customHeight="1">
      <c r="B712" s="15"/>
      <c r="C712" s="16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</row>
    <row r="713" spans="2:34" ht="15.75" customHeight="1">
      <c r="B713" s="15"/>
      <c r="C713" s="16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</row>
    <row r="714" spans="2:34" ht="15.75" customHeight="1">
      <c r="B714" s="15"/>
      <c r="C714" s="16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</row>
    <row r="715" spans="2:34" ht="15.75" customHeight="1">
      <c r="B715" s="15"/>
      <c r="C715" s="16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</row>
    <row r="716" spans="2:34" ht="15.75" customHeight="1">
      <c r="B716" s="15"/>
      <c r="C716" s="16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</row>
    <row r="717" spans="2:34" ht="15.75" customHeight="1">
      <c r="B717" s="15"/>
      <c r="C717" s="16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</row>
    <row r="718" spans="2:34" ht="15.75" customHeight="1">
      <c r="B718" s="15"/>
      <c r="C718" s="16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</row>
    <row r="719" spans="2:34" ht="15.75" customHeight="1">
      <c r="B719" s="15"/>
      <c r="C719" s="16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</row>
    <row r="720" spans="2:34" ht="15.75" customHeight="1">
      <c r="B720" s="15"/>
      <c r="C720" s="16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</row>
    <row r="721" spans="2:34" ht="15.75" customHeight="1">
      <c r="B721" s="15"/>
      <c r="C721" s="16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</row>
    <row r="722" spans="2:34" ht="15.75" customHeight="1">
      <c r="B722" s="15"/>
      <c r="C722" s="16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</row>
    <row r="723" spans="2:34" ht="15.75" customHeight="1">
      <c r="B723" s="15"/>
      <c r="C723" s="16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</row>
    <row r="724" spans="2:34" ht="15.75" customHeight="1">
      <c r="B724" s="15"/>
      <c r="C724" s="16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</row>
    <row r="725" spans="2:34" ht="15.75" customHeight="1">
      <c r="B725" s="15"/>
      <c r="C725" s="16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</row>
    <row r="726" spans="2:34" ht="15.75" customHeight="1">
      <c r="B726" s="15"/>
      <c r="C726" s="16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</row>
    <row r="727" spans="2:34" ht="15.75" customHeight="1">
      <c r="B727" s="15"/>
      <c r="C727" s="16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</row>
    <row r="728" spans="2:34" ht="15.75" customHeight="1">
      <c r="B728" s="15"/>
      <c r="C728" s="16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</row>
    <row r="729" spans="2:34" ht="15.75" customHeight="1">
      <c r="B729" s="15"/>
      <c r="C729" s="16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</row>
    <row r="730" spans="2:34" ht="15.75" customHeight="1">
      <c r="B730" s="15"/>
      <c r="C730" s="16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</row>
    <row r="731" spans="2:34" ht="15.75" customHeight="1">
      <c r="B731" s="15"/>
      <c r="C731" s="16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</row>
    <row r="732" spans="2:34" ht="15.75" customHeight="1">
      <c r="B732" s="15"/>
      <c r="C732" s="16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</row>
    <row r="733" spans="2:34" ht="15.75" customHeight="1">
      <c r="B733" s="15"/>
      <c r="C733" s="16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</row>
    <row r="734" spans="2:34" ht="15.75" customHeight="1">
      <c r="B734" s="15"/>
      <c r="C734" s="16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</row>
    <row r="735" spans="2:34" ht="15.75" customHeight="1">
      <c r="B735" s="15"/>
      <c r="C735" s="16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</row>
    <row r="736" spans="2:34" ht="15.75" customHeight="1">
      <c r="B736" s="15"/>
      <c r="C736" s="16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</row>
    <row r="737" spans="2:34" ht="15.75" customHeight="1">
      <c r="B737" s="15"/>
      <c r="C737" s="16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</row>
    <row r="738" spans="2:34" ht="15.75" customHeight="1">
      <c r="B738" s="15"/>
      <c r="C738" s="16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</row>
    <row r="739" spans="2:34" ht="15.75" customHeight="1">
      <c r="B739" s="15"/>
      <c r="C739" s="16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</row>
    <row r="740" spans="2:34" ht="15.75" customHeight="1">
      <c r="B740" s="15"/>
      <c r="C740" s="16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</row>
    <row r="741" spans="2:34" ht="15.75" customHeight="1">
      <c r="B741" s="15"/>
      <c r="C741" s="16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</row>
    <row r="742" spans="2:34" ht="15.75" customHeight="1">
      <c r="B742" s="15"/>
      <c r="C742" s="16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</row>
    <row r="743" spans="2:34" ht="15.75" customHeight="1">
      <c r="B743" s="15"/>
      <c r="C743" s="16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</row>
    <row r="744" spans="2:34" ht="15.75" customHeight="1">
      <c r="B744" s="15"/>
      <c r="C744" s="16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</row>
    <row r="745" spans="2:34" ht="15.75" customHeight="1">
      <c r="B745" s="15"/>
      <c r="C745" s="16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</row>
    <row r="746" spans="2:34" ht="15.75" customHeight="1">
      <c r="B746" s="15"/>
      <c r="C746" s="16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</row>
    <row r="747" spans="2:34" ht="15.75" customHeight="1">
      <c r="B747" s="15"/>
      <c r="C747" s="16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</row>
    <row r="748" spans="2:34" ht="15.75" customHeight="1">
      <c r="B748" s="15"/>
      <c r="C748" s="16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</row>
    <row r="749" spans="2:34" ht="15.75" customHeight="1">
      <c r="B749" s="15"/>
      <c r="C749" s="16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</row>
    <row r="750" spans="2:34" ht="15.75" customHeight="1">
      <c r="B750" s="15"/>
      <c r="C750" s="16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</row>
    <row r="751" spans="2:34" ht="15.75" customHeight="1">
      <c r="B751" s="15"/>
      <c r="C751" s="16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</row>
    <row r="752" spans="2:34" ht="15.75" customHeight="1">
      <c r="B752" s="15"/>
      <c r="C752" s="16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</row>
    <row r="753" spans="2:34" ht="15.75" customHeight="1">
      <c r="B753" s="15"/>
      <c r="C753" s="16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</row>
    <row r="754" spans="2:34" ht="15.75" customHeight="1">
      <c r="B754" s="15"/>
      <c r="C754" s="16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</row>
    <row r="755" spans="2:34" ht="15.75" customHeight="1">
      <c r="B755" s="15"/>
      <c r="C755" s="16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</row>
    <row r="756" spans="2:34" ht="15.75" customHeight="1">
      <c r="B756" s="15"/>
      <c r="C756" s="16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</row>
    <row r="757" spans="2:34" ht="15.75" customHeight="1">
      <c r="B757" s="15"/>
      <c r="C757" s="16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</row>
    <row r="758" spans="2:34" ht="15.75" customHeight="1">
      <c r="B758" s="15"/>
      <c r="C758" s="16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</row>
    <row r="759" spans="2:34" ht="15.75" customHeight="1">
      <c r="B759" s="15"/>
      <c r="C759" s="16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</row>
    <row r="760" spans="2:34" ht="15.75" customHeight="1">
      <c r="B760" s="15"/>
      <c r="C760" s="16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</row>
    <row r="761" spans="2:34" ht="15.75" customHeight="1">
      <c r="B761" s="15"/>
      <c r="C761" s="16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</row>
    <row r="762" spans="2:34" ht="15.75" customHeight="1">
      <c r="B762" s="15"/>
      <c r="C762" s="16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</row>
    <row r="763" spans="2:34" ht="15.75" customHeight="1">
      <c r="B763" s="15"/>
      <c r="C763" s="16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</row>
    <row r="764" spans="2:34" ht="15.75" customHeight="1">
      <c r="B764" s="15"/>
      <c r="C764" s="16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</row>
    <row r="765" spans="2:34" ht="15.75" customHeight="1">
      <c r="B765" s="15"/>
      <c r="C765" s="16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</row>
    <row r="766" spans="2:34" ht="15.75" customHeight="1">
      <c r="B766" s="15"/>
      <c r="C766" s="16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</row>
    <row r="767" spans="2:34" ht="15.75" customHeight="1">
      <c r="B767" s="15"/>
      <c r="C767" s="16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</row>
    <row r="768" spans="2:34" ht="15.75" customHeight="1">
      <c r="B768" s="15"/>
      <c r="C768" s="16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</row>
    <row r="769" spans="2:34" ht="15.75" customHeight="1">
      <c r="B769" s="15"/>
      <c r="C769" s="16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</row>
    <row r="770" spans="2:34" ht="15.75" customHeight="1">
      <c r="B770" s="15"/>
      <c r="C770" s="16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</row>
    <row r="771" spans="2:34" ht="15.75" customHeight="1">
      <c r="B771" s="15"/>
      <c r="C771" s="16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</row>
    <row r="772" spans="2:34" ht="15.75" customHeight="1">
      <c r="B772" s="15"/>
      <c r="C772" s="16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</row>
    <row r="773" spans="2:34" ht="15.75" customHeight="1">
      <c r="B773" s="15"/>
      <c r="C773" s="16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</row>
    <row r="774" spans="2:34" ht="15.75" customHeight="1">
      <c r="B774" s="15"/>
      <c r="C774" s="16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</row>
    <row r="775" spans="2:34" ht="15.75" customHeight="1">
      <c r="B775" s="15"/>
      <c r="C775" s="16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</row>
    <row r="776" spans="2:34" ht="15.75" customHeight="1">
      <c r="B776" s="15"/>
      <c r="C776" s="16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</row>
    <row r="777" spans="2:34" ht="15.75" customHeight="1">
      <c r="B777" s="15"/>
      <c r="C777" s="16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</row>
    <row r="778" spans="2:34" ht="15.75" customHeight="1">
      <c r="B778" s="15"/>
      <c r="C778" s="16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</row>
    <row r="779" spans="2:34" ht="15.75" customHeight="1">
      <c r="B779" s="15"/>
      <c r="C779" s="16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</row>
    <row r="780" spans="2:34" ht="15.75" customHeight="1">
      <c r="B780" s="15"/>
      <c r="C780" s="16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</row>
    <row r="781" spans="2:34" ht="15.75" customHeight="1">
      <c r="B781" s="15"/>
      <c r="C781" s="16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</row>
    <row r="782" spans="2:34" ht="15.75" customHeight="1">
      <c r="B782" s="15"/>
      <c r="C782" s="16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</row>
    <row r="783" spans="2:34" ht="15.75" customHeight="1">
      <c r="B783" s="15"/>
      <c r="C783" s="16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</row>
    <row r="784" spans="2:34" ht="15.75" customHeight="1">
      <c r="B784" s="15"/>
      <c r="C784" s="16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</row>
    <row r="785" spans="2:34" ht="15.75" customHeight="1">
      <c r="B785" s="15"/>
      <c r="C785" s="16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</row>
    <row r="786" spans="2:34" ht="15.75" customHeight="1">
      <c r="B786" s="15"/>
      <c r="C786" s="16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</row>
    <row r="787" spans="2:34" ht="15.75" customHeight="1">
      <c r="B787" s="15"/>
      <c r="C787" s="16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</row>
    <row r="788" spans="2:34" ht="15.75" customHeight="1">
      <c r="B788" s="15"/>
      <c r="C788" s="16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</row>
    <row r="789" spans="2:34" ht="15.75" customHeight="1">
      <c r="B789" s="15"/>
      <c r="C789" s="16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</row>
    <row r="790" spans="2:34" ht="15.75" customHeight="1">
      <c r="B790" s="15"/>
      <c r="C790" s="16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</row>
    <row r="791" spans="2:34" ht="15.75" customHeight="1">
      <c r="B791" s="15"/>
      <c r="C791" s="16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</row>
    <row r="792" spans="2:34" ht="15.75" customHeight="1">
      <c r="B792" s="15"/>
      <c r="C792" s="16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</row>
    <row r="793" spans="2:34" ht="15.75" customHeight="1">
      <c r="B793" s="15"/>
      <c r="C793" s="16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</row>
    <row r="794" spans="2:34" ht="15.75" customHeight="1">
      <c r="B794" s="15"/>
      <c r="C794" s="16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</row>
    <row r="795" spans="2:34" ht="15.75" customHeight="1">
      <c r="B795" s="15"/>
      <c r="C795" s="16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</row>
    <row r="796" spans="2:34" ht="15.75" customHeight="1">
      <c r="B796" s="15"/>
      <c r="C796" s="16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</row>
    <row r="797" spans="2:34" ht="15.75" customHeight="1">
      <c r="B797" s="15"/>
      <c r="C797" s="16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</row>
    <row r="798" spans="2:34" ht="15.75" customHeight="1">
      <c r="B798" s="15"/>
      <c r="C798" s="16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</row>
    <row r="799" spans="2:34" ht="15.75" customHeight="1">
      <c r="B799" s="15"/>
      <c r="C799" s="16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</row>
    <row r="800" spans="2:34" ht="15.75" customHeight="1">
      <c r="B800" s="15"/>
      <c r="C800" s="16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</row>
    <row r="801" spans="2:34" ht="15.75" customHeight="1">
      <c r="B801" s="15"/>
      <c r="C801" s="16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</row>
    <row r="802" spans="2:34" ht="15.75" customHeight="1">
      <c r="B802" s="15"/>
      <c r="C802" s="16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</row>
    <row r="803" spans="2:34" ht="15.75" customHeight="1">
      <c r="B803" s="15"/>
      <c r="C803" s="16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</row>
    <row r="804" spans="2:34" ht="15.75" customHeight="1">
      <c r="B804" s="15"/>
      <c r="C804" s="16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</row>
    <row r="805" spans="2:34" ht="15.75" customHeight="1">
      <c r="B805" s="15"/>
      <c r="C805" s="16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</row>
    <row r="806" spans="2:34" ht="15.75" customHeight="1">
      <c r="B806" s="15"/>
      <c r="C806" s="16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</row>
    <row r="807" spans="2:34" ht="15.75" customHeight="1">
      <c r="B807" s="15"/>
      <c r="C807" s="16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</row>
    <row r="808" spans="2:34" ht="15.75" customHeight="1">
      <c r="B808" s="15"/>
      <c r="C808" s="16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</row>
    <row r="809" spans="2:34" ht="15.75" customHeight="1">
      <c r="B809" s="15"/>
      <c r="C809" s="16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</row>
    <row r="810" spans="2:34" ht="15.75" customHeight="1">
      <c r="B810" s="15"/>
      <c r="C810" s="16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</row>
    <row r="811" spans="2:34" ht="15.75" customHeight="1">
      <c r="B811" s="15"/>
      <c r="C811" s="16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</row>
    <row r="812" spans="2:34" ht="15.75" customHeight="1">
      <c r="B812" s="15"/>
      <c r="C812" s="16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</row>
    <row r="813" spans="2:34" ht="15.75" customHeight="1">
      <c r="B813" s="15"/>
      <c r="C813" s="16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</row>
    <row r="814" spans="2:34" ht="15.75" customHeight="1">
      <c r="B814" s="15"/>
      <c r="C814" s="16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</row>
    <row r="815" spans="2:34" ht="15.75" customHeight="1">
      <c r="B815" s="15"/>
      <c r="C815" s="16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</row>
    <row r="816" spans="2:34" ht="15.75" customHeight="1">
      <c r="B816" s="15"/>
      <c r="C816" s="16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</row>
    <row r="817" spans="2:34" ht="15.75" customHeight="1">
      <c r="B817" s="15"/>
      <c r="C817" s="16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</row>
    <row r="818" spans="2:34" ht="15.75" customHeight="1">
      <c r="B818" s="15"/>
      <c r="C818" s="16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</row>
    <row r="819" spans="2:34" ht="15.75" customHeight="1">
      <c r="B819" s="15"/>
      <c r="C819" s="16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</row>
    <row r="820" spans="2:34" ht="15.75" customHeight="1">
      <c r="B820" s="15"/>
      <c r="C820" s="16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</row>
    <row r="821" spans="2:34" ht="15.75" customHeight="1">
      <c r="B821" s="15"/>
      <c r="C821" s="16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</row>
    <row r="822" spans="2:34" ht="15.75" customHeight="1">
      <c r="B822" s="15"/>
      <c r="C822" s="16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</row>
    <row r="823" spans="2:34" ht="15.75" customHeight="1">
      <c r="B823" s="15"/>
      <c r="C823" s="16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</row>
    <row r="824" spans="2:34" ht="15.75" customHeight="1">
      <c r="B824" s="15"/>
      <c r="C824" s="16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</row>
    <row r="825" spans="2:34" ht="15.75" customHeight="1">
      <c r="B825" s="15"/>
      <c r="C825" s="16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</row>
    <row r="826" spans="2:34" ht="15.75" customHeight="1">
      <c r="B826" s="15"/>
      <c r="C826" s="16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</row>
    <row r="827" spans="2:34" ht="15.75" customHeight="1">
      <c r="B827" s="15"/>
      <c r="C827" s="16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</row>
    <row r="828" spans="2:34" ht="15.75" customHeight="1">
      <c r="B828" s="15"/>
      <c r="C828" s="16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</row>
    <row r="829" spans="2:34" ht="15.75" customHeight="1">
      <c r="B829" s="15"/>
      <c r="C829" s="16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</row>
    <row r="830" spans="2:34" ht="15.75" customHeight="1">
      <c r="B830" s="15"/>
      <c r="C830" s="16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</row>
    <row r="831" spans="2:34" ht="15.75" customHeight="1">
      <c r="B831" s="15"/>
      <c r="C831" s="16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</row>
    <row r="832" spans="2:34" ht="15.75" customHeight="1">
      <c r="B832" s="15"/>
      <c r="C832" s="16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</row>
    <row r="833" spans="2:34" ht="15.75" customHeight="1">
      <c r="B833" s="15"/>
      <c r="C833" s="16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</row>
    <row r="834" spans="2:34" ht="15.75" customHeight="1">
      <c r="B834" s="15"/>
      <c r="C834" s="16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</row>
    <row r="835" spans="2:34" ht="15.75" customHeight="1">
      <c r="B835" s="15"/>
      <c r="C835" s="16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</row>
    <row r="836" spans="2:34" ht="15.75" customHeight="1">
      <c r="B836" s="15"/>
      <c r="C836" s="16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</row>
    <row r="837" spans="2:34" ht="15.75" customHeight="1">
      <c r="B837" s="15"/>
      <c r="C837" s="16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</row>
    <row r="838" spans="2:34" ht="15.75" customHeight="1">
      <c r="B838" s="15"/>
      <c r="C838" s="16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</row>
    <row r="839" spans="2:34" ht="15.75" customHeight="1">
      <c r="B839" s="15"/>
      <c r="C839" s="16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</row>
    <row r="840" spans="2:34" ht="15.75" customHeight="1">
      <c r="B840" s="15"/>
      <c r="C840" s="16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</row>
    <row r="841" spans="2:34" ht="15.75" customHeight="1">
      <c r="B841" s="15"/>
      <c r="C841" s="16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</row>
    <row r="842" spans="2:34" ht="15.75" customHeight="1">
      <c r="B842" s="15"/>
      <c r="C842" s="16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</row>
    <row r="843" spans="2:34" ht="15.75" customHeight="1">
      <c r="B843" s="15"/>
      <c r="C843" s="16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</row>
    <row r="844" spans="2:34" ht="15.75" customHeight="1">
      <c r="B844" s="15"/>
      <c r="C844" s="16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</row>
    <row r="845" spans="2:34" ht="15.75" customHeight="1">
      <c r="B845" s="15"/>
      <c r="C845" s="16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</row>
    <row r="846" spans="2:34" ht="15.75" customHeight="1">
      <c r="B846" s="15"/>
      <c r="C846" s="16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</row>
    <row r="847" spans="2:34" ht="15.75" customHeight="1">
      <c r="B847" s="15"/>
      <c r="C847" s="16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</row>
    <row r="848" spans="2:34" ht="15.75" customHeight="1">
      <c r="B848" s="15"/>
      <c r="C848" s="16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</row>
    <row r="849" spans="2:34" ht="15.75" customHeight="1">
      <c r="B849" s="15"/>
      <c r="C849" s="16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</row>
    <row r="850" spans="2:34" ht="15.75" customHeight="1">
      <c r="B850" s="15"/>
      <c r="C850" s="16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</row>
    <row r="851" spans="2:34" ht="15.75" customHeight="1">
      <c r="B851" s="15"/>
      <c r="C851" s="16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</row>
    <row r="852" spans="2:34" ht="15.75" customHeight="1">
      <c r="B852" s="15"/>
      <c r="C852" s="16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</row>
    <row r="853" spans="2:34" ht="15.75" customHeight="1">
      <c r="B853" s="15"/>
      <c r="C853" s="16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</row>
    <row r="854" spans="2:34" ht="15.75" customHeight="1">
      <c r="B854" s="15"/>
      <c r="C854" s="16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</row>
    <row r="855" spans="2:34" ht="15.75" customHeight="1">
      <c r="B855" s="15"/>
      <c r="C855" s="16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</row>
    <row r="856" spans="2:34" ht="15.75" customHeight="1">
      <c r="B856" s="15"/>
      <c r="C856" s="16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</row>
    <row r="857" spans="2:34" ht="15.75" customHeight="1">
      <c r="B857" s="15"/>
      <c r="C857" s="16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</row>
    <row r="858" spans="2:34" ht="15.75" customHeight="1">
      <c r="B858" s="15"/>
      <c r="C858" s="16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</row>
    <row r="859" spans="2:34" ht="15.75" customHeight="1">
      <c r="B859" s="15"/>
      <c r="C859" s="16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</row>
    <row r="860" spans="2:34" ht="15.75" customHeight="1">
      <c r="B860" s="15"/>
      <c r="C860" s="16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</row>
    <row r="861" spans="2:34" ht="15.75" customHeight="1">
      <c r="B861" s="15"/>
      <c r="C861" s="16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</row>
    <row r="862" spans="2:34" ht="15.75" customHeight="1">
      <c r="B862" s="15"/>
      <c r="C862" s="16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</row>
    <row r="863" spans="2:34" ht="15.75" customHeight="1">
      <c r="B863" s="15"/>
      <c r="C863" s="16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</row>
    <row r="864" spans="2:34" ht="15.75" customHeight="1">
      <c r="B864" s="15"/>
      <c r="C864" s="16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</row>
    <row r="865" spans="2:34" ht="15.75" customHeight="1">
      <c r="B865" s="15"/>
      <c r="C865" s="16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</row>
    <row r="866" spans="2:34" ht="15.75" customHeight="1">
      <c r="B866" s="15"/>
      <c r="C866" s="16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</row>
    <row r="867" spans="2:34" ht="15.75" customHeight="1">
      <c r="B867" s="15"/>
      <c r="C867" s="16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</row>
    <row r="868" spans="2:34" ht="15.75" customHeight="1">
      <c r="B868" s="15"/>
      <c r="C868" s="16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</row>
    <row r="869" spans="2:34" ht="15.75" customHeight="1">
      <c r="B869" s="15"/>
      <c r="C869" s="16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</row>
    <row r="870" spans="2:34" ht="15.75" customHeight="1">
      <c r="B870" s="15"/>
      <c r="C870" s="16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</row>
    <row r="871" spans="2:34" ht="15.75" customHeight="1">
      <c r="B871" s="15"/>
      <c r="C871" s="16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</row>
    <row r="872" spans="2:34" ht="15.75" customHeight="1">
      <c r="B872" s="15"/>
      <c r="C872" s="16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</row>
    <row r="873" spans="2:34" ht="15.75" customHeight="1">
      <c r="B873" s="15"/>
      <c r="C873" s="16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</row>
    <row r="874" spans="2:34" ht="15.75" customHeight="1">
      <c r="B874" s="15"/>
      <c r="C874" s="16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</row>
    <row r="875" spans="2:34" ht="15.75" customHeight="1">
      <c r="B875" s="15"/>
      <c r="C875" s="16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</row>
    <row r="876" spans="2:34" ht="15.75" customHeight="1">
      <c r="B876" s="15"/>
      <c r="C876" s="16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</row>
    <row r="877" spans="2:34" ht="15.75" customHeight="1">
      <c r="B877" s="15"/>
      <c r="C877" s="16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</row>
    <row r="878" spans="2:34" ht="15.75" customHeight="1">
      <c r="B878" s="15"/>
      <c r="C878" s="16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</row>
    <row r="879" spans="2:34" ht="15.75" customHeight="1">
      <c r="B879" s="15"/>
      <c r="C879" s="16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</row>
    <row r="880" spans="2:34" ht="15.75" customHeight="1">
      <c r="B880" s="15"/>
      <c r="C880" s="16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</row>
    <row r="881" spans="2:34" ht="15.75" customHeight="1">
      <c r="B881" s="15"/>
      <c r="C881" s="16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</row>
    <row r="882" spans="2:34" ht="15.75" customHeight="1">
      <c r="B882" s="15"/>
      <c r="C882" s="16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</row>
    <row r="883" spans="2:34" ht="15.75" customHeight="1">
      <c r="B883" s="15"/>
      <c r="C883" s="16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</row>
    <row r="884" spans="2:34" ht="15.75" customHeight="1">
      <c r="B884" s="15"/>
      <c r="C884" s="16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</row>
    <row r="885" spans="2:34" ht="15.75" customHeight="1">
      <c r="B885" s="15"/>
      <c r="C885" s="16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</row>
    <row r="886" spans="2:34" ht="15.75" customHeight="1">
      <c r="B886" s="15"/>
      <c r="C886" s="16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</row>
    <row r="887" spans="2:34" ht="15.75" customHeight="1">
      <c r="B887" s="15"/>
      <c r="C887" s="16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</row>
    <row r="888" spans="2:34" ht="15.75" customHeight="1">
      <c r="B888" s="15"/>
      <c r="C888" s="16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</row>
    <row r="889" spans="2:34" ht="15.75" customHeight="1">
      <c r="B889" s="15"/>
      <c r="C889" s="16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</row>
    <row r="890" spans="2:34" ht="15.75" customHeight="1">
      <c r="B890" s="15"/>
      <c r="C890" s="16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</row>
    <row r="891" spans="2:34" ht="15.75" customHeight="1">
      <c r="B891" s="15"/>
      <c r="C891" s="16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</row>
    <row r="892" spans="2:34" ht="15.75" customHeight="1">
      <c r="B892" s="15"/>
      <c r="C892" s="16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</row>
    <row r="893" spans="2:34" ht="15.75" customHeight="1">
      <c r="B893" s="15"/>
      <c r="C893" s="16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</row>
    <row r="894" spans="2:34" ht="15.75" customHeight="1">
      <c r="B894" s="15"/>
      <c r="C894" s="16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</row>
    <row r="895" spans="2:34" ht="15.75" customHeight="1">
      <c r="B895" s="15"/>
      <c r="C895" s="16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</row>
    <row r="896" spans="2:34" ht="15.75" customHeight="1">
      <c r="B896" s="15"/>
      <c r="C896" s="16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</row>
    <row r="897" spans="2:34" ht="15.75" customHeight="1">
      <c r="B897" s="15"/>
      <c r="C897" s="16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</row>
    <row r="898" spans="2:34" ht="15.75" customHeight="1">
      <c r="B898" s="15"/>
      <c r="C898" s="16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</row>
    <row r="899" spans="2:34" ht="15.75" customHeight="1">
      <c r="B899" s="15"/>
      <c r="C899" s="16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</row>
    <row r="900" spans="2:34" ht="15.75" customHeight="1">
      <c r="B900" s="15"/>
      <c r="C900" s="16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</row>
    <row r="901" spans="2:34" ht="15.75" customHeight="1">
      <c r="B901" s="15"/>
      <c r="C901" s="16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</row>
    <row r="902" spans="2:34" ht="15.75" customHeight="1">
      <c r="B902" s="15"/>
      <c r="C902" s="16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</row>
    <row r="903" spans="2:34" ht="15.75" customHeight="1">
      <c r="B903" s="15"/>
      <c r="C903" s="16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</row>
    <row r="904" spans="2:34" ht="15.75" customHeight="1">
      <c r="B904" s="15"/>
      <c r="C904" s="16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</row>
    <row r="905" spans="2:34" ht="15.75" customHeight="1">
      <c r="B905" s="15"/>
      <c r="C905" s="16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</row>
    <row r="906" spans="2:34" ht="15.75" customHeight="1">
      <c r="B906" s="15"/>
      <c r="C906" s="16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</row>
    <row r="907" spans="2:34" ht="15.75" customHeight="1">
      <c r="B907" s="15"/>
      <c r="C907" s="16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</row>
    <row r="908" spans="2:34" ht="15.75" customHeight="1">
      <c r="B908" s="15"/>
      <c r="C908" s="16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</row>
    <row r="909" spans="2:34" ht="15.75" customHeight="1">
      <c r="B909" s="15"/>
      <c r="C909" s="16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</row>
    <row r="910" spans="2:34" ht="15.75" customHeight="1">
      <c r="B910" s="15"/>
      <c r="C910" s="16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</row>
    <row r="911" spans="2:34" ht="15.75" customHeight="1">
      <c r="B911" s="15"/>
      <c r="C911" s="16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</row>
    <row r="912" spans="2:34" ht="15.75" customHeight="1">
      <c r="B912" s="15"/>
      <c r="C912" s="16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</row>
    <row r="913" spans="2:34" ht="15.75" customHeight="1">
      <c r="B913" s="15"/>
      <c r="C913" s="16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</row>
    <row r="914" spans="2:34" ht="15.75" customHeight="1">
      <c r="B914" s="15"/>
      <c r="C914" s="16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</row>
    <row r="915" spans="2:34" ht="15.75" customHeight="1">
      <c r="B915" s="15"/>
      <c r="C915" s="16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</row>
    <row r="916" spans="2:34" ht="15.75" customHeight="1">
      <c r="B916" s="15"/>
      <c r="C916" s="16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</row>
    <row r="917" spans="2:34" ht="15.75" customHeight="1">
      <c r="B917" s="15"/>
      <c r="C917" s="16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</row>
    <row r="918" spans="2:34" ht="15.75" customHeight="1">
      <c r="B918" s="15"/>
      <c r="C918" s="16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</row>
    <row r="919" spans="2:34" ht="15.75" customHeight="1">
      <c r="B919" s="15"/>
      <c r="C919" s="16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</row>
    <row r="920" spans="2:34" ht="15.75" customHeight="1">
      <c r="B920" s="15"/>
      <c r="C920" s="16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</row>
    <row r="921" spans="2:34" ht="15.75" customHeight="1">
      <c r="B921" s="15"/>
      <c r="C921" s="16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</row>
    <row r="922" spans="2:34" ht="15.75" customHeight="1">
      <c r="B922" s="15"/>
      <c r="C922" s="16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</row>
    <row r="923" spans="2:34" ht="15.75" customHeight="1">
      <c r="B923" s="15"/>
      <c r="C923" s="16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</row>
    <row r="924" spans="2:34" ht="15.75" customHeight="1">
      <c r="B924" s="15"/>
      <c r="C924" s="16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</row>
    <row r="925" spans="2:34" ht="15.75" customHeight="1">
      <c r="B925" s="15"/>
      <c r="C925" s="16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</row>
    <row r="926" spans="2:34" ht="15.75" customHeight="1">
      <c r="B926" s="15"/>
      <c r="C926" s="16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</row>
    <row r="927" spans="2:34" ht="15.75" customHeight="1">
      <c r="B927" s="15"/>
      <c r="C927" s="16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</row>
    <row r="928" spans="2:34" ht="15.75" customHeight="1">
      <c r="B928" s="15"/>
      <c r="C928" s="16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</row>
    <row r="929" spans="2:34" ht="15.75" customHeight="1">
      <c r="B929" s="15"/>
      <c r="C929" s="16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</row>
    <row r="930" spans="2:34" ht="15.75" customHeight="1">
      <c r="B930" s="15"/>
      <c r="C930" s="16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</row>
    <row r="931" spans="2:34" ht="15.75" customHeight="1">
      <c r="B931" s="15"/>
      <c r="C931" s="16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</row>
    <row r="932" spans="2:34" ht="15.75" customHeight="1">
      <c r="B932" s="15"/>
      <c r="C932" s="16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</row>
    <row r="933" spans="2:34" ht="15.75" customHeight="1">
      <c r="B933" s="15"/>
      <c r="C933" s="16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</row>
    <row r="934" spans="2:34" ht="15.75" customHeight="1">
      <c r="B934" s="15"/>
      <c r="C934" s="16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</row>
    <row r="935" spans="2:34" ht="15.75" customHeight="1">
      <c r="B935" s="15"/>
      <c r="C935" s="16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</row>
    <row r="936" spans="2:34" ht="15.75" customHeight="1">
      <c r="B936" s="15"/>
      <c r="C936" s="16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</row>
    <row r="937" spans="2:34" ht="15.75" customHeight="1">
      <c r="B937" s="15"/>
      <c r="C937" s="16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</row>
    <row r="938" spans="2:34" ht="15.75" customHeight="1">
      <c r="B938" s="15"/>
      <c r="C938" s="16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</row>
    <row r="939" spans="2:34" ht="15.75" customHeight="1">
      <c r="B939" s="15"/>
      <c r="C939" s="16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</row>
    <row r="940" spans="2:34" ht="15.75" customHeight="1">
      <c r="B940" s="15"/>
      <c r="C940" s="16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</row>
    <row r="941" spans="2:34" ht="15.75" customHeight="1">
      <c r="B941" s="15"/>
      <c r="C941" s="16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</row>
    <row r="942" spans="2:34" ht="15.75" customHeight="1">
      <c r="B942" s="15"/>
      <c r="C942" s="16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</row>
    <row r="943" spans="2:34" ht="15.75" customHeight="1">
      <c r="B943" s="15"/>
      <c r="C943" s="16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</row>
    <row r="944" spans="2:34" ht="15.75" customHeight="1">
      <c r="B944" s="15"/>
      <c r="C944" s="16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</row>
    <row r="945" spans="2:34" ht="15.75" customHeight="1">
      <c r="B945" s="15"/>
      <c r="C945" s="16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</row>
    <row r="946" spans="2:34" ht="15.75" customHeight="1">
      <c r="B946" s="15"/>
      <c r="C946" s="16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</row>
    <row r="947" spans="2:34" ht="15.75" customHeight="1">
      <c r="B947" s="15"/>
      <c r="C947" s="16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</row>
    <row r="948" spans="2:34" ht="15.75" customHeight="1">
      <c r="B948" s="15"/>
      <c r="C948" s="16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</row>
    <row r="949" spans="2:34" ht="15.75" customHeight="1">
      <c r="B949" s="15"/>
      <c r="C949" s="16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</row>
    <row r="950" spans="2:34" ht="15.75" customHeight="1">
      <c r="B950" s="15"/>
      <c r="C950" s="16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</row>
    <row r="951" spans="2:34" ht="15.75" customHeight="1">
      <c r="B951" s="15"/>
      <c r="C951" s="16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</row>
    <row r="952" spans="2:34" ht="15.75" customHeight="1">
      <c r="B952" s="15"/>
      <c r="C952" s="16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</row>
    <row r="953" spans="2:34" ht="15.75" customHeight="1">
      <c r="B953" s="15"/>
      <c r="C953" s="16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</row>
    <row r="954" spans="2:34" ht="15.75" customHeight="1">
      <c r="B954" s="15"/>
      <c r="C954" s="16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</row>
    <row r="955" spans="2:34" ht="15.75" customHeight="1">
      <c r="B955" s="15"/>
      <c r="C955" s="16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</row>
    <row r="956" spans="2:34" ht="15.75" customHeight="1">
      <c r="B956" s="15"/>
      <c r="C956" s="16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</row>
    <row r="957" spans="2:34" ht="15.75" customHeight="1">
      <c r="B957" s="15"/>
      <c r="C957" s="16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</row>
    <row r="958" spans="2:34" ht="15.75" customHeight="1">
      <c r="B958" s="15"/>
      <c r="C958" s="16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</row>
    <row r="959" spans="2:34" ht="15.75" customHeight="1">
      <c r="B959" s="15"/>
      <c r="C959" s="16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</row>
    <row r="960" spans="2:34" ht="15.75" customHeight="1">
      <c r="B960" s="15"/>
      <c r="C960" s="16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</row>
    <row r="961" spans="2:34" ht="15.75" customHeight="1">
      <c r="B961" s="15"/>
      <c r="C961" s="16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</row>
    <row r="962" spans="2:34" ht="15.75" customHeight="1">
      <c r="B962" s="15"/>
      <c r="C962" s="16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</row>
    <row r="963" spans="2:34" ht="15.75" customHeight="1">
      <c r="B963" s="15"/>
      <c r="C963" s="16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</row>
    <row r="964" spans="2:34" ht="15.75" customHeight="1">
      <c r="B964" s="15"/>
      <c r="C964" s="16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</row>
    <row r="965" spans="2:34" ht="15.75" customHeight="1">
      <c r="B965" s="15"/>
      <c r="C965" s="16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</row>
    <row r="966" spans="2:34" ht="15.75" customHeight="1">
      <c r="B966" s="15"/>
      <c r="C966" s="16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</row>
    <row r="967" spans="2:34" ht="15.75" customHeight="1">
      <c r="B967" s="15"/>
      <c r="C967" s="16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</row>
    <row r="968" spans="2:34" ht="15.75" customHeight="1">
      <c r="B968" s="15"/>
      <c r="C968" s="16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</row>
    <row r="969" spans="2:34" ht="15.75" customHeight="1">
      <c r="B969" s="15"/>
      <c r="C969" s="16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</row>
    <row r="970" spans="2:34" ht="15.75" customHeight="1">
      <c r="B970" s="15"/>
      <c r="C970" s="16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</row>
    <row r="971" spans="2:34" ht="15.75" customHeight="1">
      <c r="B971" s="15"/>
      <c r="C971" s="16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</row>
    <row r="972" spans="2:34" ht="15.75" customHeight="1">
      <c r="B972" s="15"/>
      <c r="C972" s="16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</row>
    <row r="973" spans="2:34" ht="15.75" customHeight="1">
      <c r="B973" s="15"/>
      <c r="C973" s="16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</row>
    <row r="974" spans="2:34" ht="15.75" customHeight="1">
      <c r="B974" s="15"/>
      <c r="C974" s="16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</row>
    <row r="975" spans="2:34" ht="15.75" customHeight="1">
      <c r="B975" s="15"/>
      <c r="C975" s="16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</row>
    <row r="976" spans="2:34" ht="15.75" customHeight="1">
      <c r="B976" s="15"/>
      <c r="C976" s="16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</row>
    <row r="977" spans="2:34" ht="15.75" customHeight="1">
      <c r="B977" s="15"/>
      <c r="C977" s="16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</row>
    <row r="978" spans="2:34" ht="15.75" customHeight="1">
      <c r="B978" s="15"/>
      <c r="C978" s="16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</row>
    <row r="979" spans="2:34" ht="15.75" customHeight="1">
      <c r="B979" s="15"/>
      <c r="C979" s="16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</row>
    <row r="980" spans="2:34" ht="15.75" customHeight="1">
      <c r="B980" s="15"/>
      <c r="C980" s="16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</row>
    <row r="981" spans="2:34" ht="15.75" customHeight="1">
      <c r="B981" s="15"/>
      <c r="C981" s="16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</row>
    <row r="982" spans="2:34" ht="15.75" customHeight="1">
      <c r="B982" s="15"/>
      <c r="C982" s="16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</row>
    <row r="983" spans="2:34" ht="15.75" customHeight="1">
      <c r="B983" s="15"/>
      <c r="C983" s="16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</row>
    <row r="984" spans="2:34" ht="15.75" customHeight="1">
      <c r="B984" s="15"/>
      <c r="C984" s="16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</row>
    <row r="985" spans="2:34" ht="15.75" customHeight="1">
      <c r="B985" s="15"/>
      <c r="C985" s="16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</row>
    <row r="986" spans="2:34" ht="15.75" customHeight="1">
      <c r="B986" s="15"/>
      <c r="C986" s="16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</row>
    <row r="987" spans="2:34" ht="15.75" customHeight="1">
      <c r="B987" s="15"/>
      <c r="C987" s="16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</row>
    <row r="988" spans="2:34" ht="15.75" customHeight="1">
      <c r="B988" s="15"/>
      <c r="C988" s="16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</row>
    <row r="989" spans="2:34" ht="15.75" customHeight="1">
      <c r="B989" s="15"/>
      <c r="C989" s="16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</row>
    <row r="990" spans="2:34" ht="15.75" customHeight="1">
      <c r="B990" s="15"/>
      <c r="C990" s="16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</row>
    <row r="991" spans="2:34" ht="15.75" customHeight="1">
      <c r="B991" s="15"/>
      <c r="C991" s="16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</row>
    <row r="992" spans="2:34" ht="15.75" customHeight="1">
      <c r="B992" s="15"/>
      <c r="C992" s="16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</row>
    <row r="993" spans="2:34" ht="15.75" customHeight="1">
      <c r="B993" s="15"/>
      <c r="C993" s="16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</row>
    <row r="994" spans="2:34" ht="15.75" customHeight="1">
      <c r="B994" s="15"/>
      <c r="C994" s="16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</row>
    <row r="995" spans="2:34" ht="15.75" customHeight="1">
      <c r="B995" s="15"/>
      <c r="C995" s="16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</row>
    <row r="996" spans="2:34" ht="15.75" customHeight="1">
      <c r="B996" s="15"/>
      <c r="C996" s="16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</row>
    <row r="997" spans="2:34" ht="15.75" customHeight="1">
      <c r="B997" s="15"/>
      <c r="C997" s="16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</row>
    <row r="998" spans="2:34" ht="15.75" customHeight="1">
      <c r="B998" s="15"/>
      <c r="C998" s="16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</row>
    <row r="999" spans="2:34" ht="15.75" customHeight="1">
      <c r="B999" s="15"/>
      <c r="C999" s="16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</row>
  </sheetData>
  <autoFilter ref="B1:AH137" xr:uid="{00000000-0009-0000-0000-000001000000}">
    <sortState xmlns:xlrd2="http://schemas.microsoft.com/office/spreadsheetml/2017/richdata2" ref="B2:AH137">
      <sortCondition ref="B1:B137"/>
    </sortState>
  </autoFilter>
  <pageMargins left="0.7" right="0.7" top="0.75" bottom="0.75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39A4C-94E0-45C3-9E57-7B8B04DC169C}">
  <dimension ref="A1:AO138"/>
  <sheetViews>
    <sheetView tabSelected="1" zoomScale="112" workbookViewId="0">
      <selection activeCell="G115" sqref="G115:G138"/>
    </sheetView>
  </sheetViews>
  <sheetFormatPr defaultRowHeight="14.4"/>
  <cols>
    <col min="1" max="1" width="27.21875" style="361" bestFit="1" customWidth="1"/>
    <col min="4" max="4" width="8.88671875" style="338"/>
    <col min="5" max="5" width="12.109375" style="338" customWidth="1"/>
    <col min="6" max="6" width="14.21875" style="338" bestFit="1" customWidth="1"/>
    <col min="7" max="7" width="21.6640625" style="338" bestFit="1" customWidth="1"/>
    <col min="15" max="15" width="25.5546875" bestFit="1" customWidth="1"/>
    <col min="37" max="38" width="12.88671875" customWidth="1"/>
    <col min="39" max="39" width="27.77734375" bestFit="1" customWidth="1"/>
    <col min="41" max="41" width="20.6640625" customWidth="1"/>
  </cols>
  <sheetData>
    <row r="1" spans="1:41" s="406" customFormat="1">
      <c r="A1" s="376" t="s">
        <v>439</v>
      </c>
      <c r="B1" s="377"/>
      <c r="C1" s="378"/>
      <c r="D1" s="376" t="s">
        <v>429</v>
      </c>
      <c r="E1" s="377"/>
      <c r="F1" s="377"/>
      <c r="G1" s="378"/>
      <c r="H1" s="376" t="s">
        <v>431</v>
      </c>
      <c r="I1" s="377"/>
      <c r="J1" s="377"/>
      <c r="K1" s="377"/>
      <c r="L1" s="377"/>
      <c r="M1" s="377"/>
      <c r="N1" s="377"/>
      <c r="O1" s="377"/>
      <c r="P1" s="377"/>
      <c r="Q1" s="377"/>
      <c r="R1" s="377"/>
      <c r="S1" s="377"/>
      <c r="T1" s="377"/>
      <c r="U1" s="377"/>
      <c r="V1" s="377"/>
      <c r="W1" s="377"/>
      <c r="X1" s="377"/>
      <c r="Y1" s="377"/>
      <c r="Z1" s="377"/>
      <c r="AA1" s="377"/>
      <c r="AB1" s="377"/>
      <c r="AC1" s="377"/>
      <c r="AD1" s="377"/>
      <c r="AE1" s="377"/>
      <c r="AF1" s="377"/>
      <c r="AG1" s="377"/>
      <c r="AH1" s="377"/>
      <c r="AI1" s="377"/>
    </row>
    <row r="2" spans="1:41" s="406" customFormat="1">
      <c r="A2" s="343" t="s">
        <v>430</v>
      </c>
      <c r="B2" s="343" t="s">
        <v>3</v>
      </c>
      <c r="C2" s="343" t="s">
        <v>4</v>
      </c>
      <c r="D2" s="343" t="s">
        <v>427</v>
      </c>
      <c r="E2" s="343" t="s">
        <v>426</v>
      </c>
      <c r="F2" s="343" t="s">
        <v>414</v>
      </c>
      <c r="G2" s="343" t="s">
        <v>440</v>
      </c>
      <c r="H2" s="343" t="s">
        <v>5</v>
      </c>
      <c r="I2" s="343" t="s">
        <v>6</v>
      </c>
      <c r="J2" s="343" t="s">
        <v>7</v>
      </c>
      <c r="K2" s="343" t="s">
        <v>8</v>
      </c>
      <c r="L2" s="343" t="s">
        <v>9</v>
      </c>
      <c r="M2" s="343" t="s">
        <v>10</v>
      </c>
      <c r="N2" s="343" t="s">
        <v>11</v>
      </c>
      <c r="O2" s="343" t="s">
        <v>12</v>
      </c>
      <c r="P2" s="343" t="s">
        <v>13</v>
      </c>
      <c r="Q2" s="343" t="s">
        <v>14</v>
      </c>
      <c r="R2" s="343" t="s">
        <v>15</v>
      </c>
      <c r="S2" s="343" t="s">
        <v>16</v>
      </c>
      <c r="T2" s="343" t="s">
        <v>17</v>
      </c>
      <c r="U2" s="343" t="s">
        <v>18</v>
      </c>
      <c r="V2" s="343" t="s">
        <v>19</v>
      </c>
      <c r="W2" s="343" t="s">
        <v>20</v>
      </c>
      <c r="X2" s="343" t="s">
        <v>21</v>
      </c>
      <c r="Y2" s="343" t="s">
        <v>22</v>
      </c>
      <c r="Z2" s="343" t="s">
        <v>23</v>
      </c>
      <c r="AA2" s="343" t="s">
        <v>24</v>
      </c>
      <c r="AB2" s="343" t="s">
        <v>25</v>
      </c>
      <c r="AC2" s="343" t="s">
        <v>26</v>
      </c>
      <c r="AD2" s="343" t="s">
        <v>27</v>
      </c>
      <c r="AE2" s="343" t="s">
        <v>28</v>
      </c>
      <c r="AF2" s="343" t="s">
        <v>29</v>
      </c>
      <c r="AG2" s="343" t="s">
        <v>30</v>
      </c>
      <c r="AH2" s="343" t="s">
        <v>31</v>
      </c>
      <c r="AI2" s="343" t="s">
        <v>32</v>
      </c>
      <c r="AK2" s="343" t="s">
        <v>432</v>
      </c>
      <c r="AL2" s="343" t="s">
        <v>374</v>
      </c>
      <c r="AM2" s="367" t="s">
        <v>437</v>
      </c>
      <c r="AN2" s="379" t="s">
        <v>438</v>
      </c>
      <c r="AO2" s="407"/>
    </row>
    <row r="3" spans="1:41">
      <c r="A3" s="359" t="s">
        <v>413</v>
      </c>
      <c r="B3" s="346">
        <v>7.3</v>
      </c>
      <c r="C3" s="346">
        <v>288</v>
      </c>
      <c r="D3" s="364">
        <v>200</v>
      </c>
      <c r="E3" s="363"/>
      <c r="F3" s="362" t="s">
        <v>417</v>
      </c>
      <c r="G3" s="405">
        <v>0</v>
      </c>
      <c r="H3" s="346">
        <v>12.4</v>
      </c>
      <c r="I3" s="346">
        <f>H3*0.61</f>
        <v>7.5640000000000001</v>
      </c>
      <c r="J3" s="346">
        <f>H3*0.27</f>
        <v>3.3480000000000003</v>
      </c>
      <c r="K3" s="346">
        <f>H3*0.2</f>
        <v>2.4800000000000004</v>
      </c>
      <c r="L3" s="346">
        <f>D3*0.7</f>
        <v>140</v>
      </c>
      <c r="M3" s="346">
        <v>0</v>
      </c>
      <c r="N3" s="346">
        <v>0</v>
      </c>
      <c r="O3" s="346">
        <f>(D3*0.1%)*1000</f>
        <v>200</v>
      </c>
      <c r="P3" s="346">
        <v>0</v>
      </c>
      <c r="Q3" s="346">
        <v>8</v>
      </c>
      <c r="R3" s="346">
        <v>5.6</v>
      </c>
      <c r="S3" s="346"/>
      <c r="T3" s="346"/>
      <c r="U3" s="346"/>
      <c r="V3" s="346"/>
      <c r="W3" s="346"/>
      <c r="X3" s="346"/>
      <c r="Y3" s="346"/>
      <c r="Z3" s="346"/>
      <c r="AA3" s="346"/>
      <c r="AB3" s="346"/>
      <c r="AC3" s="346"/>
      <c r="AD3" s="346"/>
      <c r="AE3" s="346"/>
      <c r="AF3" s="346"/>
      <c r="AG3" s="346"/>
      <c r="AH3" s="346"/>
      <c r="AI3" s="346"/>
      <c r="AK3" s="366" t="s">
        <v>433</v>
      </c>
      <c r="AL3" s="368" t="s">
        <v>436</v>
      </c>
      <c r="AM3" s="369" t="s">
        <v>5</v>
      </c>
      <c r="AN3" s="340" t="s">
        <v>373</v>
      </c>
      <c r="AO3" s="340" t="s">
        <v>410</v>
      </c>
    </row>
    <row r="4" spans="1:41">
      <c r="A4" s="359" t="s">
        <v>413</v>
      </c>
      <c r="B4" s="346">
        <v>14.5</v>
      </c>
      <c r="C4" s="346">
        <v>576</v>
      </c>
      <c r="D4" s="364">
        <v>400</v>
      </c>
      <c r="E4" s="363"/>
      <c r="F4" s="362" t="s">
        <v>417</v>
      </c>
      <c r="G4" s="405">
        <v>0</v>
      </c>
      <c r="H4" s="346">
        <v>24.8</v>
      </c>
      <c r="I4" s="346">
        <f>H4*0.61</f>
        <v>15.128</v>
      </c>
      <c r="J4" s="346">
        <f>H4*0.27</f>
        <v>6.6960000000000006</v>
      </c>
      <c r="K4" s="346">
        <f>H4*0.2</f>
        <v>4.9600000000000009</v>
      </c>
      <c r="L4" s="346">
        <f t="shared" ref="L4:L67" si="0">D4*0.7</f>
        <v>280</v>
      </c>
      <c r="M4" s="346">
        <v>0</v>
      </c>
      <c r="N4" s="346">
        <v>0</v>
      </c>
      <c r="O4" s="346">
        <f>(D4*0.1%)*1000</f>
        <v>400</v>
      </c>
      <c r="P4" s="346">
        <v>0</v>
      </c>
      <c r="Q4" s="346">
        <v>16</v>
      </c>
      <c r="R4" s="346">
        <v>11.2</v>
      </c>
      <c r="S4" s="346"/>
      <c r="T4" s="346"/>
      <c r="U4" s="346"/>
      <c r="V4" s="346"/>
      <c r="W4" s="346"/>
      <c r="X4" s="346"/>
      <c r="Y4" s="346"/>
      <c r="Z4" s="346"/>
      <c r="AA4" s="346"/>
      <c r="AB4" s="346"/>
      <c r="AC4" s="346"/>
      <c r="AD4" s="346"/>
      <c r="AE4" s="346"/>
      <c r="AF4" s="346"/>
      <c r="AG4" s="346"/>
      <c r="AH4" s="346"/>
      <c r="AI4" s="346"/>
      <c r="AK4" s="366" t="s">
        <v>376</v>
      </c>
      <c r="AL4" s="368" t="s">
        <v>436</v>
      </c>
      <c r="AM4" s="369" t="s">
        <v>6</v>
      </c>
      <c r="AN4" s="340" t="s">
        <v>376</v>
      </c>
      <c r="AO4" s="340" t="s">
        <v>410</v>
      </c>
    </row>
    <row r="5" spans="1:41">
      <c r="A5" s="359" t="s">
        <v>413</v>
      </c>
      <c r="B5" s="346">
        <v>18.2</v>
      </c>
      <c r="C5" s="346">
        <v>720</v>
      </c>
      <c r="D5" s="364">
        <v>500</v>
      </c>
      <c r="E5" s="363"/>
      <c r="F5" s="362" t="s">
        <v>417</v>
      </c>
      <c r="G5" s="405">
        <v>0</v>
      </c>
      <c r="H5" s="346">
        <v>31</v>
      </c>
      <c r="I5" s="346">
        <f>H5*0.61</f>
        <v>18.91</v>
      </c>
      <c r="J5" s="346">
        <f>H5*0.27</f>
        <v>8.370000000000001</v>
      </c>
      <c r="K5" s="346">
        <f>H5*0.2</f>
        <v>6.2</v>
      </c>
      <c r="L5" s="346">
        <f t="shared" si="0"/>
        <v>350</v>
      </c>
      <c r="M5" s="346">
        <v>0</v>
      </c>
      <c r="N5" s="346">
        <v>0</v>
      </c>
      <c r="O5" s="346">
        <f>(D5*0.1%)*1000</f>
        <v>500</v>
      </c>
      <c r="P5" s="346">
        <v>0</v>
      </c>
      <c r="Q5" s="346">
        <v>20</v>
      </c>
      <c r="R5" s="346">
        <v>14</v>
      </c>
      <c r="S5" s="346">
        <v>7.5</v>
      </c>
      <c r="T5" s="346">
        <v>25</v>
      </c>
      <c r="U5" s="346">
        <v>10</v>
      </c>
      <c r="V5" s="346">
        <v>40</v>
      </c>
      <c r="W5" s="346">
        <v>15</v>
      </c>
      <c r="X5" s="346">
        <v>0.5</v>
      </c>
      <c r="Y5" s="346">
        <v>100</v>
      </c>
      <c r="Z5" s="346">
        <v>3.5</v>
      </c>
      <c r="AA5" s="346">
        <v>400</v>
      </c>
      <c r="AB5" s="346">
        <v>400</v>
      </c>
      <c r="AC5" s="346">
        <v>1</v>
      </c>
      <c r="AD5" s="346">
        <v>400</v>
      </c>
      <c r="AE5" s="346">
        <v>15</v>
      </c>
      <c r="AF5" s="346">
        <v>3300</v>
      </c>
      <c r="AG5" s="346">
        <v>500</v>
      </c>
      <c r="AH5" s="346">
        <v>30</v>
      </c>
      <c r="AI5" s="346">
        <v>20</v>
      </c>
      <c r="AK5" s="366" t="s">
        <v>377</v>
      </c>
      <c r="AL5" s="368" t="s">
        <v>436</v>
      </c>
      <c r="AM5" s="369" t="s">
        <v>7</v>
      </c>
      <c r="AN5" s="340" t="s">
        <v>377</v>
      </c>
      <c r="AO5" s="340" t="s">
        <v>410</v>
      </c>
    </row>
    <row r="6" spans="1:41">
      <c r="A6" s="359" t="s">
        <v>413</v>
      </c>
      <c r="B6" s="346"/>
      <c r="C6" s="346"/>
      <c r="D6" s="364">
        <v>600</v>
      </c>
      <c r="E6" s="363"/>
      <c r="F6" s="362" t="s">
        <v>417</v>
      </c>
      <c r="G6" s="405">
        <v>0</v>
      </c>
      <c r="H6" s="346"/>
      <c r="I6" s="346"/>
      <c r="J6" s="346"/>
      <c r="K6" s="346"/>
      <c r="L6" s="346">
        <f t="shared" si="0"/>
        <v>420</v>
      </c>
      <c r="M6" s="346"/>
      <c r="N6" s="346"/>
      <c r="O6" s="346">
        <f>(D6*0.1%)*1000</f>
        <v>600</v>
      </c>
      <c r="P6" s="346"/>
      <c r="Q6" s="346"/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  <c r="AI6" s="346"/>
      <c r="AK6" s="366" t="s">
        <v>378</v>
      </c>
      <c r="AL6" s="368" t="s">
        <v>436</v>
      </c>
      <c r="AM6" s="369" t="s">
        <v>8</v>
      </c>
      <c r="AN6" s="340" t="s">
        <v>378</v>
      </c>
      <c r="AO6" s="340" t="s">
        <v>410</v>
      </c>
    </row>
    <row r="7" spans="1:41">
      <c r="A7" s="359" t="s">
        <v>412</v>
      </c>
      <c r="B7" s="346">
        <v>6.7</v>
      </c>
      <c r="C7" s="346">
        <v>252</v>
      </c>
      <c r="D7" s="364">
        <v>200</v>
      </c>
      <c r="E7" s="363"/>
      <c r="F7" s="362" t="s">
        <v>415</v>
      </c>
      <c r="G7" s="405">
        <v>0</v>
      </c>
      <c r="H7" s="346">
        <v>10.8</v>
      </c>
      <c r="I7" s="346">
        <f>H7*0.61</f>
        <v>6.5880000000000001</v>
      </c>
      <c r="J7" s="346">
        <f>H7*0.27</f>
        <v>2.9160000000000004</v>
      </c>
      <c r="K7" s="346">
        <f>H7*0.2</f>
        <v>2.16</v>
      </c>
      <c r="L7" s="346">
        <f t="shared" si="0"/>
        <v>140</v>
      </c>
      <c r="M7" s="346">
        <v>0</v>
      </c>
      <c r="N7" s="346">
        <v>0</v>
      </c>
      <c r="O7" s="346">
        <f t="shared" ref="O7:O10" si="1">(C7*0.1%)*1000</f>
        <v>252</v>
      </c>
      <c r="P7" s="346">
        <v>0</v>
      </c>
      <c r="Q7" s="346">
        <v>8</v>
      </c>
      <c r="R7" s="346">
        <v>5.6</v>
      </c>
      <c r="S7" s="346"/>
      <c r="T7" s="346"/>
      <c r="U7" s="346"/>
      <c r="V7" s="346"/>
      <c r="W7" s="346"/>
      <c r="X7" s="346"/>
      <c r="Y7" s="346"/>
      <c r="Z7" s="346"/>
      <c r="AA7" s="346"/>
      <c r="AB7" s="346"/>
      <c r="AC7" s="346"/>
      <c r="AD7" s="346"/>
      <c r="AE7" s="346"/>
      <c r="AF7" s="346"/>
      <c r="AG7" s="346"/>
      <c r="AH7" s="346"/>
      <c r="AI7" s="346"/>
      <c r="AK7" s="366" t="s">
        <v>379</v>
      </c>
      <c r="AL7" s="368" t="s">
        <v>436</v>
      </c>
      <c r="AM7" s="369" t="s">
        <v>9</v>
      </c>
      <c r="AN7" s="340" t="s">
        <v>379</v>
      </c>
      <c r="AO7" s="340" t="s">
        <v>410</v>
      </c>
    </row>
    <row r="8" spans="1:41">
      <c r="A8" s="359" t="s">
        <v>412</v>
      </c>
      <c r="B8" s="346">
        <v>13.3</v>
      </c>
      <c r="C8" s="346">
        <v>504</v>
      </c>
      <c r="D8" s="364">
        <v>400</v>
      </c>
      <c r="E8" s="363"/>
      <c r="F8" s="362" t="s">
        <v>415</v>
      </c>
      <c r="G8" s="405">
        <v>0</v>
      </c>
      <c r="H8" s="346">
        <v>21.7</v>
      </c>
      <c r="I8" s="346">
        <f>H8*0.61</f>
        <v>13.237</v>
      </c>
      <c r="J8" s="346">
        <f>H8*0.27</f>
        <v>5.859</v>
      </c>
      <c r="K8" s="346">
        <f>H8*0.2</f>
        <v>4.34</v>
      </c>
      <c r="L8" s="346">
        <f t="shared" si="0"/>
        <v>280</v>
      </c>
      <c r="M8" s="346">
        <v>0</v>
      </c>
      <c r="N8" s="346">
        <v>0</v>
      </c>
      <c r="O8" s="346">
        <f t="shared" si="1"/>
        <v>504</v>
      </c>
      <c r="P8" s="346">
        <v>0</v>
      </c>
      <c r="Q8" s="346">
        <v>16</v>
      </c>
      <c r="R8" s="346">
        <v>11.2</v>
      </c>
      <c r="S8" s="340"/>
      <c r="T8" s="340"/>
      <c r="U8" s="340"/>
      <c r="V8" s="340"/>
      <c r="W8" s="340"/>
      <c r="X8" s="340"/>
      <c r="Y8" s="340"/>
      <c r="Z8" s="340"/>
      <c r="AA8" s="340"/>
      <c r="AB8" s="340"/>
      <c r="AC8" s="340"/>
      <c r="AD8" s="340"/>
      <c r="AE8" s="340"/>
      <c r="AF8" s="340"/>
      <c r="AG8" s="340"/>
      <c r="AH8" s="340"/>
      <c r="AI8" s="340"/>
      <c r="AK8" s="366" t="s">
        <v>380</v>
      </c>
      <c r="AL8" s="368" t="s">
        <v>436</v>
      </c>
      <c r="AM8" s="369" t="s">
        <v>10</v>
      </c>
      <c r="AN8" s="340" t="s">
        <v>380</v>
      </c>
      <c r="AO8" s="340" t="s">
        <v>410</v>
      </c>
    </row>
    <row r="9" spans="1:41">
      <c r="A9" s="359" t="s">
        <v>412</v>
      </c>
      <c r="B9" s="346">
        <v>16.7</v>
      </c>
      <c r="C9" s="346">
        <v>630</v>
      </c>
      <c r="D9" s="364">
        <v>500</v>
      </c>
      <c r="E9" s="363"/>
      <c r="F9" s="362" t="s">
        <v>415</v>
      </c>
      <c r="G9" s="405">
        <v>0</v>
      </c>
      <c r="H9" s="346">
        <v>27.1</v>
      </c>
      <c r="I9" s="346">
        <f>H9*0.61</f>
        <v>16.530999999999999</v>
      </c>
      <c r="J9" s="346">
        <f>H9*0.27</f>
        <v>7.3170000000000011</v>
      </c>
      <c r="K9" s="346">
        <f>H9*0.2</f>
        <v>5.4200000000000008</v>
      </c>
      <c r="L9" s="346">
        <f t="shared" si="0"/>
        <v>350</v>
      </c>
      <c r="M9" s="346">
        <v>0</v>
      </c>
      <c r="N9" s="346">
        <v>0</v>
      </c>
      <c r="O9" s="346">
        <f t="shared" si="1"/>
        <v>630</v>
      </c>
      <c r="P9" s="346">
        <v>0</v>
      </c>
      <c r="Q9" s="346">
        <v>20</v>
      </c>
      <c r="R9" s="346">
        <v>14</v>
      </c>
      <c r="S9" s="346">
        <v>7.5</v>
      </c>
      <c r="T9" s="346">
        <v>25</v>
      </c>
      <c r="U9" s="346">
        <v>10</v>
      </c>
      <c r="V9" s="346">
        <v>40</v>
      </c>
      <c r="W9" s="346">
        <v>15</v>
      </c>
      <c r="X9" s="346">
        <v>0.5</v>
      </c>
      <c r="Y9" s="346">
        <v>100</v>
      </c>
      <c r="Z9" s="346">
        <v>3.5</v>
      </c>
      <c r="AA9" s="346">
        <v>400</v>
      </c>
      <c r="AB9" s="346">
        <v>400</v>
      </c>
      <c r="AC9" s="346">
        <v>1</v>
      </c>
      <c r="AD9" s="346">
        <v>400</v>
      </c>
      <c r="AE9" s="346">
        <v>15</v>
      </c>
      <c r="AF9" s="346">
        <v>3300</v>
      </c>
      <c r="AG9" s="346">
        <v>500</v>
      </c>
      <c r="AH9" s="346">
        <v>30</v>
      </c>
      <c r="AI9" s="346">
        <v>20</v>
      </c>
      <c r="AK9" s="366" t="s">
        <v>381</v>
      </c>
      <c r="AL9" s="368" t="s">
        <v>436</v>
      </c>
      <c r="AM9" s="369" t="s">
        <v>11</v>
      </c>
      <c r="AN9" s="340" t="s">
        <v>381</v>
      </c>
      <c r="AO9" s="340" t="s">
        <v>410</v>
      </c>
    </row>
    <row r="10" spans="1:41">
      <c r="A10" s="359" t="s">
        <v>412</v>
      </c>
      <c r="B10" s="346"/>
      <c r="C10" s="346"/>
      <c r="D10" s="364">
        <v>600</v>
      </c>
      <c r="E10" s="363"/>
      <c r="F10" s="362" t="s">
        <v>415</v>
      </c>
      <c r="G10" s="405">
        <v>0</v>
      </c>
      <c r="H10" s="346"/>
      <c r="I10" s="346"/>
      <c r="J10" s="346"/>
      <c r="K10" s="346"/>
      <c r="L10" s="346">
        <f t="shared" si="0"/>
        <v>420</v>
      </c>
      <c r="M10" s="346"/>
      <c r="N10" s="346"/>
      <c r="O10" s="346">
        <f t="shared" si="1"/>
        <v>0</v>
      </c>
      <c r="P10" s="346"/>
      <c r="Q10" s="346"/>
      <c r="R10" s="346"/>
      <c r="S10" s="346"/>
      <c r="T10" s="346"/>
      <c r="U10" s="346"/>
      <c r="V10" s="346"/>
      <c r="W10" s="346"/>
      <c r="X10" s="346"/>
      <c r="Y10" s="346"/>
      <c r="Z10" s="346"/>
      <c r="AA10" s="346"/>
      <c r="AB10" s="346"/>
      <c r="AC10" s="346"/>
      <c r="AD10" s="346"/>
      <c r="AE10" s="346"/>
      <c r="AF10" s="346"/>
      <c r="AG10" s="346"/>
      <c r="AH10" s="346"/>
      <c r="AI10" s="346"/>
      <c r="AK10" s="366" t="s">
        <v>382</v>
      </c>
      <c r="AL10" s="368" t="s">
        <v>436</v>
      </c>
      <c r="AM10" s="369" t="s">
        <v>284</v>
      </c>
      <c r="AN10" s="340" t="s">
        <v>382</v>
      </c>
      <c r="AO10" s="340" t="s">
        <v>410</v>
      </c>
    </row>
    <row r="11" spans="1:41">
      <c r="A11" s="359" t="s">
        <v>412</v>
      </c>
      <c r="B11" s="346">
        <v>6.1</v>
      </c>
      <c r="C11" s="346">
        <v>216</v>
      </c>
      <c r="D11" s="364">
        <v>200</v>
      </c>
      <c r="E11" s="363"/>
      <c r="F11" s="362" t="s">
        <v>416</v>
      </c>
      <c r="G11" s="405">
        <v>0</v>
      </c>
      <c r="H11" s="346">
        <v>9.3000000000000007</v>
      </c>
      <c r="I11" s="346">
        <f>H11*0.61</f>
        <v>5.673</v>
      </c>
      <c r="J11" s="346">
        <f>H11*0.27</f>
        <v>2.5110000000000006</v>
      </c>
      <c r="K11" s="346">
        <f>H11*0.2</f>
        <v>1.8600000000000003</v>
      </c>
      <c r="L11" s="346">
        <f t="shared" si="0"/>
        <v>140</v>
      </c>
      <c r="M11" s="346">
        <v>0</v>
      </c>
      <c r="N11" s="346">
        <v>0</v>
      </c>
      <c r="O11" s="346">
        <f>(D11*0.1%)*1000</f>
        <v>200</v>
      </c>
      <c r="P11" s="346">
        <v>0</v>
      </c>
      <c r="Q11" s="346">
        <v>8</v>
      </c>
      <c r="R11" s="346">
        <v>5.6</v>
      </c>
      <c r="S11" s="346"/>
      <c r="T11" s="346"/>
      <c r="U11" s="346"/>
      <c r="V11" s="346"/>
      <c r="W11" s="346"/>
      <c r="X11" s="346"/>
      <c r="Y11" s="346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K11" s="366" t="s">
        <v>383</v>
      </c>
      <c r="AL11" s="368" t="s">
        <v>436</v>
      </c>
      <c r="AM11" s="369" t="s">
        <v>13</v>
      </c>
      <c r="AN11" s="340" t="s">
        <v>383</v>
      </c>
      <c r="AO11" s="340" t="s">
        <v>410</v>
      </c>
    </row>
    <row r="12" spans="1:41">
      <c r="A12" s="359" t="s">
        <v>412</v>
      </c>
      <c r="B12" s="346">
        <v>12.1</v>
      </c>
      <c r="C12" s="346">
        <v>432</v>
      </c>
      <c r="D12" s="364">
        <v>400</v>
      </c>
      <c r="E12" s="363"/>
      <c r="F12" s="362" t="s">
        <v>416</v>
      </c>
      <c r="G12" s="405">
        <v>0</v>
      </c>
      <c r="H12" s="346">
        <v>18.600000000000001</v>
      </c>
      <c r="I12" s="346">
        <f>H12*0.61</f>
        <v>11.346</v>
      </c>
      <c r="J12" s="346">
        <f>H12*0.27</f>
        <v>5.0220000000000011</v>
      </c>
      <c r="K12" s="346">
        <f>H12*0.2</f>
        <v>3.7200000000000006</v>
      </c>
      <c r="L12" s="346">
        <f t="shared" si="0"/>
        <v>280</v>
      </c>
      <c r="M12" s="346">
        <v>0</v>
      </c>
      <c r="N12" s="346">
        <v>0</v>
      </c>
      <c r="O12" s="346">
        <f>(D12*0.1%)*1000</f>
        <v>400</v>
      </c>
      <c r="P12" s="346">
        <v>0</v>
      </c>
      <c r="Q12" s="346">
        <v>16</v>
      </c>
      <c r="R12" s="346">
        <v>11.2</v>
      </c>
      <c r="S12" s="346"/>
      <c r="T12" s="346"/>
      <c r="U12" s="346"/>
      <c r="V12" s="346"/>
      <c r="W12" s="346"/>
      <c r="X12" s="346"/>
      <c r="Y12" s="346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K12" s="366" t="s">
        <v>384</v>
      </c>
      <c r="AL12" s="368" t="s">
        <v>436</v>
      </c>
      <c r="AM12" s="369" t="s">
        <v>14</v>
      </c>
      <c r="AN12" s="340" t="s">
        <v>384</v>
      </c>
      <c r="AO12" s="340" t="s">
        <v>410</v>
      </c>
    </row>
    <row r="13" spans="1:41">
      <c r="A13" s="359" t="s">
        <v>412</v>
      </c>
      <c r="B13" s="346">
        <v>15.2</v>
      </c>
      <c r="C13" s="346">
        <v>540</v>
      </c>
      <c r="D13" s="364">
        <v>500</v>
      </c>
      <c r="E13" s="363"/>
      <c r="F13" s="362" t="s">
        <v>416</v>
      </c>
      <c r="G13" s="405">
        <v>0</v>
      </c>
      <c r="H13" s="346">
        <v>23.2</v>
      </c>
      <c r="I13" s="346">
        <f>H13*0.61</f>
        <v>14.151999999999999</v>
      </c>
      <c r="J13" s="346">
        <f>H13*0.27</f>
        <v>6.2640000000000002</v>
      </c>
      <c r="K13" s="346">
        <f>H13*0.2</f>
        <v>4.6399999999999997</v>
      </c>
      <c r="L13" s="346">
        <f t="shared" si="0"/>
        <v>350</v>
      </c>
      <c r="M13" s="346">
        <v>0</v>
      </c>
      <c r="N13" s="346">
        <v>0</v>
      </c>
      <c r="O13" s="346">
        <f>(D13*0.1%)*1000</f>
        <v>500</v>
      </c>
      <c r="P13" s="346">
        <v>0</v>
      </c>
      <c r="Q13" s="346">
        <v>20</v>
      </c>
      <c r="R13" s="346">
        <v>14</v>
      </c>
      <c r="S13" s="346">
        <v>7.5</v>
      </c>
      <c r="T13" s="346">
        <v>25</v>
      </c>
      <c r="U13" s="346">
        <v>10</v>
      </c>
      <c r="V13" s="346">
        <v>40</v>
      </c>
      <c r="W13" s="346">
        <v>15</v>
      </c>
      <c r="X13" s="346">
        <v>0.5</v>
      </c>
      <c r="Y13" s="346">
        <v>100</v>
      </c>
      <c r="Z13" s="346">
        <v>3.5</v>
      </c>
      <c r="AA13" s="346">
        <v>400</v>
      </c>
      <c r="AB13" s="346">
        <v>400</v>
      </c>
      <c r="AC13" s="346">
        <v>1</v>
      </c>
      <c r="AD13" s="346">
        <v>400</v>
      </c>
      <c r="AE13" s="346">
        <v>15</v>
      </c>
      <c r="AF13" s="346">
        <v>3300</v>
      </c>
      <c r="AG13" s="346">
        <v>500</v>
      </c>
      <c r="AH13" s="346">
        <v>30</v>
      </c>
      <c r="AI13" s="346">
        <v>20</v>
      </c>
      <c r="AK13" s="366" t="s">
        <v>385</v>
      </c>
      <c r="AL13" s="368" t="s">
        <v>436</v>
      </c>
      <c r="AM13" s="369" t="s">
        <v>15</v>
      </c>
      <c r="AN13" s="340" t="s">
        <v>385</v>
      </c>
      <c r="AO13" s="340" t="s">
        <v>410</v>
      </c>
    </row>
    <row r="14" spans="1:41">
      <c r="A14" s="359" t="s">
        <v>412</v>
      </c>
      <c r="B14" s="346"/>
      <c r="C14" s="346"/>
      <c r="D14" s="364">
        <v>600</v>
      </c>
      <c r="E14" s="363"/>
      <c r="F14" s="362" t="s">
        <v>416</v>
      </c>
      <c r="G14" s="405">
        <v>0</v>
      </c>
      <c r="H14" s="346"/>
      <c r="I14" s="346"/>
      <c r="J14" s="346"/>
      <c r="K14" s="346"/>
      <c r="L14" s="346">
        <f t="shared" si="0"/>
        <v>420</v>
      </c>
      <c r="M14" s="346"/>
      <c r="N14" s="346"/>
      <c r="O14" s="346">
        <f>(D14*0.1%)*1000</f>
        <v>600</v>
      </c>
      <c r="P14" s="346"/>
      <c r="Q14" s="346"/>
      <c r="R14" s="346"/>
      <c r="S14" s="346"/>
      <c r="T14" s="346"/>
      <c r="U14" s="346"/>
      <c r="V14" s="346"/>
      <c r="W14" s="346"/>
      <c r="X14" s="346"/>
      <c r="Y14" s="346"/>
      <c r="Z14" s="346"/>
      <c r="AA14" s="346"/>
      <c r="AB14" s="346"/>
      <c r="AC14" s="346"/>
      <c r="AD14" s="346"/>
      <c r="AE14" s="346"/>
      <c r="AF14" s="346"/>
      <c r="AG14" s="346"/>
      <c r="AH14" s="346"/>
      <c r="AI14" s="346"/>
      <c r="AK14" s="366" t="s">
        <v>386</v>
      </c>
      <c r="AL14" s="368" t="s">
        <v>436</v>
      </c>
      <c r="AM14" s="369" t="s">
        <v>16</v>
      </c>
      <c r="AN14" s="340" t="s">
        <v>386</v>
      </c>
      <c r="AO14" s="340" t="s">
        <v>410</v>
      </c>
    </row>
    <row r="15" spans="1:41">
      <c r="A15" s="359" t="s">
        <v>418</v>
      </c>
      <c r="B15" s="346">
        <v>5.3</v>
      </c>
      <c r="C15" s="346">
        <v>268</v>
      </c>
      <c r="D15" s="364">
        <v>67</v>
      </c>
      <c r="E15" s="363">
        <v>4</v>
      </c>
      <c r="F15" s="363"/>
      <c r="G15" s="346">
        <v>0.34</v>
      </c>
      <c r="H15" s="346">
        <v>11.5</v>
      </c>
      <c r="I15" s="346">
        <f>H15*0.61</f>
        <v>7.0149999999999997</v>
      </c>
      <c r="J15" s="346">
        <f>H15*0.27</f>
        <v>3.1050000000000004</v>
      </c>
      <c r="K15" s="346">
        <f>H15*0.2</f>
        <v>2.3000000000000003</v>
      </c>
      <c r="L15" s="346">
        <f t="shared" si="0"/>
        <v>46.9</v>
      </c>
      <c r="M15" s="346">
        <v>0</v>
      </c>
      <c r="N15" s="346">
        <v>0</v>
      </c>
      <c r="O15" s="346">
        <f>(D15*0.1%)*1000</f>
        <v>67</v>
      </c>
      <c r="P15" s="346">
        <v>0</v>
      </c>
      <c r="Q15" s="346">
        <v>15.6</v>
      </c>
      <c r="R15" s="346">
        <v>8.6999999999999993</v>
      </c>
      <c r="S15" s="346"/>
      <c r="T15" s="346"/>
      <c r="U15" s="346"/>
      <c r="V15" s="346"/>
      <c r="W15" s="346"/>
      <c r="X15" s="346"/>
      <c r="Y15" s="346"/>
      <c r="Z15" s="346"/>
      <c r="AA15" s="346"/>
      <c r="AB15" s="346"/>
      <c r="AC15" s="346"/>
      <c r="AD15" s="346"/>
      <c r="AE15" s="346"/>
      <c r="AF15" s="346"/>
      <c r="AG15" s="346"/>
      <c r="AH15" s="346"/>
      <c r="AI15" s="346"/>
      <c r="AK15" s="366" t="s">
        <v>387</v>
      </c>
      <c r="AL15" s="368" t="s">
        <v>436</v>
      </c>
      <c r="AM15" s="369" t="s">
        <v>17</v>
      </c>
      <c r="AN15" s="340" t="s">
        <v>387</v>
      </c>
      <c r="AO15" s="340" t="s">
        <v>410</v>
      </c>
    </row>
    <row r="16" spans="1:41">
      <c r="A16" s="359" t="s">
        <v>418</v>
      </c>
      <c r="B16" s="346">
        <v>10.6</v>
      </c>
      <c r="C16" s="346">
        <v>535</v>
      </c>
      <c r="D16" s="364">
        <v>135</v>
      </c>
      <c r="E16" s="363">
        <v>4</v>
      </c>
      <c r="F16" s="363"/>
      <c r="G16" s="346">
        <v>0.67</v>
      </c>
      <c r="H16" s="346">
        <v>23</v>
      </c>
      <c r="I16" s="346">
        <f>H16*0.61</f>
        <v>14.03</v>
      </c>
      <c r="J16" s="346">
        <f>H16*0.27</f>
        <v>6.2100000000000009</v>
      </c>
      <c r="K16" s="346">
        <f>H16*0.2</f>
        <v>4.6000000000000005</v>
      </c>
      <c r="L16" s="346">
        <f t="shared" si="0"/>
        <v>94.5</v>
      </c>
      <c r="M16" s="346">
        <v>0</v>
      </c>
      <c r="N16" s="346">
        <v>0</v>
      </c>
      <c r="O16" s="346">
        <f>(D16*0.1%)*1000</f>
        <v>135</v>
      </c>
      <c r="P16" s="346">
        <v>0</v>
      </c>
      <c r="Q16" s="346">
        <v>31.3</v>
      </c>
      <c r="R16" s="346">
        <v>17.399999999999999</v>
      </c>
      <c r="S16" s="346"/>
      <c r="T16" s="346"/>
      <c r="U16" s="346"/>
      <c r="V16" s="346"/>
      <c r="W16" s="346"/>
      <c r="X16" s="346"/>
      <c r="Y16" s="346"/>
      <c r="Z16" s="346"/>
      <c r="AA16" s="346"/>
      <c r="AB16" s="346"/>
      <c r="AC16" s="346"/>
      <c r="AD16" s="346"/>
      <c r="AE16" s="346"/>
      <c r="AF16" s="346"/>
      <c r="AG16" s="346"/>
      <c r="AH16" s="346"/>
      <c r="AI16" s="346"/>
      <c r="AK16" s="366" t="s">
        <v>388</v>
      </c>
      <c r="AL16" s="368" t="s">
        <v>436</v>
      </c>
      <c r="AM16" s="369" t="s">
        <v>18</v>
      </c>
      <c r="AN16" s="340" t="s">
        <v>388</v>
      </c>
      <c r="AO16" s="340" t="s">
        <v>410</v>
      </c>
    </row>
    <row r="17" spans="1:41">
      <c r="A17" s="359" t="s">
        <v>418</v>
      </c>
      <c r="B17" s="346">
        <v>13.3</v>
      </c>
      <c r="C17" s="346">
        <v>669</v>
      </c>
      <c r="D17" s="364">
        <v>168</v>
      </c>
      <c r="E17" s="363">
        <v>4</v>
      </c>
      <c r="F17" s="363"/>
      <c r="G17" s="346">
        <v>0.84</v>
      </c>
      <c r="H17" s="346">
        <v>28.8</v>
      </c>
      <c r="I17" s="346">
        <f>H17*0.61</f>
        <v>17.568000000000001</v>
      </c>
      <c r="J17" s="346">
        <f>H17*0.27</f>
        <v>7.7760000000000007</v>
      </c>
      <c r="K17" s="346">
        <f>H17*0.2</f>
        <v>5.7600000000000007</v>
      </c>
      <c r="L17" s="346">
        <f t="shared" si="0"/>
        <v>117.6</v>
      </c>
      <c r="M17" s="346">
        <v>0</v>
      </c>
      <c r="N17" s="346">
        <v>0</v>
      </c>
      <c r="O17" s="346">
        <f>(D17*0.1%)*1000</f>
        <v>168</v>
      </c>
      <c r="P17" s="346">
        <v>0</v>
      </c>
      <c r="Q17" s="346">
        <v>39.1</v>
      </c>
      <c r="R17" s="346">
        <v>21.7</v>
      </c>
      <c r="S17" s="346">
        <v>3.6</v>
      </c>
      <c r="T17" s="346">
        <v>10.9</v>
      </c>
      <c r="U17" s="346">
        <v>4.2</v>
      </c>
      <c r="V17" s="346">
        <v>15.7</v>
      </c>
      <c r="W17" s="346">
        <v>6.3</v>
      </c>
      <c r="X17" s="346">
        <v>0.2</v>
      </c>
      <c r="Y17" s="346">
        <v>42.1</v>
      </c>
      <c r="Z17" s="346">
        <v>1.5</v>
      </c>
      <c r="AA17" s="346">
        <v>210.6</v>
      </c>
      <c r="AB17" s="346">
        <v>168.5</v>
      </c>
      <c r="AC17" s="346">
        <v>0.42</v>
      </c>
      <c r="AD17" s="346">
        <v>168.5</v>
      </c>
      <c r="AE17" s="346">
        <v>7.6</v>
      </c>
      <c r="AF17" s="346">
        <v>3740</v>
      </c>
      <c r="AG17" s="346">
        <v>337</v>
      </c>
      <c r="AH17" s="346">
        <v>12.6</v>
      </c>
      <c r="AI17" s="346">
        <v>8.4</v>
      </c>
      <c r="AK17" s="366" t="s">
        <v>389</v>
      </c>
      <c r="AL17" s="368" t="s">
        <v>436</v>
      </c>
      <c r="AM17" s="369" t="s">
        <v>19</v>
      </c>
      <c r="AN17" s="340" t="s">
        <v>389</v>
      </c>
      <c r="AO17" s="340" t="s">
        <v>410</v>
      </c>
    </row>
    <row r="18" spans="1:41">
      <c r="A18" s="359" t="s">
        <v>418</v>
      </c>
      <c r="B18" s="346"/>
      <c r="C18" s="346"/>
      <c r="D18" s="364">
        <v>202</v>
      </c>
      <c r="E18" s="363">
        <v>4</v>
      </c>
      <c r="F18" s="363"/>
      <c r="G18" s="346"/>
      <c r="H18" s="346"/>
      <c r="I18" s="346"/>
      <c r="J18" s="346"/>
      <c r="K18" s="346"/>
      <c r="L18" s="346">
        <f t="shared" si="0"/>
        <v>141.39999999999998</v>
      </c>
      <c r="M18" s="346"/>
      <c r="N18" s="346"/>
      <c r="O18" s="346">
        <f>(D18*0.1%)*1000</f>
        <v>202</v>
      </c>
      <c r="P18" s="346"/>
      <c r="Q18" s="346"/>
      <c r="R18" s="346"/>
      <c r="S18" s="346"/>
      <c r="T18" s="346"/>
      <c r="U18" s="346"/>
      <c r="V18" s="346"/>
      <c r="W18" s="346"/>
      <c r="X18" s="346"/>
      <c r="Y18" s="346"/>
      <c r="Z18" s="346"/>
      <c r="AA18" s="346"/>
      <c r="AB18" s="346"/>
      <c r="AC18" s="346"/>
      <c r="AD18" s="346"/>
      <c r="AE18" s="346"/>
      <c r="AF18" s="346"/>
      <c r="AG18" s="346"/>
      <c r="AH18" s="346"/>
      <c r="AI18" s="346"/>
      <c r="AK18" s="366" t="s">
        <v>390</v>
      </c>
      <c r="AL18" s="368" t="s">
        <v>436</v>
      </c>
      <c r="AM18" s="369" t="s">
        <v>20</v>
      </c>
      <c r="AN18" s="340" t="s">
        <v>390</v>
      </c>
      <c r="AO18" s="340" t="s">
        <v>410</v>
      </c>
    </row>
    <row r="19" spans="1:41">
      <c r="A19" s="359" t="s">
        <v>418</v>
      </c>
      <c r="B19" s="346">
        <v>6.2</v>
      </c>
      <c r="C19" s="346">
        <v>270</v>
      </c>
      <c r="D19" s="365">
        <v>86</v>
      </c>
      <c r="E19" s="362">
        <v>6</v>
      </c>
      <c r="F19" s="363"/>
      <c r="G19" s="346">
        <v>0.28999999999999998</v>
      </c>
      <c r="H19" s="346">
        <v>11.6</v>
      </c>
      <c r="I19" s="346">
        <f>H19*0.61</f>
        <v>7.0759999999999996</v>
      </c>
      <c r="J19" s="346">
        <f>H19*0.27</f>
        <v>3.1320000000000001</v>
      </c>
      <c r="K19" s="346">
        <f>H19*0.2</f>
        <v>2.3199999999999998</v>
      </c>
      <c r="L19" s="346">
        <f t="shared" si="0"/>
        <v>60.199999999999996</v>
      </c>
      <c r="M19" s="346">
        <v>0</v>
      </c>
      <c r="N19" s="346">
        <v>0</v>
      </c>
      <c r="O19" s="346">
        <f>(D19*0.1%)*1000</f>
        <v>86</v>
      </c>
      <c r="P19" s="346">
        <v>0</v>
      </c>
      <c r="Q19" s="346">
        <v>15.5</v>
      </c>
      <c r="R19" s="346">
        <v>8.6</v>
      </c>
      <c r="S19" s="346"/>
      <c r="T19" s="346"/>
      <c r="U19" s="346"/>
      <c r="V19" s="346"/>
      <c r="W19" s="346"/>
      <c r="X19" s="346"/>
      <c r="Y19" s="346"/>
      <c r="Z19" s="346"/>
      <c r="AA19" s="346"/>
      <c r="AB19" s="346"/>
      <c r="AC19" s="346"/>
      <c r="AD19" s="346"/>
      <c r="AE19" s="346"/>
      <c r="AF19" s="346"/>
      <c r="AG19" s="346"/>
      <c r="AH19" s="346"/>
      <c r="AI19" s="346"/>
      <c r="AK19" s="366" t="s">
        <v>391</v>
      </c>
      <c r="AL19" s="368" t="s">
        <v>375</v>
      </c>
      <c r="AM19" s="369" t="s">
        <v>88</v>
      </c>
      <c r="AN19" s="340" t="s">
        <v>391</v>
      </c>
      <c r="AO19" s="340" t="s">
        <v>375</v>
      </c>
    </row>
    <row r="20" spans="1:41">
      <c r="A20" s="359" t="s">
        <v>418</v>
      </c>
      <c r="B20" s="346">
        <v>12.4</v>
      </c>
      <c r="C20" s="346">
        <v>541</v>
      </c>
      <c r="D20" s="365">
        <v>173</v>
      </c>
      <c r="E20" s="362">
        <v>6</v>
      </c>
      <c r="F20" s="363"/>
      <c r="G20" s="346">
        <v>0.57999999999999996</v>
      </c>
      <c r="H20" s="346">
        <v>23.3</v>
      </c>
      <c r="I20" s="346">
        <f>H20*0.61</f>
        <v>14.213000000000001</v>
      </c>
      <c r="J20" s="346">
        <f>H20*0.27</f>
        <v>6.2910000000000004</v>
      </c>
      <c r="K20" s="346">
        <f>H20*0.2</f>
        <v>4.66</v>
      </c>
      <c r="L20" s="346">
        <f t="shared" si="0"/>
        <v>121.1</v>
      </c>
      <c r="M20" s="346">
        <v>0</v>
      </c>
      <c r="N20" s="346">
        <v>0</v>
      </c>
      <c r="O20" s="346">
        <f>(D20*0.1%)*1000</f>
        <v>173.00000000000003</v>
      </c>
      <c r="P20" s="346">
        <v>0</v>
      </c>
      <c r="Q20" s="346">
        <v>30.9</v>
      </c>
      <c r="R20" s="346">
        <v>17.2</v>
      </c>
      <c r="S20" s="346"/>
      <c r="T20" s="346"/>
      <c r="U20" s="346"/>
      <c r="V20" s="346"/>
      <c r="W20" s="346"/>
      <c r="X20" s="346"/>
      <c r="Y20" s="346"/>
      <c r="Z20" s="346"/>
      <c r="AA20" s="346"/>
      <c r="AB20" s="346"/>
      <c r="AC20" s="346"/>
      <c r="AD20" s="346"/>
      <c r="AE20" s="346"/>
      <c r="AF20" s="346"/>
      <c r="AG20" s="346"/>
      <c r="AH20" s="346"/>
      <c r="AI20" s="346"/>
      <c r="AK20" s="366" t="s">
        <v>402</v>
      </c>
      <c r="AL20" s="368" t="s">
        <v>375</v>
      </c>
      <c r="AM20" s="369" t="s">
        <v>22</v>
      </c>
      <c r="AN20" s="340" t="s">
        <v>402</v>
      </c>
      <c r="AO20" s="340" t="s">
        <v>375</v>
      </c>
    </row>
    <row r="21" spans="1:41">
      <c r="A21" s="359" t="s">
        <v>418</v>
      </c>
      <c r="B21" s="346">
        <v>15.5</v>
      </c>
      <c r="C21" s="346">
        <v>676</v>
      </c>
      <c r="D21" s="365">
        <v>216</v>
      </c>
      <c r="E21" s="362">
        <v>6</v>
      </c>
      <c r="F21" s="363"/>
      <c r="G21" s="346">
        <v>0.72</v>
      </c>
      <c r="H21" s="346">
        <v>29.1</v>
      </c>
      <c r="I21" s="346">
        <f>H21*0.61</f>
        <v>17.751000000000001</v>
      </c>
      <c r="J21" s="346">
        <f>H21*0.27</f>
        <v>7.8570000000000011</v>
      </c>
      <c r="K21" s="346">
        <f>H21*0.2</f>
        <v>5.82</v>
      </c>
      <c r="L21" s="346">
        <f t="shared" si="0"/>
        <v>151.19999999999999</v>
      </c>
      <c r="M21" s="346">
        <v>0</v>
      </c>
      <c r="N21" s="346">
        <v>0</v>
      </c>
      <c r="O21" s="346">
        <f>(D21*0.1%)*1000</f>
        <v>216</v>
      </c>
      <c r="P21" s="346">
        <v>0</v>
      </c>
      <c r="Q21" s="346">
        <v>38.6</v>
      </c>
      <c r="R21" s="346">
        <v>21.5</v>
      </c>
      <c r="S21" s="346">
        <v>4.0999999999999996</v>
      </c>
      <c r="T21" s="346">
        <v>13</v>
      </c>
      <c r="U21" s="346">
        <v>5</v>
      </c>
      <c r="V21" s="346">
        <v>20.100000000000001</v>
      </c>
      <c r="W21" s="346">
        <v>8.1</v>
      </c>
      <c r="X21" s="346">
        <v>0.3</v>
      </c>
      <c r="Y21" s="346">
        <v>54</v>
      </c>
      <c r="Z21" s="346">
        <v>1.9</v>
      </c>
      <c r="AA21" s="346">
        <v>269.89999999999998</v>
      </c>
      <c r="AB21" s="346">
        <v>215.9</v>
      </c>
      <c r="AC21" s="346">
        <v>0.54</v>
      </c>
      <c r="AD21" s="346">
        <v>215.9</v>
      </c>
      <c r="AE21" s="346">
        <v>9.6999999999999993</v>
      </c>
      <c r="AF21" s="346">
        <v>4793</v>
      </c>
      <c r="AG21" s="346">
        <v>432</v>
      </c>
      <c r="AH21" s="346">
        <v>16.2</v>
      </c>
      <c r="AI21" s="346">
        <v>10.8</v>
      </c>
      <c r="AK21" s="366" t="s">
        <v>403</v>
      </c>
      <c r="AL21" s="368" t="s">
        <v>375</v>
      </c>
      <c r="AM21" s="369" t="s">
        <v>23</v>
      </c>
      <c r="AN21" s="340" t="s">
        <v>403</v>
      </c>
      <c r="AO21" s="340" t="s">
        <v>375</v>
      </c>
    </row>
    <row r="22" spans="1:41">
      <c r="A22" s="359" t="s">
        <v>418</v>
      </c>
      <c r="B22" s="346"/>
      <c r="C22" s="346"/>
      <c r="D22" s="365">
        <v>259</v>
      </c>
      <c r="E22" s="362">
        <v>6</v>
      </c>
      <c r="F22" s="363"/>
      <c r="G22" s="346"/>
      <c r="H22" s="346"/>
      <c r="I22" s="346"/>
      <c r="J22" s="346"/>
      <c r="K22" s="346"/>
      <c r="L22" s="346">
        <f t="shared" si="0"/>
        <v>181.29999999999998</v>
      </c>
      <c r="M22" s="346"/>
      <c r="N22" s="346"/>
      <c r="O22" s="346">
        <f>(D22*0.1%)*1000</f>
        <v>259</v>
      </c>
      <c r="P22" s="346"/>
      <c r="Q22" s="346"/>
      <c r="R22" s="346"/>
      <c r="S22" s="346"/>
      <c r="T22" s="346"/>
      <c r="U22" s="346"/>
      <c r="V22" s="346"/>
      <c r="W22" s="346"/>
      <c r="X22" s="346"/>
      <c r="Y22" s="346"/>
      <c r="Z22" s="346"/>
      <c r="AA22" s="346"/>
      <c r="AB22" s="346"/>
      <c r="AC22" s="346"/>
      <c r="AD22" s="346"/>
      <c r="AE22" s="346"/>
      <c r="AF22" s="346"/>
      <c r="AG22" s="346"/>
      <c r="AH22" s="346"/>
      <c r="AI22" s="346"/>
      <c r="AK22" s="366" t="s">
        <v>404</v>
      </c>
      <c r="AL22" s="368" t="s">
        <v>375</v>
      </c>
      <c r="AM22" s="369" t="s">
        <v>24</v>
      </c>
      <c r="AN22" s="340" t="s">
        <v>404</v>
      </c>
      <c r="AO22" s="340" t="s">
        <v>375</v>
      </c>
    </row>
    <row r="23" spans="1:41">
      <c r="A23" s="359" t="s">
        <v>418</v>
      </c>
      <c r="B23" s="346">
        <v>7.5</v>
      </c>
      <c r="C23" s="346">
        <v>338</v>
      </c>
      <c r="D23" s="365">
        <v>128</v>
      </c>
      <c r="E23" s="362">
        <v>12</v>
      </c>
      <c r="F23" s="363"/>
      <c r="G23" s="346">
        <v>0.18</v>
      </c>
      <c r="H23" s="346">
        <v>13.7</v>
      </c>
      <c r="I23" s="346">
        <f>H23*0.61</f>
        <v>8.3569999999999993</v>
      </c>
      <c r="J23" s="346">
        <f>H23*0.27</f>
        <v>3.6989999999999998</v>
      </c>
      <c r="K23" s="346">
        <f>H23*0.2</f>
        <v>2.74</v>
      </c>
      <c r="L23" s="346">
        <f t="shared" si="0"/>
        <v>89.6</v>
      </c>
      <c r="M23" s="346">
        <v>0</v>
      </c>
      <c r="N23" s="346">
        <v>0</v>
      </c>
      <c r="O23" s="346">
        <f>(D23*0.1%)*1000</f>
        <v>128</v>
      </c>
      <c r="P23" s="346">
        <v>0</v>
      </c>
      <c r="Q23" s="346">
        <v>14.8</v>
      </c>
      <c r="R23" s="346">
        <v>8.1999999999999993</v>
      </c>
      <c r="S23" s="346"/>
      <c r="T23" s="346"/>
      <c r="U23" s="346"/>
      <c r="V23" s="346"/>
      <c r="W23" s="346"/>
      <c r="X23" s="346"/>
      <c r="Y23" s="346"/>
      <c r="Z23" s="346"/>
      <c r="AA23" s="346"/>
      <c r="AB23" s="346"/>
      <c r="AC23" s="346"/>
      <c r="AD23" s="346"/>
      <c r="AE23" s="346"/>
      <c r="AF23" s="346"/>
      <c r="AG23" s="346"/>
      <c r="AH23" s="346"/>
      <c r="AI23" s="346"/>
      <c r="AK23" s="366" t="s">
        <v>405</v>
      </c>
      <c r="AL23" s="368" t="s">
        <v>375</v>
      </c>
      <c r="AM23" s="369" t="s">
        <v>25</v>
      </c>
      <c r="AN23" s="340" t="s">
        <v>405</v>
      </c>
      <c r="AO23" s="340" t="s">
        <v>375</v>
      </c>
    </row>
    <row r="24" spans="1:41">
      <c r="A24" s="359" t="s">
        <v>418</v>
      </c>
      <c r="B24" s="346">
        <v>15</v>
      </c>
      <c r="C24" s="346">
        <v>677</v>
      </c>
      <c r="D24" s="365">
        <v>257</v>
      </c>
      <c r="E24" s="362">
        <v>12</v>
      </c>
      <c r="F24" s="363"/>
      <c r="G24" s="346">
        <v>0.36</v>
      </c>
      <c r="H24" s="346">
        <v>27.5</v>
      </c>
      <c r="I24" s="346">
        <f>H24*0.61</f>
        <v>16.774999999999999</v>
      </c>
      <c r="J24" s="346">
        <f>H24*0.27</f>
        <v>7.4250000000000007</v>
      </c>
      <c r="K24" s="346">
        <f>H24*0.2</f>
        <v>5.5</v>
      </c>
      <c r="L24" s="346">
        <f t="shared" si="0"/>
        <v>179.89999999999998</v>
      </c>
      <c r="M24" s="346">
        <v>0</v>
      </c>
      <c r="N24" s="346">
        <v>0</v>
      </c>
      <c r="O24" s="346">
        <f>(D24*0.1%)*1000</f>
        <v>257</v>
      </c>
      <c r="P24" s="346">
        <v>0</v>
      </c>
      <c r="Q24" s="346">
        <v>29.6</v>
      </c>
      <c r="R24" s="346">
        <v>16.5</v>
      </c>
      <c r="S24" s="346"/>
      <c r="T24" s="346"/>
      <c r="U24" s="346"/>
      <c r="V24" s="346"/>
      <c r="W24" s="346"/>
      <c r="X24" s="346"/>
      <c r="Y24" s="346"/>
      <c r="Z24" s="346"/>
      <c r="AA24" s="346"/>
      <c r="AB24" s="346"/>
      <c r="AC24" s="346"/>
      <c r="AD24" s="346"/>
      <c r="AE24" s="346"/>
      <c r="AF24" s="346"/>
      <c r="AG24" s="346"/>
      <c r="AH24" s="346"/>
      <c r="AI24" s="346"/>
      <c r="AK24" s="366" t="s">
        <v>406</v>
      </c>
      <c r="AL24" s="368" t="s">
        <v>375</v>
      </c>
      <c r="AM24" s="369" t="s">
        <v>26</v>
      </c>
      <c r="AN24" s="340" t="s">
        <v>406</v>
      </c>
      <c r="AO24" s="340" t="s">
        <v>375</v>
      </c>
    </row>
    <row r="25" spans="1:41">
      <c r="A25" s="359" t="s">
        <v>418</v>
      </c>
      <c r="B25" s="346">
        <v>18.8</v>
      </c>
      <c r="C25" s="346">
        <v>846</v>
      </c>
      <c r="D25" s="365">
        <v>321</v>
      </c>
      <c r="E25" s="362">
        <v>12</v>
      </c>
      <c r="F25" s="363"/>
      <c r="G25" s="346">
        <v>0.45</v>
      </c>
      <c r="H25" s="346">
        <v>34.4</v>
      </c>
      <c r="I25" s="346">
        <f>H25*0.61</f>
        <v>20.983999999999998</v>
      </c>
      <c r="J25" s="346">
        <f>H25*0.27</f>
        <v>9.2880000000000003</v>
      </c>
      <c r="K25" s="346">
        <f>H25*0.2</f>
        <v>6.88</v>
      </c>
      <c r="L25" s="346">
        <f t="shared" si="0"/>
        <v>224.7</v>
      </c>
      <c r="M25" s="346">
        <v>0</v>
      </c>
      <c r="N25" s="346">
        <v>0</v>
      </c>
      <c r="O25" s="346">
        <f>(D25*0.1%)*1000</f>
        <v>321</v>
      </c>
      <c r="P25" s="346">
        <v>0</v>
      </c>
      <c r="Q25" s="346">
        <v>37</v>
      </c>
      <c r="R25" s="346">
        <v>20.6</v>
      </c>
      <c r="S25" s="346">
        <v>6.2</v>
      </c>
      <c r="T25" s="346">
        <v>20.2</v>
      </c>
      <c r="U25" s="346">
        <v>8</v>
      </c>
      <c r="V25" s="346">
        <v>32</v>
      </c>
      <c r="W25" s="346">
        <v>14.5</v>
      </c>
      <c r="X25" s="346">
        <v>0.5</v>
      </c>
      <c r="Y25" s="346">
        <v>96.9</v>
      </c>
      <c r="Z25" s="346">
        <v>3.4</v>
      </c>
      <c r="AA25" s="346">
        <v>484.4</v>
      </c>
      <c r="AB25" s="346">
        <v>387.5</v>
      </c>
      <c r="AC25" s="346">
        <v>0.97</v>
      </c>
      <c r="AD25" s="346">
        <v>387.5</v>
      </c>
      <c r="AE25" s="346">
        <v>17.399999999999999</v>
      </c>
      <c r="AF25" s="346">
        <v>6161</v>
      </c>
      <c r="AG25" s="346">
        <v>775</v>
      </c>
      <c r="AH25" s="346">
        <v>29.1</v>
      </c>
      <c r="AI25" s="346">
        <v>19.399999999999999</v>
      </c>
      <c r="AK25" s="366" t="s">
        <v>407</v>
      </c>
      <c r="AL25" s="368" t="s">
        <v>375</v>
      </c>
      <c r="AM25" s="369" t="s">
        <v>27</v>
      </c>
      <c r="AN25" s="340" t="s">
        <v>407</v>
      </c>
      <c r="AO25" s="340" t="s">
        <v>375</v>
      </c>
    </row>
    <row r="26" spans="1:41">
      <c r="A26" s="359" t="s">
        <v>418</v>
      </c>
      <c r="B26" s="346"/>
      <c r="C26" s="346"/>
      <c r="D26" s="365">
        <v>385</v>
      </c>
      <c r="E26" s="362">
        <v>12</v>
      </c>
      <c r="F26" s="363"/>
      <c r="G26" s="346"/>
      <c r="H26" s="346"/>
      <c r="I26" s="346"/>
      <c r="J26" s="346"/>
      <c r="K26" s="346"/>
      <c r="L26" s="346">
        <f t="shared" si="0"/>
        <v>269.5</v>
      </c>
      <c r="M26" s="346"/>
      <c r="N26" s="346"/>
      <c r="O26" s="346">
        <f>(D26*0.1%)*1000</f>
        <v>385</v>
      </c>
      <c r="P26" s="346"/>
      <c r="Q26" s="346"/>
      <c r="R26" s="346"/>
      <c r="S26" s="346"/>
      <c r="T26" s="346"/>
      <c r="U26" s="346"/>
      <c r="V26" s="346"/>
      <c r="W26" s="346"/>
      <c r="X26" s="346"/>
      <c r="Y26" s="346"/>
      <c r="Z26" s="346"/>
      <c r="AA26" s="346"/>
      <c r="AB26" s="346"/>
      <c r="AC26" s="346"/>
      <c r="AD26" s="346"/>
      <c r="AE26" s="346"/>
      <c r="AF26" s="346"/>
      <c r="AG26" s="346"/>
      <c r="AH26" s="346"/>
      <c r="AI26" s="346"/>
      <c r="AK26" s="366" t="s">
        <v>392</v>
      </c>
      <c r="AL26" s="368" t="s">
        <v>435</v>
      </c>
      <c r="AM26" s="369" t="s">
        <v>28</v>
      </c>
      <c r="AN26" s="340" t="s">
        <v>392</v>
      </c>
      <c r="AO26" s="340" t="s">
        <v>408</v>
      </c>
    </row>
    <row r="27" spans="1:41">
      <c r="A27" s="359" t="s">
        <v>418</v>
      </c>
      <c r="B27" s="346">
        <v>7.7</v>
      </c>
      <c r="C27" s="346">
        <v>320</v>
      </c>
      <c r="D27" s="365">
        <v>155</v>
      </c>
      <c r="E27" s="362">
        <v>18</v>
      </c>
      <c r="F27" s="363"/>
      <c r="G27" s="346">
        <v>0.11</v>
      </c>
      <c r="H27" s="346">
        <v>14.7</v>
      </c>
      <c r="I27" s="346">
        <f>H27*0.61</f>
        <v>8.9669999999999987</v>
      </c>
      <c r="J27" s="346">
        <f>H27*0.27</f>
        <v>3.9689999999999999</v>
      </c>
      <c r="K27" s="346">
        <f>H27*0.2</f>
        <v>2.94</v>
      </c>
      <c r="L27" s="346">
        <f t="shared" si="0"/>
        <v>108.5</v>
      </c>
      <c r="M27" s="346">
        <v>0</v>
      </c>
      <c r="N27" s="346">
        <v>0</v>
      </c>
      <c r="O27" s="346">
        <f>(D27*0.1%)*1000</f>
        <v>155</v>
      </c>
      <c r="P27" s="346">
        <v>0</v>
      </c>
      <c r="Q27" s="346">
        <v>14.8</v>
      </c>
      <c r="R27" s="346">
        <v>8.1999999999999993</v>
      </c>
      <c r="S27" s="346"/>
      <c r="T27" s="346"/>
      <c r="U27" s="346"/>
      <c r="V27" s="346"/>
      <c r="W27" s="346"/>
      <c r="X27" s="346"/>
      <c r="Y27" s="346"/>
      <c r="Z27" s="346"/>
      <c r="AA27" s="346"/>
      <c r="AB27" s="346"/>
      <c r="AC27" s="346"/>
      <c r="AD27" s="346"/>
      <c r="AE27" s="346"/>
      <c r="AF27" s="346"/>
      <c r="AG27" s="346"/>
      <c r="AH27" s="346"/>
      <c r="AI27" s="346"/>
      <c r="AK27" s="366" t="s">
        <v>393</v>
      </c>
      <c r="AL27" s="368" t="s">
        <v>434</v>
      </c>
      <c r="AM27" s="369" t="s">
        <v>29</v>
      </c>
      <c r="AN27" s="340" t="s">
        <v>393</v>
      </c>
      <c r="AO27" s="340" t="s">
        <v>409</v>
      </c>
    </row>
    <row r="28" spans="1:41">
      <c r="A28" s="359" t="s">
        <v>418</v>
      </c>
      <c r="B28" s="346">
        <v>15.4</v>
      </c>
      <c r="C28" s="346">
        <v>639</v>
      </c>
      <c r="D28" s="365">
        <v>310</v>
      </c>
      <c r="E28" s="362">
        <v>18</v>
      </c>
      <c r="F28" s="363"/>
      <c r="G28" s="346">
        <v>0.23</v>
      </c>
      <c r="H28" s="346">
        <v>29.3</v>
      </c>
      <c r="I28" s="346">
        <f>H28*0.61</f>
        <v>17.873000000000001</v>
      </c>
      <c r="J28" s="346">
        <f>H28*0.27</f>
        <v>7.9110000000000005</v>
      </c>
      <c r="K28" s="346">
        <f>H28*0.2</f>
        <v>5.86</v>
      </c>
      <c r="L28" s="346">
        <f t="shared" si="0"/>
        <v>217</v>
      </c>
      <c r="M28" s="346">
        <v>0</v>
      </c>
      <c r="N28" s="346">
        <v>0</v>
      </c>
      <c r="O28" s="346">
        <f>(D28*0.1%)*1000</f>
        <v>310</v>
      </c>
      <c r="P28" s="346">
        <v>0</v>
      </c>
      <c r="Q28" s="346">
        <v>29.6</v>
      </c>
      <c r="R28" s="346">
        <v>16.5</v>
      </c>
      <c r="S28" s="346"/>
      <c r="T28" s="346"/>
      <c r="U28" s="346"/>
      <c r="V28" s="346"/>
      <c r="W28" s="346"/>
      <c r="X28" s="346"/>
      <c r="Y28" s="346"/>
      <c r="Z28" s="346"/>
      <c r="AA28" s="346"/>
      <c r="AB28" s="346"/>
      <c r="AC28" s="346"/>
      <c r="AD28" s="346"/>
      <c r="AE28" s="346"/>
      <c r="AF28" s="346"/>
      <c r="AG28" s="346"/>
      <c r="AH28" s="346"/>
      <c r="AI28" s="346"/>
      <c r="AK28" s="366" t="s">
        <v>379</v>
      </c>
      <c r="AL28" s="368" t="s">
        <v>434</v>
      </c>
      <c r="AM28" s="369" t="s">
        <v>30</v>
      </c>
      <c r="AN28" s="340" t="s">
        <v>394</v>
      </c>
      <c r="AO28" s="340" t="s">
        <v>409</v>
      </c>
    </row>
    <row r="29" spans="1:41">
      <c r="A29" s="359" t="s">
        <v>418</v>
      </c>
      <c r="B29" s="346">
        <v>19.2</v>
      </c>
      <c r="C29" s="346">
        <v>799</v>
      </c>
      <c r="D29" s="365">
        <v>387</v>
      </c>
      <c r="E29" s="362">
        <v>18</v>
      </c>
      <c r="F29" s="363"/>
      <c r="G29" s="346">
        <v>0.28999999999999998</v>
      </c>
      <c r="H29" s="346">
        <v>36.700000000000003</v>
      </c>
      <c r="I29" s="346">
        <f>H29*0.61</f>
        <v>22.387</v>
      </c>
      <c r="J29" s="346">
        <f>H29*0.27</f>
        <v>9.9090000000000007</v>
      </c>
      <c r="K29" s="346">
        <f>H29*0.2</f>
        <v>7.3400000000000007</v>
      </c>
      <c r="L29" s="346">
        <f t="shared" si="0"/>
        <v>270.89999999999998</v>
      </c>
      <c r="M29" s="346">
        <v>0</v>
      </c>
      <c r="N29" s="346">
        <v>0</v>
      </c>
      <c r="O29" s="346">
        <f>(D29*0.1%)*1000</f>
        <v>387</v>
      </c>
      <c r="P29" s="346">
        <v>0</v>
      </c>
      <c r="Q29" s="346">
        <v>37</v>
      </c>
      <c r="R29" s="346">
        <v>20.6</v>
      </c>
      <c r="S29" s="346">
        <v>11.6</v>
      </c>
      <c r="T29" s="346">
        <v>22.9</v>
      </c>
      <c r="U29" s="346">
        <v>11</v>
      </c>
      <c r="V29" s="346">
        <v>37.1</v>
      </c>
      <c r="W29" s="346">
        <v>14.5</v>
      </c>
      <c r="X29" s="346">
        <v>0.5</v>
      </c>
      <c r="Y29" s="346">
        <v>96.9</v>
      </c>
      <c r="Z29" s="346">
        <v>3.4</v>
      </c>
      <c r="AA29" s="346">
        <v>484.4</v>
      </c>
      <c r="AB29" s="346">
        <v>387.5</v>
      </c>
      <c r="AC29" s="346">
        <v>0.97</v>
      </c>
      <c r="AD29" s="346">
        <v>387.5</v>
      </c>
      <c r="AE29" s="346">
        <v>17.399999999999999</v>
      </c>
      <c r="AF29" s="346">
        <v>6161</v>
      </c>
      <c r="AG29" s="346">
        <v>775</v>
      </c>
      <c r="AH29" s="346">
        <v>29.1</v>
      </c>
      <c r="AI29" s="346">
        <v>19.399999999999999</v>
      </c>
      <c r="AK29" s="366" t="s">
        <v>395</v>
      </c>
      <c r="AL29" s="368" t="s">
        <v>375</v>
      </c>
      <c r="AM29" s="369" t="s">
        <v>31</v>
      </c>
      <c r="AN29" s="340" t="s">
        <v>395</v>
      </c>
      <c r="AO29" s="340" t="s">
        <v>375</v>
      </c>
    </row>
    <row r="30" spans="1:41">
      <c r="A30" s="359" t="s">
        <v>418</v>
      </c>
      <c r="B30" s="346"/>
      <c r="C30" s="346"/>
      <c r="D30" s="365">
        <v>465</v>
      </c>
      <c r="E30" s="362">
        <v>18</v>
      </c>
      <c r="F30" s="363"/>
      <c r="G30" s="346"/>
      <c r="H30" s="346"/>
      <c r="I30" s="346"/>
      <c r="J30" s="346"/>
      <c r="K30" s="346"/>
      <c r="L30" s="346">
        <f t="shared" si="0"/>
        <v>325.5</v>
      </c>
      <c r="M30" s="346"/>
      <c r="N30" s="346"/>
      <c r="O30" s="346">
        <f>(D30*0.1%)*1000</f>
        <v>465</v>
      </c>
      <c r="P30" s="346"/>
      <c r="Q30" s="346"/>
      <c r="R30" s="346"/>
      <c r="S30" s="346"/>
      <c r="T30" s="346"/>
      <c r="U30" s="346"/>
      <c r="V30" s="346"/>
      <c r="W30" s="346"/>
      <c r="X30" s="346"/>
      <c r="Y30" s="346"/>
      <c r="Z30" s="346"/>
      <c r="AA30" s="346"/>
      <c r="AB30" s="346"/>
      <c r="AC30" s="346"/>
      <c r="AD30" s="346"/>
      <c r="AE30" s="346"/>
      <c r="AF30" s="346"/>
      <c r="AG30" s="346"/>
      <c r="AH30" s="346"/>
      <c r="AI30" s="346"/>
      <c r="AK30" s="366" t="s">
        <v>396</v>
      </c>
      <c r="AL30" s="368" t="s">
        <v>375</v>
      </c>
      <c r="AM30" s="369" t="s">
        <v>32</v>
      </c>
      <c r="AN30" s="340" t="s">
        <v>396</v>
      </c>
      <c r="AO30" s="340" t="s">
        <v>375</v>
      </c>
    </row>
    <row r="31" spans="1:41">
      <c r="A31" s="359" t="s">
        <v>418</v>
      </c>
      <c r="B31" s="346">
        <v>7.5</v>
      </c>
      <c r="C31" s="346">
        <v>308</v>
      </c>
      <c r="D31" s="365">
        <v>172</v>
      </c>
      <c r="E31" s="363">
        <v>24</v>
      </c>
      <c r="F31" s="363"/>
      <c r="G31" s="346">
        <v>7.0000000000000007E-2</v>
      </c>
      <c r="H31" s="346">
        <v>15.6</v>
      </c>
      <c r="I31" s="346">
        <f>H31*0.61</f>
        <v>9.516</v>
      </c>
      <c r="J31" s="346">
        <f>H31*0.27</f>
        <v>4.2119999999999997</v>
      </c>
      <c r="K31" s="346">
        <f>H31*0.2</f>
        <v>3.12</v>
      </c>
      <c r="L31" s="346">
        <f t="shared" si="0"/>
        <v>120.39999999999999</v>
      </c>
      <c r="M31" s="346">
        <v>0</v>
      </c>
      <c r="N31" s="346">
        <v>0</v>
      </c>
      <c r="O31" s="346">
        <f>(D31*0.1%)*1000</f>
        <v>172</v>
      </c>
      <c r="P31" s="346">
        <v>0</v>
      </c>
      <c r="Q31" s="346">
        <v>14.8</v>
      </c>
      <c r="R31" s="346">
        <v>8.1999999999999993</v>
      </c>
      <c r="S31" s="346"/>
      <c r="T31" s="346"/>
      <c r="U31" s="346"/>
      <c r="V31" s="346"/>
      <c r="W31" s="346"/>
      <c r="X31" s="346"/>
      <c r="Y31" s="346"/>
      <c r="Z31" s="346"/>
      <c r="AA31" s="346"/>
      <c r="AB31" s="346"/>
      <c r="AC31" s="346"/>
      <c r="AD31" s="346"/>
      <c r="AE31" s="346"/>
      <c r="AF31" s="346"/>
      <c r="AG31" s="346"/>
      <c r="AH31" s="346"/>
      <c r="AI31" s="346"/>
      <c r="AN31" s="340" t="s">
        <v>397</v>
      </c>
      <c r="AO31" s="340" t="s">
        <v>375</v>
      </c>
    </row>
    <row r="32" spans="1:41">
      <c r="A32" s="359" t="s">
        <v>418</v>
      </c>
      <c r="B32" s="346">
        <v>15</v>
      </c>
      <c r="C32" s="346">
        <v>616</v>
      </c>
      <c r="D32" s="365">
        <v>343</v>
      </c>
      <c r="E32" s="363">
        <v>24</v>
      </c>
      <c r="F32" s="363"/>
      <c r="G32" s="346">
        <v>0.14000000000000001</v>
      </c>
      <c r="H32" s="346">
        <v>31.2</v>
      </c>
      <c r="I32" s="346">
        <f>H32*0.61</f>
        <v>19.032</v>
      </c>
      <c r="J32" s="346">
        <f>H32*0.27</f>
        <v>8.4239999999999995</v>
      </c>
      <c r="K32" s="346">
        <f>H32*0.2</f>
        <v>6.24</v>
      </c>
      <c r="L32" s="346">
        <f t="shared" si="0"/>
        <v>240.1</v>
      </c>
      <c r="M32" s="346">
        <v>0</v>
      </c>
      <c r="N32" s="346">
        <v>0</v>
      </c>
      <c r="O32" s="346">
        <f>(D32*0.1%)*1000</f>
        <v>343</v>
      </c>
      <c r="P32" s="346">
        <v>0</v>
      </c>
      <c r="Q32" s="346">
        <v>29.6</v>
      </c>
      <c r="R32" s="346">
        <v>16.5</v>
      </c>
      <c r="S32" s="346"/>
      <c r="T32" s="346"/>
      <c r="U32" s="346"/>
      <c r="V32" s="346"/>
      <c r="W32" s="346"/>
      <c r="X32" s="346"/>
      <c r="Y32" s="346"/>
      <c r="Z32" s="346"/>
      <c r="AA32" s="346"/>
      <c r="AB32" s="346"/>
      <c r="AC32" s="346"/>
      <c r="AD32" s="346"/>
      <c r="AE32" s="346"/>
      <c r="AF32" s="346"/>
      <c r="AG32" s="346"/>
      <c r="AH32" s="346"/>
      <c r="AI32" s="346"/>
      <c r="AN32" s="340" t="s">
        <v>398</v>
      </c>
      <c r="AO32" s="340" t="s">
        <v>375</v>
      </c>
    </row>
    <row r="33" spans="1:41">
      <c r="A33" s="359" t="s">
        <v>418</v>
      </c>
      <c r="B33" s="346">
        <v>18.7</v>
      </c>
      <c r="C33" s="346">
        <v>770</v>
      </c>
      <c r="D33" s="365">
        <v>429</v>
      </c>
      <c r="E33" s="363">
        <v>24</v>
      </c>
      <c r="F33" s="363"/>
      <c r="G33" s="346">
        <v>0.18</v>
      </c>
      <c r="H33" s="346">
        <v>39</v>
      </c>
      <c r="I33" s="346">
        <f>H33*0.61</f>
        <v>23.79</v>
      </c>
      <c r="J33" s="346">
        <f>H33*0.27</f>
        <v>10.530000000000001</v>
      </c>
      <c r="K33" s="346">
        <f>H33*0.2</f>
        <v>7.8000000000000007</v>
      </c>
      <c r="L33" s="346">
        <f t="shared" si="0"/>
        <v>300.29999999999995</v>
      </c>
      <c r="M33" s="346">
        <v>0</v>
      </c>
      <c r="N33" s="346">
        <v>0</v>
      </c>
      <c r="O33" s="346">
        <f>(D33*0.1%)*1000</f>
        <v>429</v>
      </c>
      <c r="P33" s="346">
        <v>0</v>
      </c>
      <c r="Q33" s="346">
        <v>37</v>
      </c>
      <c r="R33" s="346">
        <v>20.6</v>
      </c>
      <c r="S33" s="346">
        <v>11.6</v>
      </c>
      <c r="T33" s="346">
        <v>25.7</v>
      </c>
      <c r="U33" s="346">
        <v>14</v>
      </c>
      <c r="V33" s="346">
        <v>42.2</v>
      </c>
      <c r="W33" s="346">
        <v>14.5</v>
      </c>
      <c r="X33" s="346">
        <v>0.5</v>
      </c>
      <c r="Y33" s="346">
        <v>96.9</v>
      </c>
      <c r="Z33" s="346">
        <v>3.4</v>
      </c>
      <c r="AA33" s="346">
        <v>484.4</v>
      </c>
      <c r="AB33" s="346">
        <v>387.5</v>
      </c>
      <c r="AC33" s="346">
        <v>0.97</v>
      </c>
      <c r="AD33" s="346">
        <v>387.5</v>
      </c>
      <c r="AE33" s="346">
        <v>17.399999999999999</v>
      </c>
      <c r="AF33" s="346">
        <v>6161</v>
      </c>
      <c r="AG33" s="346">
        <v>775</v>
      </c>
      <c r="AH33" s="346">
        <v>29.1</v>
      </c>
      <c r="AI33" s="346">
        <v>19.399999999999999</v>
      </c>
      <c r="AN33" s="340" t="s">
        <v>399</v>
      </c>
      <c r="AO33" s="340" t="s">
        <v>375</v>
      </c>
    </row>
    <row r="34" spans="1:41">
      <c r="A34" s="359" t="s">
        <v>418</v>
      </c>
      <c r="B34" s="346"/>
      <c r="C34" s="346"/>
      <c r="D34" s="365">
        <v>515</v>
      </c>
      <c r="E34" s="363">
        <v>24</v>
      </c>
      <c r="F34" s="363"/>
      <c r="G34" s="346"/>
      <c r="H34" s="346"/>
      <c r="I34" s="346"/>
      <c r="J34" s="346"/>
      <c r="K34" s="346"/>
      <c r="L34" s="346">
        <f t="shared" si="0"/>
        <v>360.5</v>
      </c>
      <c r="M34" s="346"/>
      <c r="N34" s="346"/>
      <c r="O34" s="346">
        <f>(D34*0.1%)*1000</f>
        <v>515</v>
      </c>
      <c r="P34" s="346"/>
      <c r="Q34" s="346"/>
      <c r="R34" s="346"/>
      <c r="S34" s="346"/>
      <c r="T34" s="346"/>
      <c r="U34" s="346"/>
      <c r="V34" s="346"/>
      <c r="W34" s="346"/>
      <c r="X34" s="346"/>
      <c r="Y34" s="346"/>
      <c r="Z34" s="346"/>
      <c r="AA34" s="346"/>
      <c r="AB34" s="346"/>
      <c r="AC34" s="346"/>
      <c r="AD34" s="346"/>
      <c r="AE34" s="346"/>
      <c r="AF34" s="346"/>
      <c r="AG34" s="346"/>
      <c r="AH34" s="346"/>
      <c r="AI34" s="346"/>
      <c r="AN34" s="340" t="s">
        <v>400</v>
      </c>
      <c r="AO34" s="340" t="s">
        <v>375</v>
      </c>
    </row>
    <row r="35" spans="1:41">
      <c r="A35" s="359" t="s">
        <v>422</v>
      </c>
      <c r="B35" s="346">
        <v>8.8000000000000007</v>
      </c>
      <c r="C35" s="346">
        <v>341</v>
      </c>
      <c r="D35" s="365">
        <v>155</v>
      </c>
      <c r="E35" s="362">
        <v>18</v>
      </c>
      <c r="F35" s="362" t="s">
        <v>419</v>
      </c>
      <c r="G35" s="346">
        <v>0.11</v>
      </c>
      <c r="H35" s="346">
        <v>13.2</v>
      </c>
      <c r="I35" s="346">
        <f>H35*0.61</f>
        <v>8.0519999999999996</v>
      </c>
      <c r="J35" s="346">
        <f>H35*0.27</f>
        <v>3.5640000000000001</v>
      </c>
      <c r="K35" s="346">
        <f>H35*0.2</f>
        <v>2.64</v>
      </c>
      <c r="L35" s="346">
        <f t="shared" si="0"/>
        <v>108.5</v>
      </c>
      <c r="M35" s="346">
        <v>0</v>
      </c>
      <c r="N35" s="346">
        <v>0</v>
      </c>
      <c r="O35" s="346">
        <f>(D35*0.1%)*1000</f>
        <v>155</v>
      </c>
      <c r="P35" s="346">
        <v>0</v>
      </c>
      <c r="Q35" s="346">
        <v>14.7</v>
      </c>
      <c r="R35" s="346">
        <v>8.1</v>
      </c>
      <c r="S35" s="346"/>
      <c r="T35" s="346"/>
      <c r="U35" s="346"/>
      <c r="V35" s="346"/>
      <c r="W35" s="346"/>
      <c r="X35" s="346"/>
      <c r="Y35" s="346"/>
      <c r="Z35" s="346"/>
      <c r="AA35" s="346"/>
      <c r="AB35" s="346"/>
      <c r="AC35" s="346"/>
      <c r="AD35" s="346"/>
      <c r="AE35" s="346"/>
      <c r="AF35" s="346"/>
      <c r="AG35" s="346"/>
      <c r="AH35" s="346"/>
      <c r="AI35" s="346"/>
      <c r="AN35" s="340" t="s">
        <v>401</v>
      </c>
      <c r="AO35" s="340" t="s">
        <v>375</v>
      </c>
    </row>
    <row r="36" spans="1:41">
      <c r="A36" s="359" t="s">
        <v>422</v>
      </c>
      <c r="B36" s="346">
        <v>17.7</v>
      </c>
      <c r="C36" s="346">
        <v>682</v>
      </c>
      <c r="D36" s="365">
        <v>310</v>
      </c>
      <c r="E36" s="362">
        <v>18</v>
      </c>
      <c r="F36" s="362" t="s">
        <v>419</v>
      </c>
      <c r="G36" s="346">
        <v>0.23</v>
      </c>
      <c r="H36" s="346">
        <v>26.5</v>
      </c>
      <c r="I36" s="346">
        <f>H36*0.61</f>
        <v>16.164999999999999</v>
      </c>
      <c r="J36" s="346">
        <f>H36*0.27</f>
        <v>7.1550000000000002</v>
      </c>
      <c r="K36" s="346">
        <f>H36*0.2</f>
        <v>5.3000000000000007</v>
      </c>
      <c r="L36" s="346">
        <f t="shared" si="0"/>
        <v>217</v>
      </c>
      <c r="M36" s="346">
        <v>0</v>
      </c>
      <c r="N36" s="346">
        <v>0</v>
      </c>
      <c r="O36" s="346">
        <f>(D36*0.1%)*1000</f>
        <v>310</v>
      </c>
      <c r="P36" s="346">
        <v>0</v>
      </c>
      <c r="Q36" s="346">
        <v>29.3</v>
      </c>
      <c r="R36" s="346">
        <v>16.3</v>
      </c>
      <c r="S36" s="346"/>
      <c r="T36" s="346"/>
      <c r="U36" s="346"/>
      <c r="V36" s="346"/>
      <c r="W36" s="346"/>
      <c r="X36" s="346"/>
      <c r="Y36" s="346"/>
      <c r="Z36" s="346"/>
      <c r="AA36" s="346"/>
      <c r="AB36" s="346"/>
      <c r="AC36" s="346"/>
      <c r="AD36" s="346"/>
      <c r="AE36" s="346"/>
      <c r="AF36" s="346"/>
      <c r="AG36" s="346"/>
      <c r="AH36" s="346"/>
      <c r="AI36" s="346"/>
    </row>
    <row r="37" spans="1:41">
      <c r="A37" s="359" t="s">
        <v>422</v>
      </c>
      <c r="B37" s="346">
        <v>22.1</v>
      </c>
      <c r="C37" s="346">
        <v>853</v>
      </c>
      <c r="D37" s="365">
        <v>387</v>
      </c>
      <c r="E37" s="362">
        <v>18</v>
      </c>
      <c r="F37" s="362" t="s">
        <v>419</v>
      </c>
      <c r="G37" s="346">
        <v>0.28999999999999998</v>
      </c>
      <c r="H37" s="346">
        <v>33.1</v>
      </c>
      <c r="I37" s="346">
        <f>H37*0.61</f>
        <v>20.190999999999999</v>
      </c>
      <c r="J37" s="346">
        <f>H37*0.27</f>
        <v>8.9370000000000012</v>
      </c>
      <c r="K37" s="346">
        <f>H37*0.2</f>
        <v>6.620000000000001</v>
      </c>
      <c r="L37" s="346">
        <f t="shared" si="0"/>
        <v>270.89999999999998</v>
      </c>
      <c r="M37" s="346">
        <v>0</v>
      </c>
      <c r="N37" s="346">
        <v>0</v>
      </c>
      <c r="O37" s="346">
        <f>(D37*0.1%)*1000</f>
        <v>387</v>
      </c>
      <c r="P37" s="346">
        <v>0</v>
      </c>
      <c r="Q37" s="346">
        <v>36.700000000000003</v>
      </c>
      <c r="R37" s="346">
        <v>20.399999999999999</v>
      </c>
      <c r="S37" s="346">
        <v>6.7</v>
      </c>
      <c r="T37" s="346">
        <v>22</v>
      </c>
      <c r="U37" s="346">
        <v>8.8000000000000007</v>
      </c>
      <c r="V37" s="346">
        <v>35.4</v>
      </c>
      <c r="W37" s="346">
        <v>16.100000000000001</v>
      </c>
      <c r="X37" s="346">
        <v>0.5</v>
      </c>
      <c r="Y37" s="346">
        <v>107.3</v>
      </c>
      <c r="Z37" s="346">
        <v>3.8</v>
      </c>
      <c r="AA37" s="346">
        <v>536.5</v>
      </c>
      <c r="AB37" s="346">
        <v>429.2</v>
      </c>
      <c r="AC37" s="346">
        <v>1.07</v>
      </c>
      <c r="AD37" s="346">
        <v>429.2</v>
      </c>
      <c r="AE37" s="346">
        <v>19.3</v>
      </c>
      <c r="AF37" s="346">
        <v>5880</v>
      </c>
      <c r="AG37" s="346">
        <v>858</v>
      </c>
      <c r="AH37" s="346">
        <v>321</v>
      </c>
      <c r="AI37" s="346">
        <v>21.5</v>
      </c>
    </row>
    <row r="38" spans="1:41">
      <c r="A38" s="359" t="s">
        <v>422</v>
      </c>
      <c r="B38" s="346"/>
      <c r="C38" s="346"/>
      <c r="D38" s="365">
        <v>465</v>
      </c>
      <c r="E38" s="362">
        <v>18</v>
      </c>
      <c r="F38" s="362" t="s">
        <v>419</v>
      </c>
      <c r="G38" s="346"/>
      <c r="H38" s="346"/>
      <c r="I38" s="346"/>
      <c r="J38" s="346"/>
      <c r="K38" s="346"/>
      <c r="L38" s="346">
        <f t="shared" si="0"/>
        <v>325.5</v>
      </c>
      <c r="M38" s="346"/>
      <c r="N38" s="346"/>
      <c r="O38" s="346">
        <f>(D38*0.1%)*1000</f>
        <v>465</v>
      </c>
      <c r="P38" s="346"/>
      <c r="Q38" s="346"/>
      <c r="R38" s="346"/>
      <c r="S38" s="346"/>
      <c r="T38" s="346"/>
      <c r="U38" s="346"/>
      <c r="V38" s="346"/>
      <c r="W38" s="346"/>
      <c r="X38" s="346"/>
      <c r="Y38" s="346"/>
      <c r="Z38" s="346"/>
      <c r="AA38" s="346"/>
      <c r="AB38" s="346"/>
      <c r="AC38" s="346"/>
      <c r="AD38" s="346"/>
      <c r="AE38" s="346"/>
      <c r="AF38" s="346"/>
      <c r="AG38" s="346"/>
      <c r="AH38" s="346"/>
      <c r="AI38" s="346"/>
    </row>
    <row r="39" spans="1:41">
      <c r="A39" s="359" t="s">
        <v>422</v>
      </c>
      <c r="B39" s="346">
        <v>8.6999999999999993</v>
      </c>
      <c r="C39" s="346">
        <v>332</v>
      </c>
      <c r="D39" s="365">
        <v>172</v>
      </c>
      <c r="E39" s="362">
        <v>24</v>
      </c>
      <c r="F39" s="362" t="s">
        <v>419</v>
      </c>
      <c r="G39" s="346">
        <v>7.0000000000000007E-2</v>
      </c>
      <c r="H39" s="346">
        <v>16.7</v>
      </c>
      <c r="I39" s="346">
        <f>H39*0.61</f>
        <v>10.186999999999999</v>
      </c>
      <c r="J39" s="346">
        <f>H39*0.27</f>
        <v>4.5090000000000003</v>
      </c>
      <c r="K39" s="346">
        <f>H39*0.2</f>
        <v>3.34</v>
      </c>
      <c r="L39" s="346">
        <f t="shared" si="0"/>
        <v>120.39999999999999</v>
      </c>
      <c r="M39" s="346">
        <v>0</v>
      </c>
      <c r="N39" s="346">
        <v>0</v>
      </c>
      <c r="O39" s="346">
        <f>(D39*0.1%)*1000</f>
        <v>172</v>
      </c>
      <c r="P39" s="346">
        <v>0</v>
      </c>
      <c r="Q39" s="346">
        <v>14.7</v>
      </c>
      <c r="R39" s="346">
        <v>8.1</v>
      </c>
      <c r="S39" s="346"/>
      <c r="T39" s="346"/>
      <c r="U39" s="346"/>
      <c r="V39" s="346"/>
      <c r="W39" s="346"/>
      <c r="X39" s="346"/>
      <c r="Y39" s="346"/>
      <c r="Z39" s="346"/>
      <c r="AA39" s="346"/>
      <c r="AB39" s="346"/>
      <c r="AC39" s="346"/>
      <c r="AD39" s="346"/>
      <c r="AE39" s="346"/>
      <c r="AF39" s="346"/>
      <c r="AG39" s="346"/>
      <c r="AH39" s="346"/>
      <c r="AI39" s="346"/>
    </row>
    <row r="40" spans="1:41">
      <c r="A40" s="359" t="s">
        <v>422</v>
      </c>
      <c r="B40" s="346">
        <v>17.399999999999999</v>
      </c>
      <c r="C40" s="346">
        <v>663</v>
      </c>
      <c r="D40" s="365">
        <v>343</v>
      </c>
      <c r="E40" s="362">
        <v>24</v>
      </c>
      <c r="F40" s="362" t="s">
        <v>419</v>
      </c>
      <c r="G40" s="346">
        <v>0.14000000000000001</v>
      </c>
      <c r="H40" s="346">
        <v>33.299999999999997</v>
      </c>
      <c r="I40" s="346">
        <f>H40*0.61</f>
        <v>20.312999999999999</v>
      </c>
      <c r="J40" s="346">
        <f>H40*0.27</f>
        <v>8.9909999999999997</v>
      </c>
      <c r="K40" s="346">
        <f>H40*0.2</f>
        <v>6.66</v>
      </c>
      <c r="L40" s="346">
        <f t="shared" si="0"/>
        <v>240.1</v>
      </c>
      <c r="M40" s="346">
        <v>0</v>
      </c>
      <c r="N40" s="346">
        <v>0</v>
      </c>
      <c r="O40" s="346">
        <f>(D40*0.1%)*1000</f>
        <v>343</v>
      </c>
      <c r="P40" s="346">
        <v>0</v>
      </c>
      <c r="Q40" s="346">
        <v>29.3</v>
      </c>
      <c r="R40" s="346">
        <v>16.3</v>
      </c>
      <c r="S40" s="346"/>
      <c r="T40" s="346"/>
      <c r="U40" s="346"/>
      <c r="V40" s="346"/>
      <c r="W40" s="346"/>
      <c r="X40" s="346"/>
      <c r="Y40" s="346"/>
      <c r="Z40" s="346"/>
      <c r="AA40" s="346"/>
      <c r="AB40" s="346"/>
      <c r="AC40" s="346"/>
      <c r="AD40" s="346"/>
      <c r="AE40" s="346"/>
      <c r="AF40" s="346"/>
      <c r="AG40" s="346"/>
      <c r="AH40" s="346"/>
      <c r="AI40" s="346"/>
    </row>
    <row r="41" spans="1:41">
      <c r="A41" s="359" t="s">
        <v>422</v>
      </c>
      <c r="B41" s="346">
        <v>21.8</v>
      </c>
      <c r="C41" s="346">
        <v>829</v>
      </c>
      <c r="D41" s="365">
        <v>429</v>
      </c>
      <c r="E41" s="362">
        <v>24</v>
      </c>
      <c r="F41" s="362" t="s">
        <v>419</v>
      </c>
      <c r="G41" s="346">
        <v>0.18</v>
      </c>
      <c r="H41" s="346">
        <v>41.7</v>
      </c>
      <c r="I41" s="346">
        <f>H41*0.61</f>
        <v>25.437000000000001</v>
      </c>
      <c r="J41" s="346">
        <f>H41*0.27</f>
        <v>11.259000000000002</v>
      </c>
      <c r="K41" s="346">
        <f>H41*0.2</f>
        <v>8.3400000000000016</v>
      </c>
      <c r="L41" s="346">
        <f t="shared" si="0"/>
        <v>300.29999999999995</v>
      </c>
      <c r="M41" s="346">
        <v>0</v>
      </c>
      <c r="N41" s="346">
        <v>0</v>
      </c>
      <c r="O41" s="346">
        <f>(D41*0.1%)*1000</f>
        <v>429</v>
      </c>
      <c r="P41" s="346">
        <v>0</v>
      </c>
      <c r="Q41" s="346">
        <v>36.700000000000003</v>
      </c>
      <c r="R41" s="346">
        <v>20.399999999999999</v>
      </c>
      <c r="S41" s="346">
        <v>12.9</v>
      </c>
      <c r="T41" s="346">
        <v>34</v>
      </c>
      <c r="U41" s="346">
        <v>22.1</v>
      </c>
      <c r="V41" s="346">
        <v>58.2</v>
      </c>
      <c r="W41" s="346">
        <v>16.100000000000001</v>
      </c>
      <c r="X41" s="346">
        <v>0.5</v>
      </c>
      <c r="Y41" s="346">
        <v>107.3</v>
      </c>
      <c r="Z41" s="346">
        <v>3.8</v>
      </c>
      <c r="AA41" s="346">
        <v>536.5</v>
      </c>
      <c r="AB41" s="346">
        <v>429.2</v>
      </c>
      <c r="AC41" s="346">
        <v>1.07</v>
      </c>
      <c r="AD41" s="346">
        <v>429.2</v>
      </c>
      <c r="AE41" s="346">
        <v>19.3</v>
      </c>
      <c r="AF41" s="346">
        <v>5880</v>
      </c>
      <c r="AG41" s="346">
        <v>858</v>
      </c>
      <c r="AH41" s="346">
        <v>32.200000000000003</v>
      </c>
      <c r="AI41" s="346">
        <v>21.5</v>
      </c>
    </row>
    <row r="42" spans="1:41">
      <c r="A42" s="359" t="s">
        <v>422</v>
      </c>
      <c r="B42" s="346"/>
      <c r="C42" s="346"/>
      <c r="D42" s="365">
        <v>515</v>
      </c>
      <c r="E42" s="362">
        <v>24</v>
      </c>
      <c r="F42" s="362" t="s">
        <v>419</v>
      </c>
      <c r="G42" s="346"/>
      <c r="H42" s="346"/>
      <c r="I42" s="346"/>
      <c r="J42" s="346"/>
      <c r="K42" s="346"/>
      <c r="L42" s="346">
        <f t="shared" si="0"/>
        <v>360.5</v>
      </c>
      <c r="M42" s="346"/>
      <c r="N42" s="346"/>
      <c r="O42" s="346">
        <f>(D42*0.1%)*1000</f>
        <v>515</v>
      </c>
      <c r="P42" s="346"/>
      <c r="Q42" s="346"/>
      <c r="R42" s="346"/>
      <c r="S42" s="346"/>
      <c r="T42" s="346"/>
      <c r="U42" s="346"/>
      <c r="V42" s="346"/>
      <c r="W42" s="346"/>
      <c r="X42" s="346"/>
      <c r="Y42" s="346"/>
      <c r="Z42" s="346"/>
      <c r="AA42" s="346"/>
      <c r="AB42" s="346"/>
      <c r="AC42" s="346"/>
      <c r="AD42" s="346"/>
      <c r="AE42" s="346"/>
      <c r="AF42" s="346"/>
      <c r="AG42" s="346"/>
      <c r="AH42" s="346"/>
      <c r="AI42" s="346"/>
    </row>
    <row r="43" spans="1:41">
      <c r="A43" s="359" t="s">
        <v>422</v>
      </c>
      <c r="B43" s="346">
        <v>10</v>
      </c>
      <c r="C43" s="346">
        <v>362</v>
      </c>
      <c r="D43" s="365">
        <v>172</v>
      </c>
      <c r="E43" s="362">
        <v>18</v>
      </c>
      <c r="F43" s="362" t="s">
        <v>420</v>
      </c>
      <c r="G43" s="346">
        <v>0.11</v>
      </c>
      <c r="H43" s="346">
        <v>15.3</v>
      </c>
      <c r="I43" s="346">
        <f>H43*0.61</f>
        <v>9.3330000000000002</v>
      </c>
      <c r="J43" s="346">
        <f>H43*0.27</f>
        <v>4.1310000000000002</v>
      </c>
      <c r="K43" s="346">
        <f>H43*0.2</f>
        <v>3.0600000000000005</v>
      </c>
      <c r="L43" s="346">
        <f t="shared" si="0"/>
        <v>120.39999999999999</v>
      </c>
      <c r="M43" s="346">
        <v>0</v>
      </c>
      <c r="N43" s="346">
        <v>0</v>
      </c>
      <c r="O43" s="346">
        <f>(D43*0.1%)*1000</f>
        <v>172</v>
      </c>
      <c r="P43" s="346">
        <v>0</v>
      </c>
      <c r="Q43" s="346">
        <v>14.7</v>
      </c>
      <c r="R43" s="346">
        <v>8.1</v>
      </c>
      <c r="S43" s="346"/>
      <c r="T43" s="346"/>
      <c r="U43" s="346"/>
      <c r="V43" s="346"/>
      <c r="W43" s="346"/>
      <c r="X43" s="346"/>
      <c r="Y43" s="346"/>
      <c r="Z43" s="346"/>
      <c r="AA43" s="346"/>
      <c r="AB43" s="346"/>
      <c r="AC43" s="346"/>
      <c r="AD43" s="346"/>
      <c r="AE43" s="346"/>
      <c r="AF43" s="346"/>
      <c r="AG43" s="346"/>
      <c r="AH43" s="346"/>
      <c r="AI43" s="346"/>
    </row>
    <row r="44" spans="1:41">
      <c r="A44" s="359" t="s">
        <v>422</v>
      </c>
      <c r="B44" s="346">
        <v>20</v>
      </c>
      <c r="C44" s="346">
        <v>725</v>
      </c>
      <c r="D44" s="365">
        <v>343</v>
      </c>
      <c r="E44" s="362">
        <v>18</v>
      </c>
      <c r="F44" s="362" t="s">
        <v>420</v>
      </c>
      <c r="G44" s="346">
        <v>0.23</v>
      </c>
      <c r="H44" s="346">
        <v>30.6</v>
      </c>
      <c r="I44" s="346">
        <f>H44*0.61</f>
        <v>18.666</v>
      </c>
      <c r="J44" s="346">
        <f>H44*0.27</f>
        <v>8.2620000000000005</v>
      </c>
      <c r="K44" s="346">
        <f>H44*0.2</f>
        <v>6.120000000000001</v>
      </c>
      <c r="L44" s="346">
        <f t="shared" si="0"/>
        <v>240.1</v>
      </c>
      <c r="M44" s="346">
        <v>0</v>
      </c>
      <c r="N44" s="346">
        <v>0</v>
      </c>
      <c r="O44" s="346">
        <f>(D44*0.1%)*1000</f>
        <v>343</v>
      </c>
      <c r="P44" s="346">
        <v>0</v>
      </c>
      <c r="Q44" s="346">
        <v>29.3</v>
      </c>
      <c r="R44" s="346">
        <v>16.3</v>
      </c>
      <c r="S44" s="346"/>
      <c r="T44" s="346"/>
      <c r="U44" s="346"/>
      <c r="V44" s="346"/>
      <c r="W44" s="346"/>
      <c r="X44" s="346"/>
      <c r="Y44" s="346"/>
      <c r="Z44" s="346"/>
      <c r="AA44" s="346"/>
      <c r="AB44" s="346"/>
      <c r="AC44" s="346"/>
      <c r="AD44" s="346"/>
      <c r="AE44" s="346"/>
      <c r="AF44" s="346"/>
      <c r="AG44" s="346"/>
      <c r="AH44" s="346"/>
      <c r="AI44" s="346"/>
    </row>
    <row r="45" spans="1:41">
      <c r="A45" s="359" t="s">
        <v>422</v>
      </c>
      <c r="B45" s="346">
        <v>25</v>
      </c>
      <c r="C45" s="346">
        <v>906</v>
      </c>
      <c r="D45" s="365">
        <v>387</v>
      </c>
      <c r="E45" s="362">
        <v>18</v>
      </c>
      <c r="F45" s="362" t="s">
        <v>420</v>
      </c>
      <c r="G45" s="346">
        <v>0.28999999999999998</v>
      </c>
      <c r="H45" s="346">
        <v>38.200000000000003</v>
      </c>
      <c r="I45" s="346">
        <f>H45*0.61</f>
        <v>23.302</v>
      </c>
      <c r="J45" s="346">
        <f>H45*0.27</f>
        <v>10.314000000000002</v>
      </c>
      <c r="K45" s="346">
        <f>H45*0.2</f>
        <v>7.6400000000000006</v>
      </c>
      <c r="L45" s="346">
        <f t="shared" si="0"/>
        <v>270.89999999999998</v>
      </c>
      <c r="M45" s="346">
        <v>0</v>
      </c>
      <c r="N45" s="346">
        <v>0</v>
      </c>
      <c r="O45" s="346">
        <f>(D45*0.1%)*1000</f>
        <v>387</v>
      </c>
      <c r="P45" s="346">
        <v>0</v>
      </c>
      <c r="Q45" s="346">
        <v>36.700000000000003</v>
      </c>
      <c r="R45" s="346">
        <v>20.399999999999999</v>
      </c>
      <c r="S45" s="346">
        <v>12.9</v>
      </c>
      <c r="T45" s="346">
        <v>28</v>
      </c>
      <c r="U45" s="346">
        <v>15.4</v>
      </c>
      <c r="V45" s="346">
        <v>46.8</v>
      </c>
      <c r="W45" s="346">
        <v>16.100000000000001</v>
      </c>
      <c r="X45" s="346">
        <v>0.5</v>
      </c>
      <c r="Y45" s="346">
        <v>107.3</v>
      </c>
      <c r="Z45" s="346">
        <v>3.8</v>
      </c>
      <c r="AA45" s="346">
        <v>536.5</v>
      </c>
      <c r="AB45" s="346">
        <v>429.2</v>
      </c>
      <c r="AC45" s="346">
        <v>1.07</v>
      </c>
      <c r="AD45" s="346">
        <v>429.2</v>
      </c>
      <c r="AE45" s="346">
        <v>19.3</v>
      </c>
      <c r="AF45" s="346">
        <v>5880</v>
      </c>
      <c r="AG45" s="346">
        <v>858</v>
      </c>
      <c r="AH45" s="346">
        <v>32.200000000000003</v>
      </c>
      <c r="AI45" s="346">
        <v>21.5</v>
      </c>
    </row>
    <row r="46" spans="1:41">
      <c r="A46" s="359" t="s">
        <v>422</v>
      </c>
      <c r="B46" s="346"/>
      <c r="C46" s="346"/>
      <c r="D46" s="365">
        <v>465</v>
      </c>
      <c r="E46" s="362">
        <v>18</v>
      </c>
      <c r="F46" s="362" t="s">
        <v>420</v>
      </c>
      <c r="G46" s="346"/>
      <c r="H46" s="346"/>
      <c r="I46" s="346"/>
      <c r="J46" s="346"/>
      <c r="K46" s="346"/>
      <c r="L46" s="346">
        <f t="shared" si="0"/>
        <v>325.5</v>
      </c>
      <c r="M46" s="346"/>
      <c r="N46" s="346"/>
      <c r="O46" s="346">
        <f>(D46*0.1%)*1000</f>
        <v>465</v>
      </c>
      <c r="P46" s="346"/>
      <c r="Q46" s="346"/>
      <c r="R46" s="346"/>
      <c r="S46" s="346"/>
      <c r="T46" s="346"/>
      <c r="U46" s="346"/>
      <c r="V46" s="346"/>
      <c r="W46" s="346"/>
      <c r="X46" s="346"/>
      <c r="Y46" s="346"/>
      <c r="Z46" s="346"/>
      <c r="AA46" s="346"/>
      <c r="AB46" s="346"/>
      <c r="AC46" s="346"/>
      <c r="AD46" s="346"/>
      <c r="AE46" s="346"/>
      <c r="AF46" s="346"/>
      <c r="AG46" s="346"/>
      <c r="AH46" s="346"/>
      <c r="AI46" s="346"/>
    </row>
    <row r="47" spans="1:41">
      <c r="A47" s="359" t="s">
        <v>422</v>
      </c>
      <c r="B47" s="346">
        <v>9.9</v>
      </c>
      <c r="C47" s="346">
        <v>355</v>
      </c>
      <c r="D47" s="365">
        <v>172</v>
      </c>
      <c r="E47" s="362">
        <v>24</v>
      </c>
      <c r="F47" s="362" t="s">
        <v>420</v>
      </c>
      <c r="G47" s="346">
        <v>7.0000000000000007E-2</v>
      </c>
      <c r="H47" s="346">
        <v>18.8</v>
      </c>
      <c r="I47" s="346">
        <f>H47*0.61</f>
        <v>11.468</v>
      </c>
      <c r="J47" s="346">
        <f>H47*0.27</f>
        <v>5.0760000000000005</v>
      </c>
      <c r="K47" s="346">
        <f>H47*0.2</f>
        <v>3.7600000000000002</v>
      </c>
      <c r="L47" s="346">
        <f t="shared" si="0"/>
        <v>120.39999999999999</v>
      </c>
      <c r="M47" s="346">
        <v>0</v>
      </c>
      <c r="N47" s="346">
        <v>0</v>
      </c>
      <c r="O47" s="346">
        <f>(D47*0.1%)*1000</f>
        <v>172</v>
      </c>
      <c r="P47" s="346">
        <v>0</v>
      </c>
      <c r="Q47" s="346">
        <v>14.7</v>
      </c>
      <c r="R47" s="346">
        <v>8.1</v>
      </c>
      <c r="S47" s="346"/>
      <c r="T47" s="346"/>
      <c r="U47" s="346"/>
      <c r="V47" s="346"/>
      <c r="W47" s="346"/>
      <c r="X47" s="346"/>
      <c r="Y47" s="346"/>
      <c r="Z47" s="346"/>
      <c r="AA47" s="346"/>
      <c r="AB47" s="346"/>
      <c r="AC47" s="346"/>
      <c r="AD47" s="346"/>
      <c r="AE47" s="346"/>
      <c r="AF47" s="346"/>
      <c r="AG47" s="346"/>
      <c r="AH47" s="346"/>
      <c r="AI47" s="346"/>
    </row>
    <row r="48" spans="1:41">
      <c r="A48" s="359" t="s">
        <v>422</v>
      </c>
      <c r="B48" s="346">
        <v>19.899999999999999</v>
      </c>
      <c r="C48" s="346">
        <v>710</v>
      </c>
      <c r="D48" s="365">
        <v>343</v>
      </c>
      <c r="E48" s="362">
        <v>24</v>
      </c>
      <c r="F48" s="362" t="s">
        <v>420</v>
      </c>
      <c r="G48" s="346">
        <v>0.14000000000000001</v>
      </c>
      <c r="H48" s="346">
        <v>37.5</v>
      </c>
      <c r="I48" s="346">
        <f>H48*0.61</f>
        <v>22.875</v>
      </c>
      <c r="J48" s="346">
        <f>H48*0.27</f>
        <v>10.125</v>
      </c>
      <c r="K48" s="346">
        <f>H48*0.2</f>
        <v>7.5</v>
      </c>
      <c r="L48" s="346">
        <f t="shared" si="0"/>
        <v>240.1</v>
      </c>
      <c r="M48" s="346">
        <v>0</v>
      </c>
      <c r="N48" s="346">
        <v>0</v>
      </c>
      <c r="O48" s="346">
        <f>(D48*0.1%)*1000</f>
        <v>343</v>
      </c>
      <c r="P48" s="346">
        <v>0</v>
      </c>
      <c r="Q48" s="346">
        <v>29.3</v>
      </c>
      <c r="R48" s="346">
        <v>16.3</v>
      </c>
      <c r="S48" s="346"/>
      <c r="T48" s="346"/>
      <c r="U48" s="346"/>
      <c r="V48" s="346"/>
      <c r="W48" s="346"/>
      <c r="X48" s="346"/>
      <c r="Y48" s="346"/>
      <c r="Z48" s="346"/>
      <c r="AA48" s="346"/>
      <c r="AB48" s="346"/>
      <c r="AC48" s="346"/>
      <c r="AD48" s="346"/>
      <c r="AE48" s="346"/>
      <c r="AF48" s="346"/>
      <c r="AG48" s="346"/>
      <c r="AH48" s="346"/>
      <c r="AI48" s="346"/>
    </row>
    <row r="49" spans="1:35">
      <c r="A49" s="359" t="s">
        <v>422</v>
      </c>
      <c r="B49" s="346">
        <v>24.8</v>
      </c>
      <c r="C49" s="346">
        <v>888</v>
      </c>
      <c r="D49" s="365">
        <v>429</v>
      </c>
      <c r="E49" s="362">
        <v>24</v>
      </c>
      <c r="F49" s="362" t="s">
        <v>420</v>
      </c>
      <c r="G49" s="346">
        <v>0.18</v>
      </c>
      <c r="H49" s="346">
        <v>46.9</v>
      </c>
      <c r="I49" s="346">
        <f>H49*0.61</f>
        <v>28.608999999999998</v>
      </c>
      <c r="J49" s="346">
        <f>H49*0.27</f>
        <v>12.663</v>
      </c>
      <c r="K49" s="346">
        <f>H49*0.2</f>
        <v>9.3800000000000008</v>
      </c>
      <c r="L49" s="346">
        <f t="shared" si="0"/>
        <v>300.29999999999995</v>
      </c>
      <c r="M49" s="346">
        <v>0</v>
      </c>
      <c r="N49" s="346">
        <v>0</v>
      </c>
      <c r="O49" s="346">
        <f>(D49*0.1%)*1000</f>
        <v>429</v>
      </c>
      <c r="P49" s="346">
        <v>0</v>
      </c>
      <c r="Q49" s="346">
        <v>36.700000000000003</v>
      </c>
      <c r="R49" s="346">
        <v>20.399999999999999</v>
      </c>
      <c r="S49" s="346">
        <v>12.9</v>
      </c>
      <c r="T49" s="346">
        <v>46</v>
      </c>
      <c r="U49" s="346">
        <v>35.4</v>
      </c>
      <c r="V49" s="346">
        <v>80.900000000000006</v>
      </c>
      <c r="W49" s="346">
        <v>16.100000000000001</v>
      </c>
      <c r="X49" s="346">
        <v>0.5</v>
      </c>
      <c r="Y49" s="346">
        <v>107.3</v>
      </c>
      <c r="Z49" s="346">
        <v>3.8</v>
      </c>
      <c r="AA49" s="346">
        <v>536.5</v>
      </c>
      <c r="AB49" s="346">
        <v>429.2</v>
      </c>
      <c r="AC49" s="346">
        <v>1.07</v>
      </c>
      <c r="AD49" s="346">
        <v>429.2</v>
      </c>
      <c r="AE49" s="346">
        <v>19.3</v>
      </c>
      <c r="AF49" s="346">
        <v>5880</v>
      </c>
      <c r="AG49" s="346">
        <v>858</v>
      </c>
      <c r="AH49" s="346">
        <v>32.200000000000003</v>
      </c>
      <c r="AI49" s="346">
        <v>21.5</v>
      </c>
    </row>
    <row r="50" spans="1:35">
      <c r="A50" s="359" t="s">
        <v>422</v>
      </c>
      <c r="B50" s="346"/>
      <c r="C50" s="346"/>
      <c r="D50" s="365">
        <v>515</v>
      </c>
      <c r="E50" s="362">
        <v>24</v>
      </c>
      <c r="F50" s="362" t="s">
        <v>420</v>
      </c>
      <c r="G50" s="346"/>
      <c r="H50" s="346"/>
      <c r="I50" s="346"/>
      <c r="J50" s="346"/>
      <c r="K50" s="346"/>
      <c r="L50" s="346">
        <f t="shared" si="0"/>
        <v>360.5</v>
      </c>
      <c r="M50" s="346"/>
      <c r="N50" s="346"/>
      <c r="O50" s="346">
        <f>(D50*0.1%)*1000</f>
        <v>515</v>
      </c>
      <c r="P50" s="346"/>
      <c r="Q50" s="346"/>
      <c r="R50" s="346"/>
      <c r="S50" s="346"/>
      <c r="T50" s="346"/>
      <c r="U50" s="346"/>
      <c r="V50" s="346"/>
      <c r="W50" s="346"/>
      <c r="X50" s="346"/>
      <c r="Y50" s="346"/>
      <c r="Z50" s="346"/>
      <c r="AA50" s="346"/>
      <c r="AB50" s="346"/>
      <c r="AC50" s="346"/>
      <c r="AD50" s="346"/>
      <c r="AE50" s="346"/>
      <c r="AF50" s="346"/>
      <c r="AG50" s="346"/>
      <c r="AH50" s="346"/>
      <c r="AI50" s="346"/>
    </row>
    <row r="51" spans="1:35">
      <c r="A51" s="359" t="s">
        <v>422</v>
      </c>
      <c r="B51" s="346">
        <v>11.2</v>
      </c>
      <c r="C51" s="346">
        <v>387</v>
      </c>
      <c r="D51" s="345">
        <v>172</v>
      </c>
      <c r="E51" s="362">
        <v>24</v>
      </c>
      <c r="F51" s="362" t="s">
        <v>421</v>
      </c>
      <c r="G51" s="346">
        <v>7.0000000000000007E-2</v>
      </c>
      <c r="H51" s="346">
        <v>14.3</v>
      </c>
      <c r="I51" s="346">
        <f>H51*0.61</f>
        <v>8.7230000000000008</v>
      </c>
      <c r="J51" s="346">
        <f>H51*0.27</f>
        <v>3.8610000000000007</v>
      </c>
      <c r="K51" s="346">
        <f>H51*0.2</f>
        <v>2.8600000000000003</v>
      </c>
      <c r="L51" s="346">
        <f t="shared" si="0"/>
        <v>120.39999999999999</v>
      </c>
      <c r="M51" s="346">
        <v>0</v>
      </c>
      <c r="N51" s="346">
        <v>0</v>
      </c>
      <c r="O51" s="346">
        <f>(D51*0.1%)*1000</f>
        <v>172</v>
      </c>
      <c r="P51" s="346">
        <v>0</v>
      </c>
      <c r="Q51" s="346">
        <v>14.7</v>
      </c>
      <c r="R51" s="346">
        <v>8.1</v>
      </c>
      <c r="S51" s="346"/>
      <c r="T51" s="346"/>
      <c r="U51" s="346"/>
      <c r="V51" s="346"/>
      <c r="W51" s="346"/>
      <c r="X51" s="346"/>
      <c r="Y51" s="346"/>
      <c r="Z51" s="346"/>
      <c r="AA51" s="346"/>
      <c r="AB51" s="346"/>
      <c r="AC51" s="346"/>
      <c r="AD51" s="346"/>
      <c r="AE51" s="346"/>
      <c r="AF51" s="346"/>
      <c r="AG51" s="346"/>
      <c r="AH51" s="346"/>
      <c r="AI51" s="346"/>
    </row>
    <row r="52" spans="1:35">
      <c r="A52" s="359" t="s">
        <v>422</v>
      </c>
      <c r="B52" s="346">
        <v>22.3</v>
      </c>
      <c r="C52" s="346">
        <v>775</v>
      </c>
      <c r="D52" s="345">
        <v>343</v>
      </c>
      <c r="E52" s="362">
        <v>24</v>
      </c>
      <c r="F52" s="362" t="s">
        <v>421</v>
      </c>
      <c r="G52" s="346">
        <v>0.14000000000000001</v>
      </c>
      <c r="H52" s="346">
        <v>28.5</v>
      </c>
      <c r="I52" s="346">
        <f>H52*0.61</f>
        <v>17.384999999999998</v>
      </c>
      <c r="J52" s="346">
        <f>H52*0.27</f>
        <v>7.6950000000000003</v>
      </c>
      <c r="K52" s="346">
        <f>H52*0.2</f>
        <v>5.7</v>
      </c>
      <c r="L52" s="346">
        <f t="shared" si="0"/>
        <v>240.1</v>
      </c>
      <c r="M52" s="346">
        <v>0</v>
      </c>
      <c r="N52" s="346">
        <v>0</v>
      </c>
      <c r="O52" s="346">
        <f>(D52*0.1%)*1000</f>
        <v>343</v>
      </c>
      <c r="P52" s="346">
        <v>0</v>
      </c>
      <c r="Q52" s="346">
        <v>29.3</v>
      </c>
      <c r="R52" s="346">
        <v>16.3</v>
      </c>
      <c r="S52" s="346"/>
      <c r="T52" s="346"/>
      <c r="U52" s="346"/>
      <c r="V52" s="346"/>
      <c r="W52" s="346"/>
      <c r="X52" s="346"/>
      <c r="Y52" s="346"/>
      <c r="Z52" s="346"/>
      <c r="AA52" s="346"/>
      <c r="AB52" s="346"/>
      <c r="AC52" s="346"/>
      <c r="AD52" s="346"/>
      <c r="AE52" s="346"/>
      <c r="AF52" s="346"/>
      <c r="AG52" s="346"/>
      <c r="AH52" s="346"/>
      <c r="AI52" s="346"/>
    </row>
    <row r="53" spans="1:35">
      <c r="A53" s="359" t="s">
        <v>422</v>
      </c>
      <c r="B53" s="346">
        <v>27.9</v>
      </c>
      <c r="C53" s="346">
        <v>969</v>
      </c>
      <c r="D53" s="345">
        <v>429</v>
      </c>
      <c r="E53" s="362">
        <v>24</v>
      </c>
      <c r="F53" s="362" t="s">
        <v>421</v>
      </c>
      <c r="G53" s="346">
        <v>0.18</v>
      </c>
      <c r="H53" s="346">
        <v>35.700000000000003</v>
      </c>
      <c r="I53" s="346">
        <f>H53*0.61</f>
        <v>21.777000000000001</v>
      </c>
      <c r="J53" s="346">
        <f>H53*0.27</f>
        <v>9.6390000000000011</v>
      </c>
      <c r="K53" s="346">
        <f>H53*0.2</f>
        <v>7.1400000000000006</v>
      </c>
      <c r="L53" s="346">
        <f t="shared" si="0"/>
        <v>300.29999999999995</v>
      </c>
      <c r="M53" s="346">
        <v>0</v>
      </c>
      <c r="N53" s="346">
        <v>0</v>
      </c>
      <c r="O53" s="346">
        <f>(D53*0.1%)*1000</f>
        <v>429</v>
      </c>
      <c r="P53" s="346">
        <v>0</v>
      </c>
      <c r="Q53" s="346">
        <v>36.700000000000003</v>
      </c>
      <c r="R53" s="346">
        <v>20.399999999999999</v>
      </c>
      <c r="S53" s="346">
        <v>12.9</v>
      </c>
      <c r="T53" s="346">
        <v>25</v>
      </c>
      <c r="U53" s="346">
        <v>12.1</v>
      </c>
      <c r="V53" s="346">
        <v>41.1</v>
      </c>
      <c r="W53" s="346">
        <v>16.100000000000001</v>
      </c>
      <c r="X53" s="346">
        <v>0.5</v>
      </c>
      <c r="Y53" s="346">
        <v>107.3</v>
      </c>
      <c r="Z53" s="346">
        <v>3.8</v>
      </c>
      <c r="AA53" s="346">
        <v>536.5</v>
      </c>
      <c r="AB53" s="346">
        <v>429.2</v>
      </c>
      <c r="AC53" s="346">
        <v>1.07</v>
      </c>
      <c r="AD53" s="346">
        <v>429.2</v>
      </c>
      <c r="AE53" s="346">
        <v>19.3</v>
      </c>
      <c r="AF53" s="346">
        <v>5880</v>
      </c>
      <c r="AG53" s="346">
        <v>858</v>
      </c>
      <c r="AH53" s="346">
        <v>32.200000000000003</v>
      </c>
      <c r="AI53" s="346">
        <v>21.5</v>
      </c>
    </row>
    <row r="54" spans="1:35">
      <c r="A54" s="359" t="s">
        <v>422</v>
      </c>
      <c r="B54" s="346"/>
      <c r="C54" s="346"/>
      <c r="D54" s="345">
        <v>515</v>
      </c>
      <c r="E54" s="362">
        <v>24</v>
      </c>
      <c r="F54" s="362" t="s">
        <v>421</v>
      </c>
      <c r="G54" s="346"/>
      <c r="H54" s="346"/>
      <c r="I54" s="346"/>
      <c r="J54" s="346"/>
      <c r="K54" s="346"/>
      <c r="L54" s="346">
        <f t="shared" si="0"/>
        <v>360.5</v>
      </c>
      <c r="M54" s="346"/>
      <c r="N54" s="346"/>
      <c r="O54" s="346">
        <f>(D54*0.1%)*1000</f>
        <v>515</v>
      </c>
      <c r="P54" s="346"/>
      <c r="Q54" s="346"/>
      <c r="R54" s="346"/>
      <c r="S54" s="346"/>
      <c r="T54" s="346"/>
      <c r="U54" s="346"/>
      <c r="V54" s="346"/>
      <c r="W54" s="346"/>
      <c r="X54" s="346"/>
      <c r="Y54" s="346"/>
      <c r="Z54" s="346"/>
      <c r="AA54" s="346"/>
      <c r="AB54" s="346"/>
      <c r="AC54" s="346"/>
      <c r="AD54" s="346"/>
      <c r="AE54" s="346"/>
      <c r="AF54" s="346"/>
      <c r="AG54" s="346"/>
      <c r="AH54" s="346"/>
      <c r="AI54" s="346"/>
    </row>
    <row r="55" spans="1:35">
      <c r="A55" s="359" t="s">
        <v>422</v>
      </c>
      <c r="B55" s="346">
        <v>13</v>
      </c>
      <c r="C55" s="346">
        <v>436</v>
      </c>
      <c r="D55" s="365">
        <v>172</v>
      </c>
      <c r="E55" s="362">
        <v>24</v>
      </c>
      <c r="F55" s="362" t="s">
        <v>423</v>
      </c>
      <c r="G55" s="346">
        <v>7.0000000000000007E-2</v>
      </c>
      <c r="H55" s="346">
        <v>11.6</v>
      </c>
      <c r="I55" s="346">
        <f>H55*0.61</f>
        <v>7.0759999999999996</v>
      </c>
      <c r="J55" s="346">
        <f>H55*0.27</f>
        <v>3.1320000000000001</v>
      </c>
      <c r="K55" s="346">
        <f>H55*0.2</f>
        <v>2.3199999999999998</v>
      </c>
      <c r="L55" s="346">
        <f t="shared" si="0"/>
        <v>120.39999999999999</v>
      </c>
      <c r="M55" s="346">
        <v>0</v>
      </c>
      <c r="N55" s="346">
        <v>0</v>
      </c>
      <c r="O55" s="346">
        <f>(D55*0.1%)*1000</f>
        <v>172</v>
      </c>
      <c r="P55" s="346">
        <v>0</v>
      </c>
      <c r="Q55" s="346">
        <v>15.5</v>
      </c>
      <c r="R55" s="346">
        <v>8.6</v>
      </c>
      <c r="S55" s="346"/>
      <c r="T55" s="346"/>
      <c r="U55" s="346"/>
      <c r="V55" s="346"/>
      <c r="W55" s="346"/>
      <c r="X55" s="346"/>
      <c r="Y55" s="346"/>
      <c r="Z55" s="346"/>
      <c r="AA55" s="346"/>
      <c r="AB55" s="346"/>
      <c r="AC55" s="346"/>
      <c r="AD55" s="346"/>
      <c r="AE55" s="346"/>
      <c r="AF55" s="346"/>
      <c r="AG55" s="346"/>
      <c r="AH55" s="346"/>
      <c r="AI55" s="346"/>
    </row>
    <row r="56" spans="1:35">
      <c r="A56" s="359" t="s">
        <v>422</v>
      </c>
      <c r="B56" s="346">
        <v>26</v>
      </c>
      <c r="C56" s="346">
        <v>873</v>
      </c>
      <c r="D56" s="365">
        <v>343</v>
      </c>
      <c r="E56" s="362">
        <v>24</v>
      </c>
      <c r="F56" s="362" t="s">
        <v>423</v>
      </c>
      <c r="G56" s="346">
        <v>0.14000000000000001</v>
      </c>
      <c r="H56" s="346">
        <v>23.3</v>
      </c>
      <c r="I56" s="346">
        <f>H56*0.61</f>
        <v>14.213000000000001</v>
      </c>
      <c r="J56" s="346">
        <f>H56*0.27</f>
        <v>6.2910000000000004</v>
      </c>
      <c r="K56" s="346">
        <f>H56*0.2</f>
        <v>4.66</v>
      </c>
      <c r="L56" s="346">
        <f t="shared" si="0"/>
        <v>240.1</v>
      </c>
      <c r="M56" s="346">
        <v>0</v>
      </c>
      <c r="N56" s="346">
        <v>0</v>
      </c>
      <c r="O56" s="346">
        <f>(D56*0.1%)*1000</f>
        <v>343</v>
      </c>
      <c r="P56" s="346">
        <v>0</v>
      </c>
      <c r="Q56" s="346">
        <v>30.9</v>
      </c>
      <c r="R56" s="346">
        <v>17.2</v>
      </c>
      <c r="S56" s="346"/>
      <c r="T56" s="346"/>
      <c r="U56" s="346"/>
      <c r="V56" s="346"/>
      <c r="W56" s="346"/>
      <c r="X56" s="346"/>
      <c r="Y56" s="346"/>
      <c r="Z56" s="346"/>
      <c r="AA56" s="346"/>
      <c r="AB56" s="346"/>
      <c r="AC56" s="346"/>
      <c r="AD56" s="346"/>
      <c r="AE56" s="346"/>
      <c r="AF56" s="346"/>
      <c r="AG56" s="346"/>
      <c r="AH56" s="346"/>
      <c r="AI56" s="346"/>
    </row>
    <row r="57" spans="1:35">
      <c r="A57" s="359" t="s">
        <v>422</v>
      </c>
      <c r="B57" s="346">
        <v>32.5</v>
      </c>
      <c r="C57" s="346">
        <v>1091</v>
      </c>
      <c r="D57" s="365">
        <v>429</v>
      </c>
      <c r="E57" s="362">
        <v>24</v>
      </c>
      <c r="F57" s="362" t="s">
        <v>423</v>
      </c>
      <c r="G57" s="346">
        <v>0.18</v>
      </c>
      <c r="H57" s="346">
        <v>29.1</v>
      </c>
      <c r="I57" s="346">
        <f>H57*0.61</f>
        <v>17.751000000000001</v>
      </c>
      <c r="J57" s="346">
        <f>H57*0.27</f>
        <v>7.8570000000000011</v>
      </c>
      <c r="K57" s="346">
        <f>H57*0.2</f>
        <v>5.82</v>
      </c>
      <c r="L57" s="346">
        <f t="shared" si="0"/>
        <v>300.29999999999995</v>
      </c>
      <c r="M57" s="346">
        <v>0</v>
      </c>
      <c r="N57" s="346">
        <v>0</v>
      </c>
      <c r="O57" s="346">
        <f>(D57*0.1%)*1000</f>
        <v>429</v>
      </c>
      <c r="P57" s="346">
        <v>0</v>
      </c>
      <c r="Q57" s="346">
        <v>38.6</v>
      </c>
      <c r="R57" s="346">
        <v>21.5</v>
      </c>
      <c r="S57" s="346">
        <v>4.0999999999999996</v>
      </c>
      <c r="T57" s="346">
        <v>13</v>
      </c>
      <c r="U57" s="346">
        <v>5</v>
      </c>
      <c r="V57" s="346">
        <v>20.100000000000001</v>
      </c>
      <c r="W57" s="346">
        <v>8.1</v>
      </c>
      <c r="X57" s="346">
        <v>0.3</v>
      </c>
      <c r="Y57" s="346">
        <v>54</v>
      </c>
      <c r="Z57" s="346">
        <v>1.9</v>
      </c>
      <c r="AA57" s="346">
        <v>269.89999999999998</v>
      </c>
      <c r="AB57" s="346">
        <v>215.9</v>
      </c>
      <c r="AC57" s="346">
        <v>0.54</v>
      </c>
      <c r="AD57" s="346">
        <v>215.9</v>
      </c>
      <c r="AE57" s="346">
        <v>9.6999999999999993</v>
      </c>
      <c r="AF57" s="346">
        <v>4793</v>
      </c>
      <c r="AG57" s="346">
        <v>432</v>
      </c>
      <c r="AH57" s="346">
        <v>16.2</v>
      </c>
      <c r="AI57" s="346">
        <v>10.8</v>
      </c>
    </row>
    <row r="58" spans="1:35">
      <c r="A58" s="359" t="s">
        <v>422</v>
      </c>
      <c r="B58" s="346"/>
      <c r="C58" s="346"/>
      <c r="D58" s="365">
        <v>515</v>
      </c>
      <c r="E58" s="362">
        <v>24</v>
      </c>
      <c r="F58" s="362" t="s">
        <v>423</v>
      </c>
      <c r="G58" s="346"/>
      <c r="H58" s="346"/>
      <c r="I58" s="346"/>
      <c r="J58" s="346"/>
      <c r="K58" s="346"/>
      <c r="L58" s="346">
        <f t="shared" si="0"/>
        <v>360.5</v>
      </c>
      <c r="M58" s="346"/>
      <c r="N58" s="346"/>
      <c r="O58" s="346">
        <f>(D58*0.1%)*1000</f>
        <v>515</v>
      </c>
      <c r="P58" s="346"/>
      <c r="Q58" s="346"/>
      <c r="R58" s="346"/>
      <c r="S58" s="346"/>
      <c r="T58" s="346"/>
      <c r="U58" s="346"/>
      <c r="V58" s="346"/>
      <c r="W58" s="346"/>
      <c r="X58" s="346"/>
      <c r="Y58" s="346"/>
      <c r="Z58" s="346"/>
      <c r="AA58" s="346"/>
      <c r="AB58" s="346"/>
      <c r="AC58" s="346"/>
      <c r="AD58" s="346"/>
      <c r="AE58" s="346"/>
      <c r="AF58" s="346"/>
      <c r="AG58" s="346"/>
      <c r="AH58" s="346"/>
      <c r="AI58" s="346"/>
    </row>
    <row r="59" spans="1:35">
      <c r="A59" s="359" t="s">
        <v>424</v>
      </c>
      <c r="B59" s="346">
        <v>12.7</v>
      </c>
      <c r="C59" s="346">
        <v>614</v>
      </c>
      <c r="D59" s="345">
        <v>200</v>
      </c>
      <c r="E59" s="362">
        <v>1</v>
      </c>
      <c r="F59" s="363"/>
      <c r="G59" s="346">
        <v>6.52</v>
      </c>
      <c r="H59" s="346">
        <v>33.9</v>
      </c>
      <c r="I59" s="346">
        <f>H59*0.61</f>
        <v>20.678999999999998</v>
      </c>
      <c r="J59" s="346">
        <f>H59*0.27</f>
        <v>9.1530000000000005</v>
      </c>
      <c r="K59" s="346">
        <f>H59*0.2</f>
        <v>6.78</v>
      </c>
      <c r="L59" s="346">
        <f t="shared" si="0"/>
        <v>140</v>
      </c>
      <c r="M59" s="346">
        <v>0</v>
      </c>
      <c r="N59" s="346">
        <v>0</v>
      </c>
      <c r="O59" s="346">
        <f>(D59*0.1%)*1000</f>
        <v>200</v>
      </c>
      <c r="P59" s="346">
        <v>0</v>
      </c>
      <c r="Q59" s="346">
        <v>23.6</v>
      </c>
      <c r="R59" s="346">
        <v>15.3</v>
      </c>
      <c r="S59" s="346"/>
      <c r="T59" s="346"/>
      <c r="U59" s="346"/>
      <c r="V59" s="346"/>
      <c r="W59" s="346"/>
      <c r="X59" s="346"/>
      <c r="Y59" s="346"/>
      <c r="Z59" s="346"/>
      <c r="AA59" s="346"/>
      <c r="AB59" s="346"/>
      <c r="AC59" s="346"/>
      <c r="AD59" s="346"/>
      <c r="AE59" s="346"/>
      <c r="AF59" s="346"/>
      <c r="AG59" s="346"/>
      <c r="AH59" s="346"/>
      <c r="AI59" s="346"/>
    </row>
    <row r="60" spans="1:35">
      <c r="A60" s="359" t="s">
        <v>424</v>
      </c>
      <c r="B60" s="346">
        <v>25.4</v>
      </c>
      <c r="C60" s="346">
        <v>1228</v>
      </c>
      <c r="D60" s="345">
        <v>400</v>
      </c>
      <c r="E60" s="362">
        <v>1</v>
      </c>
      <c r="F60" s="363"/>
      <c r="G60" s="346">
        <v>13.4</v>
      </c>
      <c r="H60" s="346">
        <v>7.8</v>
      </c>
      <c r="I60" s="346">
        <f>H60*0.61</f>
        <v>4.758</v>
      </c>
      <c r="J60" s="346">
        <f>H60*0.27</f>
        <v>2.1059999999999999</v>
      </c>
      <c r="K60" s="346">
        <f>H60*0.2</f>
        <v>1.56</v>
      </c>
      <c r="L60" s="346">
        <f t="shared" si="0"/>
        <v>280</v>
      </c>
      <c r="M60" s="346">
        <v>0</v>
      </c>
      <c r="N60" s="346">
        <v>0</v>
      </c>
      <c r="O60" s="346">
        <f>(D60*0.1%)*1000</f>
        <v>400</v>
      </c>
      <c r="P60" s="346">
        <v>0</v>
      </c>
      <c r="Q60" s="346">
        <v>47.3</v>
      </c>
      <c r="R60" s="346">
        <v>30.6</v>
      </c>
      <c r="S60" s="346"/>
      <c r="T60" s="346"/>
      <c r="U60" s="346"/>
      <c r="V60" s="346"/>
      <c r="W60" s="346"/>
      <c r="X60" s="346"/>
      <c r="Y60" s="346"/>
      <c r="Z60" s="346"/>
      <c r="AA60" s="346"/>
      <c r="AB60" s="346"/>
      <c r="AC60" s="346"/>
      <c r="AD60" s="346"/>
      <c r="AE60" s="346"/>
      <c r="AF60" s="346"/>
      <c r="AG60" s="346"/>
      <c r="AH60" s="346"/>
      <c r="AI60" s="346"/>
    </row>
    <row r="61" spans="1:35">
      <c r="A61" s="359" t="s">
        <v>424</v>
      </c>
      <c r="B61" s="346">
        <v>31.7</v>
      </c>
      <c r="C61" s="346">
        <v>1535</v>
      </c>
      <c r="D61" s="345">
        <v>500</v>
      </c>
      <c r="E61" s="362">
        <v>1</v>
      </c>
      <c r="F61" s="363"/>
      <c r="G61" s="346">
        <v>16.3</v>
      </c>
      <c r="H61" s="346">
        <v>84.8</v>
      </c>
      <c r="I61" s="346">
        <f>H61*0.61</f>
        <v>51.727999999999994</v>
      </c>
      <c r="J61" s="346">
        <f>H61*0.27</f>
        <v>22.896000000000001</v>
      </c>
      <c r="K61" s="346">
        <f>H61*0.2</f>
        <v>16.96</v>
      </c>
      <c r="L61" s="346">
        <f t="shared" si="0"/>
        <v>350</v>
      </c>
      <c r="M61" s="346">
        <v>0</v>
      </c>
      <c r="N61" s="346">
        <v>0</v>
      </c>
      <c r="O61" s="346">
        <f>(D61*0.1%)*1000</f>
        <v>500</v>
      </c>
      <c r="P61" s="346">
        <v>0</v>
      </c>
      <c r="Q61" s="346">
        <v>59.1</v>
      </c>
      <c r="R61" s="346">
        <v>38.299999999999997</v>
      </c>
      <c r="S61" s="346">
        <v>11.2</v>
      </c>
      <c r="T61" s="346">
        <v>47.8</v>
      </c>
      <c r="U61" s="346">
        <v>12.8</v>
      </c>
      <c r="V61" s="346">
        <v>45.5</v>
      </c>
      <c r="W61" s="346">
        <v>18.8</v>
      </c>
      <c r="X61" s="346">
        <v>0.6</v>
      </c>
      <c r="Y61" s="346">
        <v>125</v>
      </c>
      <c r="Z61" s="346">
        <v>4.4000000000000004</v>
      </c>
      <c r="AA61" s="346">
        <v>625</v>
      </c>
      <c r="AB61" s="346">
        <v>500</v>
      </c>
      <c r="AC61" s="346">
        <v>1.25</v>
      </c>
      <c r="AD61" s="346">
        <v>500</v>
      </c>
      <c r="AE61" s="346">
        <v>30</v>
      </c>
      <c r="AF61" s="346">
        <v>3300</v>
      </c>
      <c r="AG61" s="346">
        <v>1000</v>
      </c>
      <c r="AH61" s="346">
        <v>37.5</v>
      </c>
      <c r="AI61" s="346">
        <v>25</v>
      </c>
    </row>
    <row r="62" spans="1:35">
      <c r="A62" s="359" t="s">
        <v>424</v>
      </c>
      <c r="B62" s="346"/>
      <c r="C62" s="346"/>
      <c r="D62" s="345">
        <v>600</v>
      </c>
      <c r="E62" s="362">
        <v>1</v>
      </c>
      <c r="F62" s="363"/>
      <c r="G62" s="346"/>
      <c r="H62" s="346"/>
      <c r="I62" s="346"/>
      <c r="J62" s="346"/>
      <c r="K62" s="346"/>
      <c r="L62" s="346">
        <f t="shared" si="0"/>
        <v>420</v>
      </c>
      <c r="M62" s="346"/>
      <c r="N62" s="346"/>
      <c r="O62" s="346">
        <f>(D62*0.1%)*1000</f>
        <v>600</v>
      </c>
      <c r="P62" s="346"/>
      <c r="Q62" s="346"/>
      <c r="R62" s="346"/>
      <c r="S62" s="346"/>
      <c r="T62" s="346"/>
      <c r="U62" s="346"/>
      <c r="V62" s="346"/>
      <c r="W62" s="346"/>
      <c r="X62" s="346"/>
      <c r="Y62" s="346"/>
      <c r="Z62" s="346"/>
      <c r="AA62" s="346"/>
      <c r="AB62" s="346"/>
      <c r="AC62" s="346"/>
      <c r="AD62" s="346"/>
      <c r="AE62" s="346"/>
      <c r="AF62" s="346"/>
      <c r="AG62" s="346"/>
      <c r="AH62" s="346"/>
      <c r="AI62" s="346"/>
    </row>
    <row r="63" spans="1:35">
      <c r="A63" s="359" t="s">
        <v>424</v>
      </c>
      <c r="B63" s="346">
        <v>12.7</v>
      </c>
      <c r="C63" s="346">
        <v>612</v>
      </c>
      <c r="D63" s="345">
        <v>200</v>
      </c>
      <c r="E63" s="362">
        <v>2</v>
      </c>
      <c r="F63" s="363"/>
      <c r="G63" s="346">
        <v>6.48</v>
      </c>
      <c r="H63" s="346">
        <v>33.799999999999997</v>
      </c>
      <c r="I63" s="346">
        <f>H63*0.61</f>
        <v>20.617999999999999</v>
      </c>
      <c r="J63" s="346">
        <f>H63*0.27</f>
        <v>9.1259999999999994</v>
      </c>
      <c r="K63" s="346">
        <f>H63*0.2</f>
        <v>6.76</v>
      </c>
      <c r="L63" s="346">
        <f t="shared" si="0"/>
        <v>140</v>
      </c>
      <c r="M63" s="346">
        <v>0</v>
      </c>
      <c r="N63" s="346">
        <v>0</v>
      </c>
      <c r="O63" s="346">
        <f>(D63*0.1%)*1000</f>
        <v>200</v>
      </c>
      <c r="P63" s="346">
        <v>0</v>
      </c>
      <c r="Q63" s="346">
        <v>23.6</v>
      </c>
      <c r="R63" s="346">
        <v>15.2</v>
      </c>
      <c r="S63" s="346"/>
      <c r="T63" s="346"/>
      <c r="U63" s="346"/>
      <c r="V63" s="346"/>
      <c r="W63" s="346"/>
      <c r="X63" s="346"/>
      <c r="Y63" s="346"/>
      <c r="Z63" s="346"/>
      <c r="AA63" s="346"/>
      <c r="AB63" s="346"/>
      <c r="AC63" s="346"/>
      <c r="AD63" s="346"/>
      <c r="AE63" s="346"/>
      <c r="AF63" s="346"/>
      <c r="AG63" s="346"/>
      <c r="AH63" s="346"/>
      <c r="AI63" s="346"/>
    </row>
    <row r="64" spans="1:35">
      <c r="A64" s="359" t="s">
        <v>424</v>
      </c>
      <c r="B64" s="346">
        <v>25.3</v>
      </c>
      <c r="C64" s="346">
        <v>1224</v>
      </c>
      <c r="D64" s="345">
        <v>400</v>
      </c>
      <c r="E64" s="362">
        <v>2</v>
      </c>
      <c r="F64" s="363"/>
      <c r="G64" s="346">
        <v>12.96</v>
      </c>
      <c r="H64" s="346">
        <v>67.5</v>
      </c>
      <c r="I64" s="346">
        <f>H64*0.61</f>
        <v>41.174999999999997</v>
      </c>
      <c r="J64" s="346">
        <f>H64*0.27</f>
        <v>18.225000000000001</v>
      </c>
      <c r="K64" s="346">
        <f>H64*0.2</f>
        <v>13.5</v>
      </c>
      <c r="L64" s="346">
        <f t="shared" si="0"/>
        <v>280</v>
      </c>
      <c r="M64" s="346">
        <v>0</v>
      </c>
      <c r="N64" s="346">
        <v>0</v>
      </c>
      <c r="O64" s="346">
        <f>(D64*0.1%)*1000</f>
        <v>400</v>
      </c>
      <c r="P64" s="346">
        <v>0</v>
      </c>
      <c r="Q64" s="346">
        <v>47.1</v>
      </c>
      <c r="R64" s="346">
        <v>30.5</v>
      </c>
      <c r="S64" s="346"/>
      <c r="T64" s="346"/>
      <c r="U64" s="346"/>
      <c r="V64" s="346"/>
      <c r="W64" s="346"/>
      <c r="X64" s="346"/>
      <c r="Y64" s="346"/>
      <c r="Z64" s="346"/>
      <c r="AA64" s="346"/>
      <c r="AB64" s="346"/>
      <c r="AC64" s="346"/>
      <c r="AD64" s="346"/>
      <c r="AE64" s="346"/>
      <c r="AF64" s="346"/>
      <c r="AG64" s="346"/>
      <c r="AH64" s="346"/>
      <c r="AI64" s="346"/>
    </row>
    <row r="65" spans="1:35">
      <c r="A65" s="359" t="s">
        <v>424</v>
      </c>
      <c r="B65" s="346">
        <v>31.7</v>
      </c>
      <c r="C65" s="346">
        <v>1530</v>
      </c>
      <c r="D65" s="345">
        <v>500</v>
      </c>
      <c r="E65" s="362">
        <v>2</v>
      </c>
      <c r="F65" s="363"/>
      <c r="G65" s="346">
        <v>16.2</v>
      </c>
      <c r="H65" s="346">
        <v>84.4</v>
      </c>
      <c r="I65" s="346">
        <f>H65*0.61</f>
        <v>51.484000000000002</v>
      </c>
      <c r="J65" s="346">
        <f>H65*0.27</f>
        <v>22.788000000000004</v>
      </c>
      <c r="K65" s="346">
        <f>H65*0.2</f>
        <v>16.880000000000003</v>
      </c>
      <c r="L65" s="346">
        <f t="shared" si="0"/>
        <v>350</v>
      </c>
      <c r="M65" s="346">
        <v>0</v>
      </c>
      <c r="N65" s="346">
        <v>0</v>
      </c>
      <c r="O65" s="346">
        <f>(D65*0.1%)*1000</f>
        <v>500</v>
      </c>
      <c r="P65" s="346">
        <v>0</v>
      </c>
      <c r="Q65" s="346">
        <v>58.9</v>
      </c>
      <c r="R65" s="346">
        <v>38.1</v>
      </c>
      <c r="S65" s="346">
        <v>11.1</v>
      </c>
      <c r="T65" s="346">
        <v>47.7</v>
      </c>
      <c r="U65" s="346">
        <v>12.8</v>
      </c>
      <c r="V65" s="346">
        <v>45.5</v>
      </c>
      <c r="W65" s="346">
        <v>18.8</v>
      </c>
      <c r="X65" s="346">
        <v>0.6</v>
      </c>
      <c r="Y65" s="346">
        <v>125</v>
      </c>
      <c r="Z65" s="346">
        <v>4.4000000000000004</v>
      </c>
      <c r="AA65" s="346">
        <v>625</v>
      </c>
      <c r="AB65" s="346">
        <v>500</v>
      </c>
      <c r="AC65" s="346">
        <v>1.25</v>
      </c>
      <c r="AD65" s="346">
        <v>500</v>
      </c>
      <c r="AE65" s="346">
        <v>30</v>
      </c>
      <c r="AF65" s="346">
        <v>3300</v>
      </c>
      <c r="AG65" s="346">
        <v>1000</v>
      </c>
      <c r="AH65" s="346">
        <v>37.5</v>
      </c>
      <c r="AI65" s="346">
        <v>25</v>
      </c>
    </row>
    <row r="66" spans="1:35">
      <c r="A66" s="359" t="s">
        <v>424</v>
      </c>
      <c r="B66" s="346"/>
      <c r="C66" s="346"/>
      <c r="D66" s="345">
        <v>600</v>
      </c>
      <c r="E66" s="362">
        <v>2</v>
      </c>
      <c r="F66" s="363"/>
      <c r="G66" s="346"/>
      <c r="H66" s="346"/>
      <c r="I66" s="346"/>
      <c r="J66" s="346"/>
      <c r="K66" s="346"/>
      <c r="L66" s="346">
        <f t="shared" si="0"/>
        <v>420</v>
      </c>
      <c r="M66" s="346"/>
      <c r="N66" s="346"/>
      <c r="O66" s="346">
        <f>(D66*0.1%)*1000</f>
        <v>600</v>
      </c>
      <c r="P66" s="346"/>
      <c r="Q66" s="346"/>
      <c r="R66" s="346"/>
      <c r="S66" s="346"/>
      <c r="T66" s="346"/>
      <c r="U66" s="346"/>
      <c r="V66" s="346"/>
      <c r="W66" s="346"/>
      <c r="X66" s="346"/>
      <c r="Y66" s="346"/>
      <c r="Z66" s="346"/>
      <c r="AA66" s="346"/>
      <c r="AB66" s="346"/>
      <c r="AC66" s="346"/>
      <c r="AD66" s="346"/>
      <c r="AE66" s="346"/>
      <c r="AF66" s="346"/>
      <c r="AG66" s="346"/>
      <c r="AH66" s="346"/>
      <c r="AI66" s="346"/>
    </row>
    <row r="67" spans="1:35">
      <c r="A67" s="360" t="s">
        <v>424</v>
      </c>
      <c r="B67" s="346">
        <v>12.2</v>
      </c>
      <c r="C67" s="346">
        <v>587</v>
      </c>
      <c r="D67" s="345">
        <v>200</v>
      </c>
      <c r="E67" s="362">
        <v>3</v>
      </c>
      <c r="F67" s="363"/>
      <c r="G67" s="346">
        <v>5.98</v>
      </c>
      <c r="H67" s="346">
        <v>32.1</v>
      </c>
      <c r="I67" s="346">
        <f>H67*0.61</f>
        <v>19.581</v>
      </c>
      <c r="J67" s="346">
        <f>H67*0.27</f>
        <v>8.6670000000000016</v>
      </c>
      <c r="K67" s="346">
        <f>H67*0.2</f>
        <v>6.4200000000000008</v>
      </c>
      <c r="L67" s="346">
        <f t="shared" si="0"/>
        <v>140</v>
      </c>
      <c r="M67" s="346">
        <v>0</v>
      </c>
      <c r="N67" s="346">
        <v>0</v>
      </c>
      <c r="O67" s="346">
        <f>(D67*0.1%)*1000</f>
        <v>200</v>
      </c>
      <c r="P67" s="346">
        <v>0</v>
      </c>
      <c r="Q67" s="346">
        <v>22.4</v>
      </c>
      <c r="R67" s="346">
        <v>14.4</v>
      </c>
      <c r="S67" s="346"/>
      <c r="T67" s="346"/>
      <c r="U67" s="346"/>
      <c r="V67" s="346"/>
      <c r="W67" s="346"/>
      <c r="X67" s="346"/>
      <c r="Y67" s="346"/>
      <c r="Z67" s="346"/>
      <c r="AA67" s="346"/>
      <c r="AB67" s="346"/>
      <c r="AC67" s="346"/>
      <c r="AD67" s="346"/>
      <c r="AE67" s="346"/>
      <c r="AF67" s="346"/>
      <c r="AG67" s="346"/>
      <c r="AH67" s="346"/>
      <c r="AI67" s="346"/>
    </row>
    <row r="68" spans="1:35">
      <c r="A68" s="360" t="s">
        <v>424</v>
      </c>
      <c r="B68" s="346">
        <v>24.5</v>
      </c>
      <c r="C68" s="346">
        <v>1174</v>
      </c>
      <c r="D68" s="345">
        <v>400</v>
      </c>
      <c r="E68" s="362">
        <v>3</v>
      </c>
      <c r="F68" s="363"/>
      <c r="G68" s="346">
        <v>11.96</v>
      </c>
      <c r="H68" s="346">
        <v>64.2</v>
      </c>
      <c r="I68" s="346">
        <f>H68*0.61</f>
        <v>39.161999999999999</v>
      </c>
      <c r="J68" s="346">
        <f>H68*0.27</f>
        <v>17.334000000000003</v>
      </c>
      <c r="K68" s="346">
        <f>H68*0.2</f>
        <v>12.840000000000002</v>
      </c>
      <c r="L68" s="346">
        <f t="shared" ref="L68:L131" si="2">D68*0.7</f>
        <v>280</v>
      </c>
      <c r="M68" s="346">
        <v>0</v>
      </c>
      <c r="N68" s="346">
        <v>0</v>
      </c>
      <c r="O68" s="346">
        <f t="shared" ref="O68:O131" si="3">(D68*0.1%)*1000</f>
        <v>400</v>
      </c>
      <c r="P68" s="346">
        <v>0</v>
      </c>
      <c r="Q68" s="346">
        <v>44.7</v>
      </c>
      <c r="R68" s="346">
        <v>28.8</v>
      </c>
      <c r="S68" s="346"/>
      <c r="T68" s="346"/>
      <c r="U68" s="346"/>
      <c r="V68" s="346"/>
      <c r="W68" s="346"/>
      <c r="X68" s="346"/>
      <c r="Y68" s="346"/>
      <c r="Z68" s="346"/>
      <c r="AA68" s="346"/>
      <c r="AB68" s="346"/>
      <c r="AC68" s="346"/>
      <c r="AD68" s="346"/>
      <c r="AE68" s="346"/>
      <c r="AF68" s="346"/>
      <c r="AG68" s="346"/>
      <c r="AH68" s="346"/>
      <c r="AI68" s="346"/>
    </row>
    <row r="69" spans="1:35">
      <c r="A69" s="360" t="s">
        <v>424</v>
      </c>
      <c r="B69" s="346">
        <v>30.6</v>
      </c>
      <c r="C69" s="346">
        <v>1468</v>
      </c>
      <c r="D69" s="345">
        <v>500</v>
      </c>
      <c r="E69" s="362">
        <v>3</v>
      </c>
      <c r="F69" s="363"/>
      <c r="G69" s="346">
        <v>14.95</v>
      </c>
      <c r="H69" s="346">
        <v>80.3</v>
      </c>
      <c r="I69" s="346">
        <f>H69*0.61</f>
        <v>48.982999999999997</v>
      </c>
      <c r="J69" s="346">
        <f>H69*0.27</f>
        <v>21.681000000000001</v>
      </c>
      <c r="K69" s="346">
        <f>H69*0.2</f>
        <v>16.059999999999999</v>
      </c>
      <c r="L69" s="346">
        <f t="shared" si="2"/>
        <v>350</v>
      </c>
      <c r="M69" s="346">
        <v>0</v>
      </c>
      <c r="N69" s="346">
        <v>0</v>
      </c>
      <c r="O69" s="346">
        <f t="shared" si="3"/>
        <v>500</v>
      </c>
      <c r="P69" s="346">
        <v>0</v>
      </c>
      <c r="Q69" s="346">
        <v>55.9</v>
      </c>
      <c r="R69" s="346">
        <v>36</v>
      </c>
      <c r="S69" s="346">
        <v>10.9</v>
      </c>
      <c r="T69" s="346">
        <v>45.9</v>
      </c>
      <c r="U69" s="346">
        <v>12.5</v>
      </c>
      <c r="V69" s="346">
        <v>45.5</v>
      </c>
      <c r="W69" s="346">
        <v>18.8</v>
      </c>
      <c r="X69" s="346">
        <v>0.6</v>
      </c>
      <c r="Y69" s="346">
        <v>125</v>
      </c>
      <c r="Z69" s="346">
        <v>4.4000000000000004</v>
      </c>
      <c r="AA69" s="346">
        <v>625</v>
      </c>
      <c r="AB69" s="346">
        <v>500</v>
      </c>
      <c r="AC69" s="346">
        <v>1.25</v>
      </c>
      <c r="AD69" s="346">
        <v>500</v>
      </c>
      <c r="AE69" s="346">
        <v>30</v>
      </c>
      <c r="AF69" s="346">
        <v>3300</v>
      </c>
      <c r="AG69" s="346">
        <v>1000</v>
      </c>
      <c r="AH69" s="346">
        <v>37.5</v>
      </c>
      <c r="AI69" s="346">
        <v>25</v>
      </c>
    </row>
    <row r="70" spans="1:35">
      <c r="A70" s="360" t="s">
        <v>424</v>
      </c>
      <c r="B70" s="346"/>
      <c r="C70" s="346"/>
      <c r="D70" s="345">
        <v>600</v>
      </c>
      <c r="E70" s="362">
        <v>3</v>
      </c>
      <c r="F70" s="363"/>
      <c r="G70" s="346"/>
      <c r="H70" s="346"/>
      <c r="I70" s="346"/>
      <c r="J70" s="346"/>
      <c r="K70" s="346"/>
      <c r="L70" s="346">
        <f t="shared" si="2"/>
        <v>420</v>
      </c>
      <c r="M70" s="346"/>
      <c r="N70" s="346"/>
      <c r="O70" s="346">
        <f t="shared" si="3"/>
        <v>600</v>
      </c>
      <c r="P70" s="346"/>
      <c r="Q70" s="346"/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  <c r="AC70" s="346"/>
      <c r="AD70" s="346"/>
      <c r="AE70" s="346"/>
      <c r="AF70" s="346"/>
      <c r="AG70" s="346"/>
      <c r="AH70" s="346"/>
      <c r="AI70" s="346"/>
    </row>
    <row r="71" spans="1:35">
      <c r="A71" s="360" t="s">
        <v>424</v>
      </c>
      <c r="B71" s="346">
        <v>11.8</v>
      </c>
      <c r="C71" s="346">
        <v>559</v>
      </c>
      <c r="D71" s="345">
        <v>200</v>
      </c>
      <c r="E71" s="362">
        <v>4</v>
      </c>
      <c r="F71" s="363"/>
      <c r="G71" s="346">
        <v>5.42</v>
      </c>
      <c r="H71" s="346">
        <v>30.3</v>
      </c>
      <c r="I71" s="346">
        <f>H71*0.61</f>
        <v>18.483000000000001</v>
      </c>
      <c r="J71" s="346">
        <f>H71*0.27</f>
        <v>8.1810000000000009</v>
      </c>
      <c r="K71" s="346">
        <f>H71*0.2</f>
        <v>6.0600000000000005</v>
      </c>
      <c r="L71" s="346">
        <f t="shared" si="2"/>
        <v>140</v>
      </c>
      <c r="M71" s="346">
        <v>0</v>
      </c>
      <c r="N71" s="346">
        <v>0</v>
      </c>
      <c r="O71" s="346">
        <f t="shared" si="3"/>
        <v>200</v>
      </c>
      <c r="P71" s="346">
        <v>0</v>
      </c>
      <c r="Q71" s="346">
        <v>16.7</v>
      </c>
      <c r="R71" s="346">
        <v>10.5</v>
      </c>
      <c r="S71" s="346"/>
      <c r="T71" s="346"/>
      <c r="U71" s="346"/>
      <c r="V71" s="346"/>
      <c r="W71" s="346"/>
      <c r="X71" s="346"/>
      <c r="Y71" s="346"/>
      <c r="Z71" s="346"/>
      <c r="AA71" s="346"/>
      <c r="AB71" s="346"/>
      <c r="AC71" s="346"/>
      <c r="AD71" s="346"/>
      <c r="AE71" s="346"/>
      <c r="AF71" s="346"/>
      <c r="AG71" s="346"/>
      <c r="AH71" s="346"/>
      <c r="AI71" s="346"/>
    </row>
    <row r="72" spans="1:35">
      <c r="A72" s="360" t="s">
        <v>424</v>
      </c>
      <c r="B72" s="346">
        <v>23.6</v>
      </c>
      <c r="C72" s="346">
        <v>1118</v>
      </c>
      <c r="D72" s="345">
        <v>400</v>
      </c>
      <c r="E72" s="362">
        <v>4</v>
      </c>
      <c r="F72" s="363"/>
      <c r="G72" s="346">
        <v>10.84</v>
      </c>
      <c r="H72" s="346">
        <v>60.5</v>
      </c>
      <c r="I72" s="346">
        <f>H72*0.61</f>
        <v>36.905000000000001</v>
      </c>
      <c r="J72" s="346">
        <f>H72*0.27</f>
        <v>16.335000000000001</v>
      </c>
      <c r="K72" s="346">
        <f>H72*0.2</f>
        <v>12.100000000000001</v>
      </c>
      <c r="L72" s="346">
        <f t="shared" si="2"/>
        <v>280</v>
      </c>
      <c r="M72" s="346">
        <v>0</v>
      </c>
      <c r="N72" s="346">
        <v>0</v>
      </c>
      <c r="O72" s="346">
        <f t="shared" si="3"/>
        <v>400</v>
      </c>
      <c r="P72" s="346">
        <v>0</v>
      </c>
      <c r="Q72" s="346">
        <v>33.299999999999997</v>
      </c>
      <c r="R72" s="346">
        <v>20.9</v>
      </c>
      <c r="S72" s="346"/>
      <c r="T72" s="346"/>
      <c r="U72" s="346"/>
      <c r="V72" s="346"/>
      <c r="W72" s="346"/>
      <c r="X72" s="346"/>
      <c r="Y72" s="346"/>
      <c r="Z72" s="346"/>
      <c r="AA72" s="346"/>
      <c r="AB72" s="346"/>
      <c r="AC72" s="346"/>
      <c r="AD72" s="346"/>
      <c r="AE72" s="346"/>
      <c r="AF72" s="346"/>
      <c r="AG72" s="346"/>
      <c r="AH72" s="346"/>
      <c r="AI72" s="346"/>
    </row>
    <row r="73" spans="1:35">
      <c r="A73" s="360" t="s">
        <v>424</v>
      </c>
      <c r="B73" s="346">
        <v>29.4</v>
      </c>
      <c r="C73" s="346">
        <v>1398</v>
      </c>
      <c r="D73" s="345">
        <v>500</v>
      </c>
      <c r="E73" s="362">
        <v>4</v>
      </c>
      <c r="F73" s="363"/>
      <c r="G73" s="346">
        <v>13.55</v>
      </c>
      <c r="H73" s="346">
        <v>75.7</v>
      </c>
      <c r="I73" s="346">
        <f>H73*0.61</f>
        <v>46.177</v>
      </c>
      <c r="J73" s="346">
        <f>H73*0.27</f>
        <v>20.439000000000004</v>
      </c>
      <c r="K73" s="346">
        <f>H73*0.2</f>
        <v>15.14</v>
      </c>
      <c r="L73" s="346">
        <f t="shared" si="2"/>
        <v>350</v>
      </c>
      <c r="M73" s="346">
        <v>0</v>
      </c>
      <c r="N73" s="346">
        <v>0</v>
      </c>
      <c r="O73" s="346">
        <f t="shared" si="3"/>
        <v>500</v>
      </c>
      <c r="P73" s="346">
        <v>0</v>
      </c>
      <c r="Q73" s="346">
        <v>41.7</v>
      </c>
      <c r="R73" s="346">
        <v>26.2</v>
      </c>
      <c r="S73" s="346">
        <v>10.5</v>
      </c>
      <c r="T73" s="346">
        <v>35.799999999999997</v>
      </c>
      <c r="U73" s="346">
        <v>11.9</v>
      </c>
      <c r="V73" s="346">
        <v>45.5</v>
      </c>
      <c r="W73" s="346">
        <v>18.8</v>
      </c>
      <c r="X73" s="346">
        <v>0.6</v>
      </c>
      <c r="Y73" s="346">
        <v>125</v>
      </c>
      <c r="Z73" s="346">
        <v>4.4000000000000004</v>
      </c>
      <c r="AA73" s="346">
        <v>625</v>
      </c>
      <c r="AB73" s="346">
        <v>500</v>
      </c>
      <c r="AC73" s="346">
        <v>1.25</v>
      </c>
      <c r="AD73" s="346">
        <v>500</v>
      </c>
      <c r="AE73" s="346">
        <v>30</v>
      </c>
      <c r="AF73" s="346">
        <v>3300</v>
      </c>
      <c r="AG73" s="346">
        <v>1000</v>
      </c>
      <c r="AH73" s="346">
        <v>37.5</v>
      </c>
      <c r="AI73" s="346">
        <v>25</v>
      </c>
    </row>
    <row r="74" spans="1:35">
      <c r="A74" s="360" t="s">
        <v>424</v>
      </c>
      <c r="B74" s="346"/>
      <c r="C74" s="346"/>
      <c r="D74" s="345">
        <v>600</v>
      </c>
      <c r="E74" s="362">
        <v>4</v>
      </c>
      <c r="F74" s="363"/>
      <c r="G74" s="346"/>
      <c r="H74" s="346"/>
      <c r="I74" s="346"/>
      <c r="J74" s="346"/>
      <c r="K74" s="346"/>
      <c r="L74" s="346">
        <f t="shared" si="2"/>
        <v>420</v>
      </c>
      <c r="M74" s="346"/>
      <c r="N74" s="346"/>
      <c r="O74" s="346">
        <f t="shared" si="3"/>
        <v>600</v>
      </c>
      <c r="P74" s="346"/>
      <c r="Q74" s="346"/>
      <c r="R74" s="346"/>
      <c r="S74" s="346"/>
      <c r="T74" s="346"/>
      <c r="U74" s="346"/>
      <c r="V74" s="346"/>
      <c r="W74" s="346"/>
      <c r="X74" s="346"/>
      <c r="Y74" s="346"/>
      <c r="Z74" s="346"/>
      <c r="AA74" s="346"/>
      <c r="AB74" s="346"/>
      <c r="AC74" s="346"/>
      <c r="AD74" s="346"/>
      <c r="AE74" s="346"/>
      <c r="AF74" s="346"/>
      <c r="AG74" s="346"/>
      <c r="AH74" s="346"/>
      <c r="AI74" s="346"/>
    </row>
    <row r="75" spans="1:35">
      <c r="A75" s="360" t="s">
        <v>424</v>
      </c>
      <c r="B75" s="346">
        <v>11.3</v>
      </c>
      <c r="C75" s="346">
        <v>532</v>
      </c>
      <c r="D75" s="345">
        <v>200</v>
      </c>
      <c r="E75" s="362">
        <v>5</v>
      </c>
      <c r="F75" s="363"/>
      <c r="G75" s="346">
        <v>4.88</v>
      </c>
      <c r="H75" s="346">
        <v>28.5</v>
      </c>
      <c r="I75" s="346">
        <f>H75*0.61</f>
        <v>17.384999999999998</v>
      </c>
      <c r="J75" s="346">
        <f>H75*0.27</f>
        <v>7.6950000000000003</v>
      </c>
      <c r="K75" s="346">
        <f>H75*0.2</f>
        <v>5.7</v>
      </c>
      <c r="L75" s="346">
        <f t="shared" si="2"/>
        <v>140</v>
      </c>
      <c r="M75" s="346">
        <v>0</v>
      </c>
      <c r="N75" s="346">
        <v>0</v>
      </c>
      <c r="O75" s="346">
        <f t="shared" si="3"/>
        <v>200</v>
      </c>
      <c r="P75" s="346">
        <v>0</v>
      </c>
      <c r="Q75" s="346">
        <v>15.8</v>
      </c>
      <c r="R75" s="346">
        <v>9.9</v>
      </c>
      <c r="S75" s="346"/>
      <c r="T75" s="346"/>
      <c r="U75" s="346"/>
      <c r="V75" s="346"/>
      <c r="W75" s="346"/>
      <c r="X75" s="346"/>
      <c r="Y75" s="346"/>
      <c r="Z75" s="346"/>
      <c r="AA75" s="346"/>
      <c r="AB75" s="346"/>
      <c r="AC75" s="346"/>
      <c r="AD75" s="346"/>
      <c r="AE75" s="346"/>
      <c r="AF75" s="346"/>
      <c r="AG75" s="346"/>
      <c r="AH75" s="346"/>
      <c r="AI75" s="346"/>
    </row>
    <row r="76" spans="1:35">
      <c r="A76" s="360" t="s">
        <v>424</v>
      </c>
      <c r="B76" s="346">
        <v>22.7</v>
      </c>
      <c r="C76" s="346">
        <v>1064</v>
      </c>
      <c r="D76" s="345">
        <v>400</v>
      </c>
      <c r="E76" s="362">
        <v>5</v>
      </c>
      <c r="F76" s="363"/>
      <c r="G76" s="346">
        <v>9.76</v>
      </c>
      <c r="H76" s="346">
        <v>57</v>
      </c>
      <c r="I76" s="346">
        <f>H76*0.61</f>
        <v>34.769999999999996</v>
      </c>
      <c r="J76" s="346">
        <f>H76*0.27</f>
        <v>15.39</v>
      </c>
      <c r="K76" s="346">
        <f>H76*0.2</f>
        <v>11.4</v>
      </c>
      <c r="L76" s="346">
        <f t="shared" si="2"/>
        <v>280</v>
      </c>
      <c r="M76" s="346">
        <v>0</v>
      </c>
      <c r="N76" s="346">
        <v>0</v>
      </c>
      <c r="O76" s="346">
        <f t="shared" si="3"/>
        <v>400</v>
      </c>
      <c r="P76" s="346">
        <v>0</v>
      </c>
      <c r="Q76" s="346">
        <v>31.6</v>
      </c>
      <c r="R76" s="346">
        <v>19.7</v>
      </c>
      <c r="S76" s="346"/>
      <c r="T76" s="346"/>
      <c r="U76" s="346"/>
      <c r="V76" s="346"/>
      <c r="W76" s="346"/>
      <c r="X76" s="346"/>
      <c r="Y76" s="346"/>
      <c r="Z76" s="346"/>
      <c r="AA76" s="346"/>
      <c r="AB76" s="346"/>
      <c r="AC76" s="346"/>
      <c r="AD76" s="346"/>
      <c r="AE76" s="346"/>
      <c r="AF76" s="346"/>
      <c r="AG76" s="346"/>
      <c r="AH76" s="346"/>
      <c r="AI76" s="346"/>
    </row>
    <row r="77" spans="1:35">
      <c r="A77" s="360" t="s">
        <v>424</v>
      </c>
      <c r="B77" s="346">
        <v>28.3</v>
      </c>
      <c r="C77" s="346">
        <v>1330</v>
      </c>
      <c r="D77" s="345">
        <v>500</v>
      </c>
      <c r="E77" s="362">
        <v>5</v>
      </c>
      <c r="F77" s="363"/>
      <c r="G77" s="346">
        <v>12.2</v>
      </c>
      <c r="H77" s="346">
        <v>71.2</v>
      </c>
      <c r="I77" s="346">
        <f>H77*0.61</f>
        <v>43.432000000000002</v>
      </c>
      <c r="J77" s="346">
        <f>H77*0.27</f>
        <v>19.224000000000004</v>
      </c>
      <c r="K77" s="346">
        <f>H77*0.2</f>
        <v>14.240000000000002</v>
      </c>
      <c r="L77" s="346">
        <f t="shared" si="2"/>
        <v>350</v>
      </c>
      <c r="M77" s="346">
        <v>0</v>
      </c>
      <c r="N77" s="346">
        <v>0</v>
      </c>
      <c r="O77" s="346">
        <f t="shared" si="3"/>
        <v>500</v>
      </c>
      <c r="P77" s="346">
        <v>0</v>
      </c>
      <c r="Q77" s="346">
        <v>39.5</v>
      </c>
      <c r="R77" s="346">
        <v>24.7</v>
      </c>
      <c r="S77" s="346">
        <v>10.199999999999999</v>
      </c>
      <c r="T77" s="346">
        <v>34.799999999999997</v>
      </c>
      <c r="U77" s="346">
        <v>11.7</v>
      </c>
      <c r="V77" s="346">
        <v>45.5</v>
      </c>
      <c r="W77" s="346">
        <v>18.8</v>
      </c>
      <c r="X77" s="346">
        <v>0.6</v>
      </c>
      <c r="Y77" s="346">
        <v>125</v>
      </c>
      <c r="Z77" s="346">
        <v>4.4000000000000004</v>
      </c>
      <c r="AA77" s="346">
        <v>625</v>
      </c>
      <c r="AB77" s="346">
        <v>500</v>
      </c>
      <c r="AC77" s="346">
        <v>1.25</v>
      </c>
      <c r="AD77" s="346">
        <v>500</v>
      </c>
      <c r="AE77" s="346">
        <v>30</v>
      </c>
      <c r="AF77" s="346">
        <v>3300</v>
      </c>
      <c r="AG77" s="346">
        <v>1000</v>
      </c>
      <c r="AH77" s="346">
        <v>37.5</v>
      </c>
      <c r="AI77" s="346">
        <v>25</v>
      </c>
    </row>
    <row r="78" spans="1:35">
      <c r="A78" s="360" t="s">
        <v>424</v>
      </c>
      <c r="B78" s="346"/>
      <c r="C78" s="346"/>
      <c r="D78" s="345">
        <v>600</v>
      </c>
      <c r="E78" s="362">
        <v>5</v>
      </c>
      <c r="F78" s="363"/>
      <c r="G78" s="346"/>
      <c r="H78" s="346"/>
      <c r="I78" s="346"/>
      <c r="J78" s="346"/>
      <c r="K78" s="346"/>
      <c r="L78" s="346">
        <f t="shared" si="2"/>
        <v>420</v>
      </c>
      <c r="M78" s="346"/>
      <c r="N78" s="346"/>
      <c r="O78" s="346">
        <f t="shared" si="3"/>
        <v>600</v>
      </c>
      <c r="P78" s="346"/>
      <c r="Q78" s="346"/>
      <c r="R78" s="346"/>
      <c r="S78" s="346"/>
      <c r="T78" s="346"/>
      <c r="U78" s="346"/>
      <c r="V78" s="346"/>
      <c r="W78" s="346"/>
      <c r="X78" s="346"/>
      <c r="Y78" s="346"/>
      <c r="Z78" s="346"/>
      <c r="AA78" s="346"/>
      <c r="AB78" s="346"/>
      <c r="AC78" s="346"/>
      <c r="AD78" s="346"/>
      <c r="AE78" s="346"/>
      <c r="AF78" s="346"/>
      <c r="AG78" s="346"/>
      <c r="AH78" s="346"/>
      <c r="AI78" s="346"/>
    </row>
    <row r="79" spans="1:35">
      <c r="A79" s="360" t="s">
        <v>424</v>
      </c>
      <c r="B79" s="346">
        <v>10.9</v>
      </c>
      <c r="C79" s="346">
        <v>506</v>
      </c>
      <c r="D79" s="345">
        <v>200</v>
      </c>
      <c r="E79" s="362">
        <v>6</v>
      </c>
      <c r="F79" s="363"/>
      <c r="G79" s="346">
        <v>4.3600000000000003</v>
      </c>
      <c r="H79" s="346">
        <v>26.8</v>
      </c>
      <c r="I79" s="346">
        <f>H79*0.61</f>
        <v>16.347999999999999</v>
      </c>
      <c r="J79" s="346">
        <f>H79*0.27</f>
        <v>7.2360000000000007</v>
      </c>
      <c r="K79" s="346">
        <f>H79*0.2</f>
        <v>5.36</v>
      </c>
      <c r="L79" s="346">
        <f t="shared" si="2"/>
        <v>140</v>
      </c>
      <c r="M79" s="346">
        <v>0</v>
      </c>
      <c r="N79" s="346">
        <v>0</v>
      </c>
      <c r="O79" s="346">
        <f t="shared" si="3"/>
        <v>200</v>
      </c>
      <c r="P79" s="346">
        <v>0</v>
      </c>
      <c r="Q79" s="346">
        <v>15</v>
      </c>
      <c r="R79" s="346">
        <v>9.3000000000000007</v>
      </c>
      <c r="S79" s="346"/>
      <c r="T79" s="346"/>
      <c r="U79" s="346"/>
      <c r="V79" s="346"/>
      <c r="W79" s="346"/>
      <c r="X79" s="346"/>
      <c r="Y79" s="346"/>
      <c r="Z79" s="346"/>
      <c r="AA79" s="346"/>
      <c r="AB79" s="346"/>
      <c r="AC79" s="346"/>
      <c r="AD79" s="346"/>
      <c r="AE79" s="346"/>
      <c r="AF79" s="346"/>
      <c r="AG79" s="346"/>
      <c r="AH79" s="346"/>
      <c r="AI79" s="346"/>
    </row>
    <row r="80" spans="1:35">
      <c r="A80" s="360" t="s">
        <v>424</v>
      </c>
      <c r="B80" s="346">
        <v>21.8</v>
      </c>
      <c r="C80" s="346">
        <v>1012</v>
      </c>
      <c r="D80" s="345">
        <v>400</v>
      </c>
      <c r="E80" s="362">
        <v>6</v>
      </c>
      <c r="F80" s="363"/>
      <c r="G80" s="346">
        <v>8.7200000000000006</v>
      </c>
      <c r="H80" s="346">
        <v>53.5</v>
      </c>
      <c r="I80" s="346">
        <f>H80*0.61</f>
        <v>32.634999999999998</v>
      </c>
      <c r="J80" s="346">
        <f>H80*0.27</f>
        <v>14.445</v>
      </c>
      <c r="K80" s="346">
        <f>H80*0.2</f>
        <v>10.700000000000001</v>
      </c>
      <c r="L80" s="346">
        <f t="shared" si="2"/>
        <v>280</v>
      </c>
      <c r="M80" s="346">
        <v>0</v>
      </c>
      <c r="N80" s="346">
        <v>0</v>
      </c>
      <c r="O80" s="346">
        <f t="shared" si="3"/>
        <v>400</v>
      </c>
      <c r="P80" s="346">
        <v>0</v>
      </c>
      <c r="Q80" s="346">
        <v>30</v>
      </c>
      <c r="R80" s="346">
        <v>18.600000000000001</v>
      </c>
      <c r="S80" s="346"/>
      <c r="T80" s="346"/>
      <c r="U80" s="346"/>
      <c r="V80" s="346"/>
      <c r="W80" s="346"/>
      <c r="X80" s="346"/>
      <c r="Y80" s="346"/>
      <c r="Z80" s="346"/>
      <c r="AA80" s="346"/>
      <c r="AB80" s="346"/>
      <c r="AC80" s="346"/>
      <c r="AD80" s="346"/>
      <c r="AE80" s="346"/>
      <c r="AF80" s="346"/>
      <c r="AG80" s="346"/>
      <c r="AH80" s="346"/>
      <c r="AI80" s="346"/>
    </row>
    <row r="81" spans="1:35">
      <c r="A81" s="360" t="s">
        <v>424</v>
      </c>
      <c r="B81" s="346">
        <v>27.2</v>
      </c>
      <c r="C81" s="346">
        <v>1265</v>
      </c>
      <c r="D81" s="345">
        <v>500</v>
      </c>
      <c r="E81" s="362">
        <v>6</v>
      </c>
      <c r="F81" s="363"/>
      <c r="G81" s="346">
        <v>10.9</v>
      </c>
      <c r="H81" s="346">
        <v>66.900000000000006</v>
      </c>
      <c r="I81" s="346">
        <f>H81*0.61</f>
        <v>40.809000000000005</v>
      </c>
      <c r="J81" s="346">
        <f>H81*0.27</f>
        <v>18.063000000000002</v>
      </c>
      <c r="K81" s="346">
        <f>H81*0.2</f>
        <v>13.380000000000003</v>
      </c>
      <c r="L81" s="346">
        <f t="shared" si="2"/>
        <v>350</v>
      </c>
      <c r="M81" s="346">
        <v>0</v>
      </c>
      <c r="N81" s="346">
        <v>0</v>
      </c>
      <c r="O81" s="346">
        <f t="shared" si="3"/>
        <v>500</v>
      </c>
      <c r="P81" s="346">
        <v>0</v>
      </c>
      <c r="Q81" s="346">
        <v>37.4</v>
      </c>
      <c r="R81" s="346">
        <v>23.2</v>
      </c>
      <c r="S81" s="346">
        <v>8.6999999999999993</v>
      </c>
      <c r="T81" s="346">
        <v>33.700000000000003</v>
      </c>
      <c r="U81" s="346">
        <v>11.5</v>
      </c>
      <c r="V81" s="346">
        <v>45.5</v>
      </c>
      <c r="W81" s="346">
        <v>18.8</v>
      </c>
      <c r="X81" s="346">
        <v>0.6</v>
      </c>
      <c r="Y81" s="346">
        <v>125</v>
      </c>
      <c r="Z81" s="346">
        <v>4.4000000000000004</v>
      </c>
      <c r="AA81" s="346">
        <v>625</v>
      </c>
      <c r="AB81" s="346">
        <v>500</v>
      </c>
      <c r="AC81" s="346">
        <v>1.25</v>
      </c>
      <c r="AD81" s="346">
        <v>500</v>
      </c>
      <c r="AE81" s="346">
        <v>30</v>
      </c>
      <c r="AF81" s="346">
        <v>3300</v>
      </c>
      <c r="AG81" s="346">
        <v>1000</v>
      </c>
      <c r="AH81" s="346">
        <v>37.5</v>
      </c>
      <c r="AI81" s="346">
        <v>25</v>
      </c>
    </row>
    <row r="82" spans="1:35">
      <c r="A82" s="360" t="s">
        <v>424</v>
      </c>
      <c r="B82" s="346"/>
      <c r="C82" s="346"/>
      <c r="D82" s="345">
        <v>600</v>
      </c>
      <c r="E82" s="362">
        <v>6</v>
      </c>
      <c r="F82" s="363"/>
      <c r="G82" s="346"/>
      <c r="H82" s="346"/>
      <c r="I82" s="346"/>
      <c r="J82" s="346"/>
      <c r="K82" s="346"/>
      <c r="L82" s="346">
        <f t="shared" si="2"/>
        <v>420</v>
      </c>
      <c r="M82" s="346"/>
      <c r="N82" s="346"/>
      <c r="O82" s="346">
        <f t="shared" si="3"/>
        <v>600</v>
      </c>
      <c r="P82" s="346"/>
      <c r="Q82" s="346"/>
      <c r="R82" s="346"/>
      <c r="S82" s="346"/>
      <c r="T82" s="346"/>
      <c r="U82" s="346"/>
      <c r="V82" s="346"/>
      <c r="W82" s="346"/>
      <c r="X82" s="346"/>
      <c r="Y82" s="346"/>
      <c r="Z82" s="346"/>
      <c r="AA82" s="346"/>
      <c r="AB82" s="346"/>
      <c r="AC82" s="346"/>
      <c r="AD82" s="346"/>
      <c r="AE82" s="346"/>
      <c r="AF82" s="346"/>
      <c r="AG82" s="346"/>
      <c r="AH82" s="346"/>
      <c r="AI82" s="346"/>
    </row>
    <row r="83" spans="1:35">
      <c r="A83" s="359" t="s">
        <v>425</v>
      </c>
      <c r="B83" s="346">
        <v>6.7</v>
      </c>
      <c r="C83" s="346">
        <v>252</v>
      </c>
      <c r="D83" s="362">
        <v>200</v>
      </c>
      <c r="E83" s="362">
        <v>4.9000000000000004</v>
      </c>
      <c r="F83" s="363"/>
      <c r="G83" s="346">
        <v>0</v>
      </c>
      <c r="H83" s="346">
        <v>10.8</v>
      </c>
      <c r="I83" s="346">
        <f>H83*0.61</f>
        <v>6.5880000000000001</v>
      </c>
      <c r="J83" s="346">
        <f>H83*0.27</f>
        <v>2.9160000000000004</v>
      </c>
      <c r="K83" s="346">
        <f>H83*0.2</f>
        <v>2.16</v>
      </c>
      <c r="L83" s="346">
        <f t="shared" si="2"/>
        <v>140</v>
      </c>
      <c r="M83" s="346">
        <v>0</v>
      </c>
      <c r="N83" s="346">
        <v>0</v>
      </c>
      <c r="O83" s="346">
        <f t="shared" si="3"/>
        <v>200</v>
      </c>
      <c r="P83" s="346">
        <v>0</v>
      </c>
      <c r="Q83" s="346">
        <v>8</v>
      </c>
      <c r="R83" s="346">
        <v>5.6</v>
      </c>
      <c r="S83" s="346"/>
      <c r="T83" s="346"/>
      <c r="U83" s="346"/>
      <c r="V83" s="346"/>
      <c r="W83" s="346"/>
      <c r="X83" s="346"/>
      <c r="Y83" s="346"/>
      <c r="Z83" s="346"/>
      <c r="AA83" s="346"/>
      <c r="AB83" s="346"/>
      <c r="AC83" s="346"/>
      <c r="AD83" s="346"/>
      <c r="AE83" s="346"/>
      <c r="AF83" s="346"/>
      <c r="AG83" s="346"/>
      <c r="AH83" s="346"/>
      <c r="AI83" s="346"/>
    </row>
    <row r="84" spans="1:35">
      <c r="A84" s="359" t="s">
        <v>425</v>
      </c>
      <c r="B84" s="346">
        <v>13.3</v>
      </c>
      <c r="C84" s="346">
        <v>504</v>
      </c>
      <c r="D84" s="362">
        <v>400</v>
      </c>
      <c r="E84" s="362">
        <v>4.9000000000000004</v>
      </c>
      <c r="F84" s="363"/>
      <c r="G84" s="346">
        <v>0</v>
      </c>
      <c r="H84" s="346">
        <v>21.7</v>
      </c>
      <c r="I84" s="346">
        <f>H84*0.61</f>
        <v>13.237</v>
      </c>
      <c r="J84" s="346">
        <f>H84*0.27</f>
        <v>5.859</v>
      </c>
      <c r="K84" s="346">
        <f>H84*0.2</f>
        <v>4.34</v>
      </c>
      <c r="L84" s="346">
        <f t="shared" si="2"/>
        <v>280</v>
      </c>
      <c r="M84" s="346">
        <v>0</v>
      </c>
      <c r="N84" s="346">
        <v>0</v>
      </c>
      <c r="O84" s="346">
        <f t="shared" si="3"/>
        <v>400</v>
      </c>
      <c r="P84" s="346">
        <v>0</v>
      </c>
      <c r="Q84" s="346">
        <v>16</v>
      </c>
      <c r="R84" s="346">
        <v>11.2</v>
      </c>
      <c r="S84" s="346"/>
      <c r="T84" s="346"/>
      <c r="U84" s="346"/>
      <c r="V84" s="346"/>
      <c r="W84" s="346"/>
      <c r="X84" s="346"/>
      <c r="Y84" s="346"/>
      <c r="Z84" s="346"/>
      <c r="AA84" s="346"/>
      <c r="AB84" s="346"/>
      <c r="AC84" s="346"/>
      <c r="AD84" s="346"/>
      <c r="AE84" s="346"/>
      <c r="AF84" s="346"/>
      <c r="AG84" s="346"/>
      <c r="AH84" s="346"/>
      <c r="AI84" s="346"/>
    </row>
    <row r="85" spans="1:35">
      <c r="A85" s="359" t="s">
        <v>425</v>
      </c>
      <c r="B85" s="346">
        <v>16.7</v>
      </c>
      <c r="C85" s="346">
        <v>630</v>
      </c>
      <c r="D85" s="362">
        <v>500</v>
      </c>
      <c r="E85" s="362">
        <v>4.9000000000000004</v>
      </c>
      <c r="F85" s="363"/>
      <c r="G85" s="346">
        <v>0</v>
      </c>
      <c r="H85" s="346">
        <v>27.1</v>
      </c>
      <c r="I85" s="346">
        <f>H85*0.61</f>
        <v>16.530999999999999</v>
      </c>
      <c r="J85" s="346">
        <f>H85*0.27</f>
        <v>7.3170000000000011</v>
      </c>
      <c r="K85" s="346">
        <f>H85*0.2</f>
        <v>5.4200000000000008</v>
      </c>
      <c r="L85" s="346">
        <f t="shared" si="2"/>
        <v>350</v>
      </c>
      <c r="M85" s="346">
        <v>0</v>
      </c>
      <c r="N85" s="346">
        <v>0</v>
      </c>
      <c r="O85" s="346">
        <f t="shared" si="3"/>
        <v>500</v>
      </c>
      <c r="P85" s="346">
        <v>0</v>
      </c>
      <c r="Q85" s="346">
        <v>20</v>
      </c>
      <c r="R85" s="346">
        <v>14</v>
      </c>
      <c r="S85" s="346">
        <v>7.5</v>
      </c>
      <c r="T85" s="346">
        <v>25</v>
      </c>
      <c r="U85" s="346">
        <v>10</v>
      </c>
      <c r="V85" s="346">
        <v>40</v>
      </c>
      <c r="W85" s="346">
        <v>15</v>
      </c>
      <c r="X85" s="346">
        <v>0.5</v>
      </c>
      <c r="Y85" s="346">
        <v>100</v>
      </c>
      <c r="Z85" s="346">
        <v>3.5</v>
      </c>
      <c r="AA85" s="346">
        <v>400</v>
      </c>
      <c r="AB85" s="346">
        <v>400</v>
      </c>
      <c r="AC85" s="346">
        <v>1</v>
      </c>
      <c r="AD85" s="346">
        <v>400</v>
      </c>
      <c r="AE85" s="346">
        <v>30</v>
      </c>
      <c r="AF85" s="346">
        <v>3300</v>
      </c>
      <c r="AG85" s="346">
        <v>800</v>
      </c>
      <c r="AH85" s="346">
        <v>30</v>
      </c>
      <c r="AI85" s="346">
        <v>20</v>
      </c>
    </row>
    <row r="86" spans="1:35">
      <c r="A86" s="359" t="s">
        <v>425</v>
      </c>
      <c r="B86" s="346"/>
      <c r="C86" s="346"/>
      <c r="D86" s="362">
        <v>600</v>
      </c>
      <c r="E86" s="362">
        <v>4.9000000000000004</v>
      </c>
      <c r="F86" s="363"/>
      <c r="G86" s="346">
        <v>0</v>
      </c>
      <c r="H86" s="346"/>
      <c r="I86" s="346"/>
      <c r="J86" s="346"/>
      <c r="K86" s="346"/>
      <c r="L86" s="346">
        <f t="shared" si="2"/>
        <v>420</v>
      </c>
      <c r="M86" s="346"/>
      <c r="N86" s="346"/>
      <c r="O86" s="346">
        <f t="shared" si="3"/>
        <v>600</v>
      </c>
      <c r="P86" s="346"/>
      <c r="Q86" s="346"/>
      <c r="R86" s="346"/>
      <c r="S86" s="346"/>
      <c r="T86" s="346"/>
      <c r="U86" s="346"/>
      <c r="V86" s="346"/>
      <c r="W86" s="346"/>
      <c r="X86" s="346"/>
      <c r="Y86" s="346"/>
      <c r="Z86" s="346"/>
      <c r="AA86" s="346"/>
      <c r="AB86" s="346"/>
      <c r="AC86" s="346"/>
      <c r="AD86" s="346"/>
      <c r="AE86" s="346"/>
      <c r="AF86" s="346"/>
      <c r="AG86" s="346"/>
      <c r="AH86" s="346"/>
      <c r="AI86" s="346"/>
    </row>
    <row r="87" spans="1:35">
      <c r="A87" s="359" t="s">
        <v>425</v>
      </c>
      <c r="B87" s="346">
        <v>8.1</v>
      </c>
      <c r="C87" s="346">
        <v>336</v>
      </c>
      <c r="D87" s="345">
        <v>219</v>
      </c>
      <c r="E87" s="363">
        <v>10</v>
      </c>
      <c r="F87" s="363"/>
      <c r="G87" s="346">
        <v>0.21</v>
      </c>
      <c r="H87" s="346">
        <v>14.5</v>
      </c>
      <c r="I87" s="346">
        <f>H87*0.61</f>
        <v>8.8450000000000006</v>
      </c>
      <c r="J87" s="346">
        <f>H87*0.27</f>
        <v>3.915</v>
      </c>
      <c r="K87" s="346">
        <f>H87*0.2</f>
        <v>2.9000000000000004</v>
      </c>
      <c r="L87" s="346">
        <f t="shared" si="2"/>
        <v>153.29999999999998</v>
      </c>
      <c r="M87" s="346">
        <v>0</v>
      </c>
      <c r="N87" s="346">
        <v>0</v>
      </c>
      <c r="O87" s="346">
        <f t="shared" si="3"/>
        <v>219</v>
      </c>
      <c r="P87" s="346">
        <v>0</v>
      </c>
      <c r="Q87" s="346">
        <v>14.4</v>
      </c>
      <c r="R87" s="346">
        <v>10.5</v>
      </c>
      <c r="S87" s="346"/>
      <c r="T87" s="346"/>
      <c r="U87" s="346"/>
      <c r="V87" s="346"/>
      <c r="W87" s="346"/>
      <c r="X87" s="346"/>
      <c r="Y87" s="346"/>
      <c r="Z87" s="346"/>
      <c r="AA87" s="346"/>
      <c r="AB87" s="346"/>
      <c r="AC87" s="346"/>
      <c r="AD87" s="346"/>
      <c r="AE87" s="346"/>
      <c r="AF87" s="346"/>
      <c r="AG87" s="346"/>
      <c r="AH87" s="346"/>
      <c r="AI87" s="346"/>
    </row>
    <row r="88" spans="1:35">
      <c r="A88" s="359" t="s">
        <v>425</v>
      </c>
      <c r="B88" s="346">
        <v>16.2</v>
      </c>
      <c r="C88" s="346">
        <v>673</v>
      </c>
      <c r="D88" s="345">
        <v>439</v>
      </c>
      <c r="E88" s="363">
        <v>10</v>
      </c>
      <c r="F88" s="363"/>
      <c r="G88" s="346">
        <v>0.42</v>
      </c>
      <c r="H88" s="346">
        <v>28.9</v>
      </c>
      <c r="I88" s="346">
        <f>H88*0.61</f>
        <v>17.628999999999998</v>
      </c>
      <c r="J88" s="346">
        <f>H88*0.27</f>
        <v>7.8029999999999999</v>
      </c>
      <c r="K88" s="346">
        <f>H88*0.2</f>
        <v>5.78</v>
      </c>
      <c r="L88" s="346">
        <f t="shared" si="2"/>
        <v>307.29999999999995</v>
      </c>
      <c r="M88" s="346">
        <v>0</v>
      </c>
      <c r="N88" s="346">
        <v>0</v>
      </c>
      <c r="O88" s="346">
        <f t="shared" si="3"/>
        <v>439</v>
      </c>
      <c r="P88" s="346">
        <v>0</v>
      </c>
      <c r="Q88" s="346">
        <v>28.8</v>
      </c>
      <c r="R88" s="346">
        <v>21</v>
      </c>
      <c r="S88" s="346"/>
      <c r="T88" s="346"/>
      <c r="U88" s="346"/>
      <c r="V88" s="346"/>
      <c r="W88" s="346"/>
      <c r="X88" s="346"/>
      <c r="Y88" s="346"/>
      <c r="Z88" s="346"/>
      <c r="AA88" s="346"/>
      <c r="AB88" s="346"/>
      <c r="AC88" s="346"/>
      <c r="AD88" s="346"/>
      <c r="AE88" s="346"/>
      <c r="AF88" s="346"/>
      <c r="AG88" s="346"/>
      <c r="AH88" s="346"/>
      <c r="AI88" s="346"/>
    </row>
    <row r="89" spans="1:35">
      <c r="A89" s="359" t="s">
        <v>425</v>
      </c>
      <c r="B89" s="346">
        <v>20.2</v>
      </c>
      <c r="C89" s="346">
        <v>841</v>
      </c>
      <c r="D89" s="345">
        <v>548</v>
      </c>
      <c r="E89" s="363">
        <v>10</v>
      </c>
      <c r="F89" s="363"/>
      <c r="G89" s="346">
        <v>0.52</v>
      </c>
      <c r="H89" s="346">
        <v>36.200000000000003</v>
      </c>
      <c r="I89" s="346">
        <f>H89*0.61</f>
        <v>22.082000000000001</v>
      </c>
      <c r="J89" s="346">
        <f>H89*0.27</f>
        <v>9.7740000000000009</v>
      </c>
      <c r="K89" s="346">
        <f>H89*0.2</f>
        <v>7.2400000000000011</v>
      </c>
      <c r="L89" s="346">
        <f t="shared" si="2"/>
        <v>383.59999999999997</v>
      </c>
      <c r="M89" s="346">
        <v>0</v>
      </c>
      <c r="N89" s="346">
        <v>0</v>
      </c>
      <c r="O89" s="346">
        <f t="shared" si="3"/>
        <v>548</v>
      </c>
      <c r="P89" s="346">
        <v>0</v>
      </c>
      <c r="Q89" s="346">
        <v>36</v>
      </c>
      <c r="R89" s="346">
        <v>26.3</v>
      </c>
      <c r="S89" s="346">
        <v>7.7</v>
      </c>
      <c r="T89" s="346">
        <v>25.9</v>
      </c>
      <c r="U89" s="346">
        <v>11</v>
      </c>
      <c r="V89" s="346">
        <v>41</v>
      </c>
      <c r="W89" s="346">
        <v>15</v>
      </c>
      <c r="X89" s="346">
        <v>0.5</v>
      </c>
      <c r="Y89" s="346">
        <v>125</v>
      </c>
      <c r="Z89" s="346">
        <v>4</v>
      </c>
      <c r="AA89" s="346">
        <v>500</v>
      </c>
      <c r="AB89" s="346">
        <v>400</v>
      </c>
      <c r="AC89" s="346">
        <v>1</v>
      </c>
      <c r="AD89" s="346">
        <v>400</v>
      </c>
      <c r="AE89" s="346">
        <v>30</v>
      </c>
      <c r="AF89" s="346">
        <v>3300</v>
      </c>
      <c r="AG89" s="346">
        <v>800</v>
      </c>
      <c r="AH89" s="346">
        <v>30</v>
      </c>
      <c r="AI89" s="346">
        <v>20</v>
      </c>
    </row>
    <row r="90" spans="1:35">
      <c r="A90" s="359" t="s">
        <v>425</v>
      </c>
      <c r="B90" s="346"/>
      <c r="C90" s="346"/>
      <c r="D90" s="345">
        <v>658</v>
      </c>
      <c r="E90" s="363">
        <v>10</v>
      </c>
      <c r="F90" s="363"/>
      <c r="G90" s="346"/>
      <c r="H90" s="346"/>
      <c r="I90" s="346"/>
      <c r="J90" s="346"/>
      <c r="K90" s="346"/>
      <c r="L90" s="346">
        <f t="shared" si="2"/>
        <v>460.59999999999997</v>
      </c>
      <c r="M90" s="346"/>
      <c r="N90" s="346"/>
      <c r="O90" s="346">
        <f t="shared" si="3"/>
        <v>658</v>
      </c>
      <c r="P90" s="346"/>
      <c r="Q90" s="346"/>
      <c r="R90" s="346"/>
      <c r="S90" s="346"/>
      <c r="T90" s="346"/>
      <c r="U90" s="346"/>
      <c r="V90" s="346"/>
      <c r="W90" s="346"/>
      <c r="X90" s="346"/>
      <c r="Y90" s="346"/>
      <c r="Z90" s="346"/>
      <c r="AA90" s="346"/>
      <c r="AB90" s="346"/>
      <c r="AC90" s="346"/>
      <c r="AD90" s="346"/>
      <c r="AE90" s="346"/>
      <c r="AF90" s="346"/>
      <c r="AG90" s="346"/>
      <c r="AH90" s="346"/>
      <c r="AI90" s="346"/>
    </row>
    <row r="91" spans="1:35">
      <c r="A91" s="359" t="s">
        <v>425</v>
      </c>
      <c r="B91" s="346">
        <v>8.6</v>
      </c>
      <c r="C91" s="346">
        <v>357</v>
      </c>
      <c r="D91" s="345">
        <v>226</v>
      </c>
      <c r="E91" s="363">
        <v>11</v>
      </c>
      <c r="F91" s="363"/>
      <c r="G91" s="346">
        <v>0.26</v>
      </c>
      <c r="H91" s="346">
        <v>15.4</v>
      </c>
      <c r="I91" s="346">
        <f>H91*0.61</f>
        <v>9.3940000000000001</v>
      </c>
      <c r="J91" s="346">
        <f>H91*0.27</f>
        <v>4.1580000000000004</v>
      </c>
      <c r="K91" s="346">
        <f>H91*0.2</f>
        <v>3.08</v>
      </c>
      <c r="L91" s="346">
        <f t="shared" si="2"/>
        <v>158.19999999999999</v>
      </c>
      <c r="M91" s="346">
        <v>0</v>
      </c>
      <c r="N91" s="346">
        <v>0</v>
      </c>
      <c r="O91" s="346">
        <f t="shared" si="3"/>
        <v>226</v>
      </c>
      <c r="P91" s="346">
        <v>0</v>
      </c>
      <c r="Q91" s="346">
        <v>14.4</v>
      </c>
      <c r="R91" s="346">
        <v>10.5</v>
      </c>
      <c r="S91" s="346"/>
      <c r="T91" s="346"/>
      <c r="U91" s="346"/>
      <c r="V91" s="346"/>
      <c r="W91" s="346"/>
      <c r="X91" s="346"/>
      <c r="Y91" s="346"/>
      <c r="Z91" s="346"/>
      <c r="AA91" s="346"/>
      <c r="AB91" s="346"/>
      <c r="AC91" s="346"/>
      <c r="AD91" s="346"/>
      <c r="AE91" s="346"/>
      <c r="AF91" s="346"/>
      <c r="AG91" s="346"/>
      <c r="AH91" s="346"/>
      <c r="AI91" s="346"/>
    </row>
    <row r="92" spans="1:35">
      <c r="A92" s="359" t="s">
        <v>425</v>
      </c>
      <c r="B92" s="346">
        <v>17.100000000000001</v>
      </c>
      <c r="C92" s="346">
        <v>714</v>
      </c>
      <c r="D92" s="345">
        <v>453</v>
      </c>
      <c r="E92" s="363">
        <v>11</v>
      </c>
      <c r="F92" s="363"/>
      <c r="G92" s="346">
        <v>0.52</v>
      </c>
      <c r="H92" s="346">
        <v>30.7</v>
      </c>
      <c r="I92" s="346">
        <f>H92*0.61</f>
        <v>18.727</v>
      </c>
      <c r="J92" s="346">
        <f>H92*0.27</f>
        <v>8.2889999999999997</v>
      </c>
      <c r="K92" s="346">
        <f>H92*0.2</f>
        <v>6.1400000000000006</v>
      </c>
      <c r="L92" s="346">
        <f t="shared" si="2"/>
        <v>317.09999999999997</v>
      </c>
      <c r="M92" s="346">
        <v>0</v>
      </c>
      <c r="N92" s="346">
        <v>0</v>
      </c>
      <c r="O92" s="346">
        <f t="shared" si="3"/>
        <v>453</v>
      </c>
      <c r="P92" s="346">
        <v>0</v>
      </c>
      <c r="Q92" s="346">
        <v>28.8</v>
      </c>
      <c r="R92" s="346">
        <v>21</v>
      </c>
      <c r="S92" s="346"/>
      <c r="T92" s="346"/>
      <c r="U92" s="346"/>
      <c r="V92" s="346"/>
      <c r="W92" s="346"/>
      <c r="X92" s="346"/>
      <c r="Y92" s="346"/>
      <c r="Z92" s="346"/>
      <c r="AA92" s="346"/>
      <c r="AB92" s="346"/>
      <c r="AC92" s="346"/>
      <c r="AD92" s="346"/>
      <c r="AE92" s="346"/>
      <c r="AF92" s="346"/>
      <c r="AG92" s="346"/>
      <c r="AH92" s="346"/>
      <c r="AI92" s="346"/>
    </row>
    <row r="93" spans="1:35">
      <c r="A93" s="359" t="s">
        <v>425</v>
      </c>
      <c r="B93" s="346">
        <v>21.4</v>
      </c>
      <c r="C93" s="346">
        <v>893</v>
      </c>
      <c r="D93" s="345">
        <v>566</v>
      </c>
      <c r="E93" s="363">
        <v>11</v>
      </c>
      <c r="F93" s="363"/>
      <c r="G93" s="346">
        <v>0.65</v>
      </c>
      <c r="H93" s="346">
        <v>38.4</v>
      </c>
      <c r="I93" s="346">
        <f>H93*0.61</f>
        <v>23.423999999999999</v>
      </c>
      <c r="J93" s="346">
        <f>H93*0.27</f>
        <v>10.368</v>
      </c>
      <c r="K93" s="346">
        <f>H93*0.2</f>
        <v>7.68</v>
      </c>
      <c r="L93" s="346">
        <f t="shared" si="2"/>
        <v>396.2</v>
      </c>
      <c r="M93" s="346">
        <v>0</v>
      </c>
      <c r="N93" s="346">
        <v>0</v>
      </c>
      <c r="O93" s="346">
        <f t="shared" si="3"/>
        <v>566.00000000000011</v>
      </c>
      <c r="P93" s="346">
        <v>0</v>
      </c>
      <c r="Q93" s="346">
        <v>36</v>
      </c>
      <c r="R93" s="346">
        <v>26.3</v>
      </c>
      <c r="S93" s="346">
        <v>7.7</v>
      </c>
      <c r="T93" s="346">
        <v>25.9</v>
      </c>
      <c r="U93" s="346">
        <v>11</v>
      </c>
      <c r="V93" s="346">
        <v>41</v>
      </c>
      <c r="W93" s="346">
        <v>15</v>
      </c>
      <c r="X93" s="346">
        <v>0.5</v>
      </c>
      <c r="Y93" s="346">
        <v>125</v>
      </c>
      <c r="Z93" s="346">
        <v>4</v>
      </c>
      <c r="AA93" s="346">
        <v>500</v>
      </c>
      <c r="AB93" s="346">
        <v>400</v>
      </c>
      <c r="AC93" s="346">
        <v>1</v>
      </c>
      <c r="AD93" s="346">
        <v>400</v>
      </c>
      <c r="AE93" s="346">
        <v>30</v>
      </c>
      <c r="AF93" s="346">
        <v>3300</v>
      </c>
      <c r="AG93" s="346">
        <v>800</v>
      </c>
      <c r="AH93" s="346">
        <v>30</v>
      </c>
      <c r="AI93" s="346">
        <v>20</v>
      </c>
    </row>
    <row r="94" spans="1:35">
      <c r="A94" s="359" t="s">
        <v>425</v>
      </c>
      <c r="B94" s="346"/>
      <c r="C94" s="346"/>
      <c r="D94" s="345">
        <v>679</v>
      </c>
      <c r="E94" s="363">
        <v>11</v>
      </c>
      <c r="F94" s="363"/>
      <c r="G94" s="346"/>
      <c r="H94" s="346"/>
      <c r="I94" s="346"/>
      <c r="J94" s="346"/>
      <c r="K94" s="346"/>
      <c r="L94" s="346">
        <f t="shared" si="2"/>
        <v>475.29999999999995</v>
      </c>
      <c r="M94" s="346"/>
      <c r="N94" s="346"/>
      <c r="O94" s="346">
        <f t="shared" si="3"/>
        <v>679</v>
      </c>
      <c r="P94" s="346"/>
      <c r="Q94" s="346"/>
      <c r="R94" s="346"/>
      <c r="S94" s="346"/>
      <c r="T94" s="346"/>
      <c r="U94" s="346"/>
      <c r="V94" s="346"/>
      <c r="W94" s="346"/>
      <c r="X94" s="346"/>
      <c r="Y94" s="346"/>
      <c r="Z94" s="346"/>
      <c r="AA94" s="346"/>
      <c r="AB94" s="346"/>
      <c r="AC94" s="346"/>
      <c r="AD94" s="346"/>
      <c r="AE94" s="346"/>
      <c r="AF94" s="346"/>
      <c r="AG94" s="346"/>
      <c r="AH94" s="346"/>
      <c r="AI94" s="346"/>
    </row>
    <row r="95" spans="1:35">
      <c r="A95" s="359" t="s">
        <v>425</v>
      </c>
      <c r="B95" s="346">
        <v>6.8</v>
      </c>
      <c r="C95" s="346">
        <v>274</v>
      </c>
      <c r="D95" s="345">
        <v>201</v>
      </c>
      <c r="E95" s="363">
        <v>5</v>
      </c>
      <c r="F95" s="363"/>
      <c r="G95" s="346">
        <v>0.05</v>
      </c>
      <c r="H95" s="346">
        <v>11.8</v>
      </c>
      <c r="I95" s="346">
        <f>H95*0.61</f>
        <v>7.1980000000000004</v>
      </c>
      <c r="J95" s="346">
        <f>H95*0.27</f>
        <v>3.1860000000000004</v>
      </c>
      <c r="K95" s="346">
        <f>H95*0.2</f>
        <v>2.3600000000000003</v>
      </c>
      <c r="L95" s="346">
        <f t="shared" si="2"/>
        <v>140.69999999999999</v>
      </c>
      <c r="M95" s="346">
        <v>0</v>
      </c>
      <c r="N95" s="346">
        <v>0</v>
      </c>
      <c r="O95" s="346">
        <f t="shared" si="3"/>
        <v>201</v>
      </c>
      <c r="P95" s="346">
        <v>0</v>
      </c>
      <c r="Q95" s="346">
        <v>8</v>
      </c>
      <c r="R95" s="346">
        <v>5.6</v>
      </c>
      <c r="S95" s="346"/>
      <c r="T95" s="346"/>
      <c r="U95" s="346"/>
      <c r="V95" s="346"/>
      <c r="W95" s="346"/>
      <c r="X95" s="346"/>
      <c r="Y95" s="346"/>
      <c r="Z95" s="346"/>
      <c r="AA95" s="346"/>
      <c r="AB95" s="346"/>
      <c r="AC95" s="346"/>
      <c r="AD95" s="346"/>
      <c r="AE95" s="346"/>
      <c r="AF95" s="346"/>
      <c r="AG95" s="346"/>
      <c r="AH95" s="346"/>
      <c r="AI95" s="346"/>
    </row>
    <row r="96" spans="1:35">
      <c r="A96" s="359" t="s">
        <v>425</v>
      </c>
      <c r="B96" s="346">
        <v>13.7</v>
      </c>
      <c r="C96" s="346">
        <v>548</v>
      </c>
      <c r="D96" s="345">
        <v>403</v>
      </c>
      <c r="E96" s="363">
        <v>5</v>
      </c>
      <c r="F96" s="363"/>
      <c r="G96" s="346">
        <v>0.11</v>
      </c>
      <c r="H96" s="346">
        <v>23.6</v>
      </c>
      <c r="I96" s="346">
        <f>H96*0.61</f>
        <v>14.396000000000001</v>
      </c>
      <c r="J96" s="346">
        <f>H96*0.27</f>
        <v>6.3720000000000008</v>
      </c>
      <c r="K96" s="346">
        <f>H96*0.2</f>
        <v>4.7200000000000006</v>
      </c>
      <c r="L96" s="346">
        <f t="shared" si="2"/>
        <v>282.09999999999997</v>
      </c>
      <c r="M96" s="346">
        <v>0</v>
      </c>
      <c r="N96" s="346">
        <v>0</v>
      </c>
      <c r="O96" s="346">
        <f t="shared" si="3"/>
        <v>403</v>
      </c>
      <c r="P96" s="346">
        <v>0</v>
      </c>
      <c r="Q96" s="346">
        <v>16</v>
      </c>
      <c r="R96" s="346">
        <v>11.2</v>
      </c>
      <c r="S96" s="346"/>
      <c r="T96" s="346"/>
      <c r="U96" s="346"/>
      <c r="V96" s="346"/>
      <c r="W96" s="346"/>
      <c r="X96" s="346"/>
      <c r="Y96" s="346"/>
      <c r="Z96" s="346"/>
      <c r="AA96" s="346"/>
      <c r="AB96" s="346"/>
      <c r="AC96" s="346"/>
      <c r="AD96" s="346"/>
      <c r="AE96" s="346"/>
      <c r="AF96" s="346"/>
      <c r="AG96" s="346"/>
      <c r="AH96" s="346"/>
      <c r="AI96" s="346"/>
    </row>
    <row r="97" spans="1:35">
      <c r="A97" s="359" t="s">
        <v>425</v>
      </c>
      <c r="B97" s="346">
        <v>17.100000000000001</v>
      </c>
      <c r="C97" s="346">
        <v>685</v>
      </c>
      <c r="D97" s="345">
        <v>504</v>
      </c>
      <c r="E97" s="363">
        <v>5</v>
      </c>
      <c r="F97" s="363"/>
      <c r="G97" s="346">
        <v>0.14000000000000001</v>
      </c>
      <c r="H97" s="346">
        <v>29.5</v>
      </c>
      <c r="I97" s="346">
        <f>H97*0.61</f>
        <v>17.995000000000001</v>
      </c>
      <c r="J97" s="346">
        <f>H97*0.27</f>
        <v>7.9650000000000007</v>
      </c>
      <c r="K97" s="346">
        <f>H97*0.2</f>
        <v>5.9</v>
      </c>
      <c r="L97" s="346">
        <f t="shared" si="2"/>
        <v>352.79999999999995</v>
      </c>
      <c r="M97" s="346">
        <v>0</v>
      </c>
      <c r="N97" s="346">
        <v>0</v>
      </c>
      <c r="O97" s="346">
        <f t="shared" si="3"/>
        <v>504</v>
      </c>
      <c r="P97" s="346">
        <v>0</v>
      </c>
      <c r="Q97" s="346">
        <v>20</v>
      </c>
      <c r="R97" s="346">
        <v>14</v>
      </c>
      <c r="S97" s="346">
        <v>7.5</v>
      </c>
      <c r="T97" s="346">
        <v>25</v>
      </c>
      <c r="U97" s="346">
        <v>10</v>
      </c>
      <c r="V97" s="346">
        <v>40</v>
      </c>
      <c r="W97" s="346">
        <v>15</v>
      </c>
      <c r="X97" s="346">
        <v>0.5</v>
      </c>
      <c r="Y97" s="346">
        <v>100</v>
      </c>
      <c r="Z97" s="346">
        <v>3.5</v>
      </c>
      <c r="AA97" s="346">
        <v>400</v>
      </c>
      <c r="AB97" s="346">
        <v>400</v>
      </c>
      <c r="AC97" s="346">
        <v>1</v>
      </c>
      <c r="AD97" s="346">
        <v>400</v>
      </c>
      <c r="AE97" s="346">
        <v>30</v>
      </c>
      <c r="AF97" s="346">
        <v>3300</v>
      </c>
      <c r="AG97" s="346">
        <v>800</v>
      </c>
      <c r="AH97" s="346">
        <v>30</v>
      </c>
      <c r="AI97" s="346">
        <v>20</v>
      </c>
    </row>
    <row r="98" spans="1:35">
      <c r="A98" s="359" t="s">
        <v>425</v>
      </c>
      <c r="B98" s="346"/>
      <c r="C98" s="346"/>
      <c r="D98" s="345">
        <v>604</v>
      </c>
      <c r="E98" s="363">
        <v>5</v>
      </c>
      <c r="F98" s="363"/>
      <c r="G98" s="346"/>
      <c r="H98" s="346"/>
      <c r="I98" s="346"/>
      <c r="J98" s="346"/>
      <c r="K98" s="346"/>
      <c r="L98" s="346">
        <f t="shared" si="2"/>
        <v>422.79999999999995</v>
      </c>
      <c r="M98" s="346"/>
      <c r="N98" s="346"/>
      <c r="O98" s="346">
        <f t="shared" si="3"/>
        <v>604</v>
      </c>
      <c r="P98" s="346"/>
      <c r="Q98" s="346"/>
      <c r="R98" s="346"/>
      <c r="S98" s="346"/>
      <c r="T98" s="346"/>
      <c r="U98" s="346"/>
      <c r="V98" s="346"/>
      <c r="W98" s="346"/>
      <c r="X98" s="346"/>
      <c r="Y98" s="346"/>
      <c r="Z98" s="346"/>
      <c r="AA98" s="346"/>
      <c r="AB98" s="346"/>
      <c r="AC98" s="346"/>
      <c r="AD98" s="346"/>
      <c r="AE98" s="346"/>
      <c r="AF98" s="346"/>
      <c r="AG98" s="346"/>
      <c r="AH98" s="346"/>
      <c r="AI98" s="346"/>
    </row>
    <row r="99" spans="1:35">
      <c r="A99" s="359" t="s">
        <v>425</v>
      </c>
      <c r="B99" s="346">
        <v>7</v>
      </c>
      <c r="C99" s="346">
        <v>282</v>
      </c>
      <c r="D99" s="345">
        <v>203</v>
      </c>
      <c r="E99" s="363">
        <v>6</v>
      </c>
      <c r="F99" s="363"/>
      <c r="G99" s="346">
        <v>7.0000000000000007E-2</v>
      </c>
      <c r="H99" s="346">
        <v>12.1</v>
      </c>
      <c r="I99" s="346">
        <f>H99*0.61</f>
        <v>7.3809999999999993</v>
      </c>
      <c r="J99" s="346">
        <f>H99*0.27</f>
        <v>3.2669999999999999</v>
      </c>
      <c r="K99" s="346">
        <f>H99*0.2</f>
        <v>2.42</v>
      </c>
      <c r="L99" s="346">
        <f t="shared" si="2"/>
        <v>142.1</v>
      </c>
      <c r="M99" s="346">
        <v>0</v>
      </c>
      <c r="N99" s="346">
        <v>0</v>
      </c>
      <c r="O99" s="346">
        <f t="shared" si="3"/>
        <v>203</v>
      </c>
      <c r="P99" s="346">
        <v>0</v>
      </c>
      <c r="Q99" s="346">
        <v>8</v>
      </c>
      <c r="R99" s="346">
        <v>5.6</v>
      </c>
      <c r="S99" s="346"/>
      <c r="T99" s="346"/>
      <c r="U99" s="346"/>
      <c r="V99" s="346"/>
      <c r="W99" s="346"/>
      <c r="X99" s="346"/>
      <c r="Y99" s="346"/>
      <c r="Z99" s="346"/>
      <c r="AA99" s="346"/>
      <c r="AB99" s="346"/>
      <c r="AC99" s="346"/>
      <c r="AD99" s="346"/>
      <c r="AE99" s="346"/>
      <c r="AF99" s="346"/>
      <c r="AG99" s="346"/>
      <c r="AH99" s="346"/>
      <c r="AI99" s="346"/>
    </row>
    <row r="100" spans="1:35">
      <c r="A100" s="359" t="s">
        <v>425</v>
      </c>
      <c r="B100" s="346">
        <v>13.9</v>
      </c>
      <c r="C100" s="346">
        <v>563</v>
      </c>
      <c r="D100" s="345">
        <v>407</v>
      </c>
      <c r="E100" s="363">
        <v>6</v>
      </c>
      <c r="F100" s="363"/>
      <c r="G100" s="346">
        <v>0.15</v>
      </c>
      <c r="H100" s="346">
        <v>24.2</v>
      </c>
      <c r="I100" s="346">
        <f>H100*0.61</f>
        <v>14.761999999999999</v>
      </c>
      <c r="J100" s="346">
        <f>H100*0.27</f>
        <v>6.5339999999999998</v>
      </c>
      <c r="K100" s="346">
        <f>H100*0.2</f>
        <v>4.84</v>
      </c>
      <c r="L100" s="346">
        <f t="shared" si="2"/>
        <v>284.89999999999998</v>
      </c>
      <c r="M100" s="346">
        <v>0</v>
      </c>
      <c r="N100" s="346">
        <v>0</v>
      </c>
      <c r="O100" s="346">
        <f t="shared" si="3"/>
        <v>407</v>
      </c>
      <c r="P100" s="346">
        <v>0</v>
      </c>
      <c r="Q100" s="346">
        <v>16</v>
      </c>
      <c r="R100" s="346">
        <v>11.2</v>
      </c>
      <c r="S100" s="346"/>
      <c r="T100" s="346"/>
      <c r="U100" s="346"/>
      <c r="V100" s="346"/>
      <c r="W100" s="346"/>
      <c r="X100" s="346"/>
      <c r="Y100" s="346"/>
      <c r="Z100" s="346"/>
      <c r="AA100" s="346"/>
      <c r="AB100" s="346"/>
      <c r="AC100" s="346"/>
      <c r="AD100" s="346"/>
      <c r="AE100" s="346"/>
      <c r="AF100" s="346"/>
      <c r="AG100" s="346"/>
      <c r="AH100" s="346"/>
      <c r="AI100" s="346"/>
    </row>
    <row r="101" spans="1:35">
      <c r="A101" s="359" t="s">
        <v>425</v>
      </c>
      <c r="B101" s="346">
        <v>17.399999999999999</v>
      </c>
      <c r="C101" s="346">
        <v>704</v>
      </c>
      <c r="D101" s="345">
        <v>508</v>
      </c>
      <c r="E101" s="363">
        <v>6</v>
      </c>
      <c r="F101" s="363"/>
      <c r="G101" s="346">
        <v>0.18</v>
      </c>
      <c r="H101" s="346">
        <v>30.3</v>
      </c>
      <c r="I101" s="346">
        <f>H101*0.61</f>
        <v>18.483000000000001</v>
      </c>
      <c r="J101" s="346">
        <f>H101*0.27</f>
        <v>8.1810000000000009</v>
      </c>
      <c r="K101" s="346">
        <f>H101*0.2</f>
        <v>6.0600000000000005</v>
      </c>
      <c r="L101" s="346">
        <f t="shared" si="2"/>
        <v>355.59999999999997</v>
      </c>
      <c r="M101" s="346">
        <v>0</v>
      </c>
      <c r="N101" s="346">
        <v>0</v>
      </c>
      <c r="O101" s="346">
        <f t="shared" si="3"/>
        <v>508</v>
      </c>
      <c r="P101" s="346">
        <v>0</v>
      </c>
      <c r="Q101" s="346">
        <v>20</v>
      </c>
      <c r="R101" s="346">
        <v>14</v>
      </c>
      <c r="S101" s="346">
        <v>7.5</v>
      </c>
      <c r="T101" s="346">
        <v>25</v>
      </c>
      <c r="U101" s="346">
        <v>10</v>
      </c>
      <c r="V101" s="346">
        <v>40</v>
      </c>
      <c r="W101" s="346">
        <v>15</v>
      </c>
      <c r="X101" s="346">
        <v>0.5</v>
      </c>
      <c r="Y101" s="346">
        <v>100</v>
      </c>
      <c r="Z101" s="346">
        <v>3.5</v>
      </c>
      <c r="AA101" s="346">
        <v>400</v>
      </c>
      <c r="AB101" s="346">
        <v>400</v>
      </c>
      <c r="AC101" s="346">
        <v>1</v>
      </c>
      <c r="AD101" s="346">
        <v>400</v>
      </c>
      <c r="AE101" s="346">
        <v>30</v>
      </c>
      <c r="AF101" s="346">
        <v>3300</v>
      </c>
      <c r="AG101" s="346">
        <v>800</v>
      </c>
      <c r="AH101" s="346">
        <v>30</v>
      </c>
      <c r="AI101" s="346">
        <v>20</v>
      </c>
    </row>
    <row r="102" spans="1:35">
      <c r="A102" s="359" t="s">
        <v>425</v>
      </c>
      <c r="B102" s="346"/>
      <c r="C102" s="346"/>
      <c r="D102" s="345">
        <v>610</v>
      </c>
      <c r="E102" s="363">
        <v>6</v>
      </c>
      <c r="F102" s="363"/>
      <c r="G102" s="346"/>
      <c r="H102" s="346"/>
      <c r="I102" s="346"/>
      <c r="J102" s="346"/>
      <c r="K102" s="346"/>
      <c r="L102" s="346">
        <f t="shared" si="2"/>
        <v>427</v>
      </c>
      <c r="M102" s="346"/>
      <c r="N102" s="346"/>
      <c r="O102" s="346">
        <f t="shared" si="3"/>
        <v>610</v>
      </c>
      <c r="P102" s="346"/>
      <c r="Q102" s="346"/>
      <c r="R102" s="346"/>
      <c r="S102" s="346"/>
      <c r="T102" s="346"/>
      <c r="U102" s="346"/>
      <c r="V102" s="346"/>
      <c r="W102" s="346"/>
      <c r="X102" s="346"/>
      <c r="Y102" s="346"/>
      <c r="Z102" s="346"/>
      <c r="AA102" s="346"/>
      <c r="AB102" s="346"/>
      <c r="AC102" s="346"/>
      <c r="AD102" s="346"/>
      <c r="AE102" s="346"/>
      <c r="AF102" s="346"/>
      <c r="AG102" s="346"/>
      <c r="AH102" s="346"/>
      <c r="AI102" s="346"/>
    </row>
    <row r="103" spans="1:35">
      <c r="A103" s="359" t="s">
        <v>425</v>
      </c>
      <c r="B103" s="346">
        <v>7.2</v>
      </c>
      <c r="C103" s="346">
        <v>291</v>
      </c>
      <c r="D103" s="345">
        <v>206</v>
      </c>
      <c r="E103" s="363">
        <v>7</v>
      </c>
      <c r="F103" s="363"/>
      <c r="G103" s="346">
        <v>0.1</v>
      </c>
      <c r="H103" s="346">
        <v>12.5</v>
      </c>
      <c r="I103" s="346">
        <f>H103*0.61</f>
        <v>7.625</v>
      </c>
      <c r="J103" s="346">
        <f>H103*0.27</f>
        <v>3.375</v>
      </c>
      <c r="K103" s="346">
        <f>H103*0.2</f>
        <v>2.5</v>
      </c>
      <c r="L103" s="346">
        <f t="shared" si="2"/>
        <v>144.19999999999999</v>
      </c>
      <c r="M103" s="346">
        <v>0</v>
      </c>
      <c r="N103" s="346">
        <v>0</v>
      </c>
      <c r="O103" s="346">
        <f t="shared" si="3"/>
        <v>206.00000000000003</v>
      </c>
      <c r="P103" s="346">
        <v>0</v>
      </c>
      <c r="Q103" s="346">
        <v>11.2</v>
      </c>
      <c r="R103" s="346">
        <v>8</v>
      </c>
      <c r="S103" s="346"/>
      <c r="T103" s="346"/>
      <c r="U103" s="346"/>
      <c r="V103" s="346"/>
      <c r="W103" s="346"/>
      <c r="X103" s="346"/>
      <c r="Y103" s="346"/>
      <c r="Z103" s="346"/>
      <c r="AA103" s="346"/>
      <c r="AB103" s="346"/>
      <c r="AC103" s="346"/>
      <c r="AD103" s="346"/>
      <c r="AE103" s="346"/>
      <c r="AF103" s="346"/>
      <c r="AG103" s="346"/>
      <c r="AH103" s="346"/>
      <c r="AI103" s="346"/>
    </row>
    <row r="104" spans="1:35">
      <c r="A104" s="359" t="s">
        <v>425</v>
      </c>
      <c r="B104" s="346">
        <v>14.3</v>
      </c>
      <c r="C104" s="346">
        <v>583</v>
      </c>
      <c r="D104" s="345">
        <v>412</v>
      </c>
      <c r="E104" s="363">
        <v>7</v>
      </c>
      <c r="F104" s="363"/>
      <c r="G104" s="346">
        <v>0.19</v>
      </c>
      <c r="H104" s="346">
        <v>25.1</v>
      </c>
      <c r="I104" s="346">
        <f>H104*0.61</f>
        <v>15.311</v>
      </c>
      <c r="J104" s="346">
        <f>H104*0.27</f>
        <v>6.777000000000001</v>
      </c>
      <c r="K104" s="346">
        <f>H104*0.2</f>
        <v>5.0200000000000005</v>
      </c>
      <c r="L104" s="346">
        <f t="shared" si="2"/>
        <v>288.39999999999998</v>
      </c>
      <c r="M104" s="346">
        <v>0</v>
      </c>
      <c r="N104" s="346">
        <v>0</v>
      </c>
      <c r="O104" s="346">
        <f t="shared" si="3"/>
        <v>412.00000000000006</v>
      </c>
      <c r="P104" s="346">
        <v>0</v>
      </c>
      <c r="Q104" s="346">
        <v>22.4</v>
      </c>
      <c r="R104" s="346">
        <v>16</v>
      </c>
      <c r="S104" s="346"/>
      <c r="T104" s="346"/>
      <c r="U104" s="346"/>
      <c r="V104" s="346"/>
      <c r="W104" s="346"/>
      <c r="X104" s="346"/>
      <c r="Y104" s="346"/>
      <c r="Z104" s="346"/>
      <c r="AA104" s="346"/>
      <c r="AB104" s="346"/>
      <c r="AC104" s="346"/>
      <c r="AD104" s="346"/>
      <c r="AE104" s="346"/>
      <c r="AF104" s="346"/>
      <c r="AG104" s="346"/>
      <c r="AH104" s="346"/>
      <c r="AI104" s="346"/>
    </row>
    <row r="105" spans="1:35">
      <c r="A105" s="359" t="s">
        <v>425</v>
      </c>
      <c r="B105" s="346">
        <v>17.899999999999999</v>
      </c>
      <c r="C105" s="346">
        <v>729</v>
      </c>
      <c r="D105" s="345">
        <v>515</v>
      </c>
      <c r="E105" s="363">
        <v>7</v>
      </c>
      <c r="F105" s="363"/>
      <c r="G105" s="346">
        <v>0.24</v>
      </c>
      <c r="H105" s="346">
        <v>31.3</v>
      </c>
      <c r="I105" s="346">
        <f>H105*0.61</f>
        <v>19.093</v>
      </c>
      <c r="J105" s="346">
        <f>H105*0.27</f>
        <v>8.4510000000000005</v>
      </c>
      <c r="K105" s="346">
        <f>H105*0.2</f>
        <v>6.2600000000000007</v>
      </c>
      <c r="L105" s="346">
        <f t="shared" si="2"/>
        <v>360.5</v>
      </c>
      <c r="M105" s="346">
        <v>0</v>
      </c>
      <c r="N105" s="346">
        <v>0</v>
      </c>
      <c r="O105" s="346">
        <f t="shared" si="3"/>
        <v>515</v>
      </c>
      <c r="P105" s="346">
        <v>0</v>
      </c>
      <c r="Q105" s="346">
        <v>28</v>
      </c>
      <c r="R105" s="346">
        <v>20</v>
      </c>
      <c r="S105" s="346">
        <v>7.6</v>
      </c>
      <c r="T105" s="346">
        <v>25</v>
      </c>
      <c r="U105" s="346">
        <v>10</v>
      </c>
      <c r="V105" s="346">
        <v>40</v>
      </c>
      <c r="W105" s="346">
        <v>15</v>
      </c>
      <c r="X105" s="346">
        <v>0.5</v>
      </c>
      <c r="Y105" s="346">
        <v>100</v>
      </c>
      <c r="Z105" s="346">
        <v>3.5</v>
      </c>
      <c r="AA105" s="346">
        <v>400</v>
      </c>
      <c r="AB105" s="346">
        <v>400</v>
      </c>
      <c r="AC105" s="346">
        <v>1</v>
      </c>
      <c r="AD105" s="346">
        <v>400</v>
      </c>
      <c r="AE105" s="346">
        <v>30</v>
      </c>
      <c r="AF105" s="346">
        <v>3300</v>
      </c>
      <c r="AG105" s="346">
        <v>800</v>
      </c>
      <c r="AH105" s="346">
        <v>30</v>
      </c>
      <c r="AI105" s="346">
        <v>20</v>
      </c>
    </row>
    <row r="106" spans="1:35">
      <c r="A106" s="359" t="s">
        <v>425</v>
      </c>
      <c r="B106" s="346"/>
      <c r="C106" s="346"/>
      <c r="D106" s="345">
        <v>618</v>
      </c>
      <c r="E106" s="363">
        <v>7</v>
      </c>
      <c r="F106" s="363"/>
      <c r="G106" s="346"/>
      <c r="H106" s="346"/>
      <c r="I106" s="346"/>
      <c r="J106" s="346"/>
      <c r="K106" s="346"/>
      <c r="L106" s="346">
        <f t="shared" si="2"/>
        <v>432.59999999999997</v>
      </c>
      <c r="M106" s="346"/>
      <c r="N106" s="346"/>
      <c r="O106" s="346">
        <f t="shared" si="3"/>
        <v>618</v>
      </c>
      <c r="P106" s="346"/>
      <c r="Q106" s="346"/>
      <c r="R106" s="346"/>
      <c r="S106" s="346"/>
      <c r="T106" s="346"/>
      <c r="U106" s="346"/>
      <c r="V106" s="346"/>
      <c r="W106" s="346"/>
      <c r="X106" s="346"/>
      <c r="Y106" s="346"/>
      <c r="Z106" s="346"/>
      <c r="AA106" s="346"/>
      <c r="AB106" s="346"/>
      <c r="AC106" s="346"/>
      <c r="AD106" s="346"/>
      <c r="AE106" s="346"/>
      <c r="AF106" s="346"/>
      <c r="AG106" s="346"/>
      <c r="AH106" s="346"/>
      <c r="AI106" s="346"/>
    </row>
    <row r="107" spans="1:35">
      <c r="A107" s="359" t="s">
        <v>425</v>
      </c>
      <c r="B107" s="346">
        <v>7.4</v>
      </c>
      <c r="C107" s="346">
        <v>304</v>
      </c>
      <c r="D107" s="345">
        <v>209</v>
      </c>
      <c r="E107" s="363">
        <v>8</v>
      </c>
      <c r="F107" s="363"/>
      <c r="G107" s="346">
        <v>0.13</v>
      </c>
      <c r="H107" s="346">
        <v>13.1</v>
      </c>
      <c r="I107" s="346">
        <f>H107*0.61</f>
        <v>7.9909999999999997</v>
      </c>
      <c r="J107" s="346">
        <f>H107*0.27</f>
        <v>3.5369999999999999</v>
      </c>
      <c r="K107" s="346">
        <f>H107*0.2</f>
        <v>2.62</v>
      </c>
      <c r="L107" s="346">
        <f t="shared" si="2"/>
        <v>146.29999999999998</v>
      </c>
      <c r="M107" s="346">
        <v>0</v>
      </c>
      <c r="N107" s="346">
        <v>0</v>
      </c>
      <c r="O107" s="346">
        <f t="shared" si="3"/>
        <v>209</v>
      </c>
      <c r="P107" s="346">
        <v>0</v>
      </c>
      <c r="Q107" s="346">
        <v>11.2</v>
      </c>
      <c r="R107" s="346">
        <v>8</v>
      </c>
      <c r="S107" s="346"/>
      <c r="T107" s="346"/>
      <c r="U107" s="346"/>
      <c r="V107" s="346"/>
      <c r="W107" s="346"/>
      <c r="X107" s="346"/>
      <c r="Y107" s="346"/>
      <c r="Z107" s="346"/>
      <c r="AA107" s="346"/>
      <c r="AB107" s="346"/>
      <c r="AC107" s="346"/>
      <c r="AD107" s="346"/>
      <c r="AE107" s="346"/>
      <c r="AF107" s="346"/>
      <c r="AG107" s="346"/>
      <c r="AH107" s="346"/>
      <c r="AI107" s="346"/>
    </row>
    <row r="108" spans="1:35">
      <c r="A108" s="359" t="s">
        <v>425</v>
      </c>
      <c r="B108" s="346">
        <v>14.8</v>
      </c>
      <c r="C108" s="346">
        <v>607</v>
      </c>
      <c r="D108" s="345">
        <v>419</v>
      </c>
      <c r="E108" s="363">
        <v>8</v>
      </c>
      <c r="F108" s="363"/>
      <c r="G108" s="346">
        <v>0.26</v>
      </c>
      <c r="H108" s="346">
        <v>26.1</v>
      </c>
      <c r="I108" s="346">
        <f>H108*0.61</f>
        <v>15.921000000000001</v>
      </c>
      <c r="J108" s="346">
        <f>H108*0.27</f>
        <v>7.0470000000000006</v>
      </c>
      <c r="K108" s="346">
        <f>H108*0.2</f>
        <v>5.2200000000000006</v>
      </c>
      <c r="L108" s="346">
        <f t="shared" si="2"/>
        <v>293.29999999999995</v>
      </c>
      <c r="M108" s="346">
        <v>0</v>
      </c>
      <c r="N108" s="346">
        <v>0</v>
      </c>
      <c r="O108" s="346">
        <f t="shared" si="3"/>
        <v>419</v>
      </c>
      <c r="P108" s="346">
        <v>0</v>
      </c>
      <c r="Q108" s="346">
        <v>22.4</v>
      </c>
      <c r="R108" s="346">
        <v>16</v>
      </c>
      <c r="S108" s="346"/>
      <c r="T108" s="346"/>
      <c r="U108" s="346"/>
      <c r="V108" s="346"/>
      <c r="W108" s="346"/>
      <c r="X108" s="346"/>
      <c r="Y108" s="346"/>
      <c r="Z108" s="346"/>
      <c r="AA108" s="346"/>
      <c r="AB108" s="346"/>
      <c r="AC108" s="346"/>
      <c r="AD108" s="346"/>
      <c r="AE108" s="346"/>
      <c r="AF108" s="346"/>
      <c r="AG108" s="346"/>
      <c r="AH108" s="346"/>
      <c r="AI108" s="346"/>
    </row>
    <row r="109" spans="1:35">
      <c r="A109" s="359" t="s">
        <v>425</v>
      </c>
      <c r="B109" s="346">
        <v>18.5</v>
      </c>
      <c r="C109" s="346">
        <v>759</v>
      </c>
      <c r="D109" s="345">
        <v>523</v>
      </c>
      <c r="E109" s="363">
        <v>8</v>
      </c>
      <c r="F109" s="363"/>
      <c r="G109" s="346">
        <v>0.32</v>
      </c>
      <c r="H109" s="346">
        <v>32.700000000000003</v>
      </c>
      <c r="I109" s="346">
        <f>H109*0.61</f>
        <v>19.947000000000003</v>
      </c>
      <c r="J109" s="346">
        <f>H109*0.27</f>
        <v>8.8290000000000006</v>
      </c>
      <c r="K109" s="346">
        <f>H109*0.2</f>
        <v>6.5400000000000009</v>
      </c>
      <c r="L109" s="346">
        <f t="shared" si="2"/>
        <v>366.09999999999997</v>
      </c>
      <c r="M109" s="346">
        <v>0</v>
      </c>
      <c r="N109" s="346">
        <v>0</v>
      </c>
      <c r="O109" s="346">
        <f t="shared" si="3"/>
        <v>523</v>
      </c>
      <c r="P109" s="346">
        <v>0</v>
      </c>
      <c r="Q109" s="346">
        <v>28</v>
      </c>
      <c r="R109" s="346">
        <v>20</v>
      </c>
      <c r="S109" s="346">
        <v>7.6</v>
      </c>
      <c r="T109" s="346">
        <v>25</v>
      </c>
      <c r="U109" s="346">
        <v>10</v>
      </c>
      <c r="V109" s="346">
        <v>40</v>
      </c>
      <c r="W109" s="346">
        <v>15</v>
      </c>
      <c r="X109" s="346">
        <v>0.5</v>
      </c>
      <c r="Y109" s="346">
        <v>100</v>
      </c>
      <c r="Z109" s="346">
        <v>3.5</v>
      </c>
      <c r="AA109" s="346">
        <v>400</v>
      </c>
      <c r="AB109" s="346">
        <v>400</v>
      </c>
      <c r="AC109" s="346">
        <v>1</v>
      </c>
      <c r="AD109" s="346">
        <v>400</v>
      </c>
      <c r="AE109" s="346">
        <v>30</v>
      </c>
      <c r="AF109" s="346">
        <v>3300</v>
      </c>
      <c r="AG109" s="346">
        <v>800</v>
      </c>
      <c r="AH109" s="346">
        <v>30</v>
      </c>
      <c r="AI109" s="346">
        <v>20</v>
      </c>
    </row>
    <row r="110" spans="1:35">
      <c r="A110" s="359" t="s">
        <v>425</v>
      </c>
      <c r="B110" s="346"/>
      <c r="C110" s="346"/>
      <c r="D110" s="345">
        <v>628</v>
      </c>
      <c r="E110" s="363">
        <v>8</v>
      </c>
      <c r="F110" s="363"/>
      <c r="G110" s="346"/>
      <c r="H110" s="346"/>
      <c r="I110" s="346"/>
      <c r="J110" s="346"/>
      <c r="K110" s="346"/>
      <c r="L110" s="346">
        <f t="shared" si="2"/>
        <v>439.59999999999997</v>
      </c>
      <c r="M110" s="346"/>
      <c r="N110" s="346"/>
      <c r="O110" s="346">
        <f t="shared" si="3"/>
        <v>628</v>
      </c>
      <c r="P110" s="346"/>
      <c r="Q110" s="346"/>
      <c r="R110" s="346"/>
      <c r="S110" s="346"/>
      <c r="T110" s="346"/>
      <c r="U110" s="346"/>
      <c r="V110" s="346"/>
      <c r="W110" s="346"/>
      <c r="X110" s="346"/>
      <c r="Y110" s="346"/>
      <c r="Z110" s="346"/>
      <c r="AA110" s="346"/>
      <c r="AB110" s="346"/>
      <c r="AC110" s="346"/>
      <c r="AD110" s="346"/>
      <c r="AE110" s="346"/>
      <c r="AF110" s="346"/>
      <c r="AG110" s="346"/>
      <c r="AH110" s="346"/>
      <c r="AI110" s="346"/>
    </row>
    <row r="111" spans="1:35">
      <c r="A111" s="359" t="s">
        <v>425</v>
      </c>
      <c r="B111" s="346">
        <v>7.7</v>
      </c>
      <c r="C111" s="346">
        <v>319</v>
      </c>
      <c r="D111" s="345">
        <v>214</v>
      </c>
      <c r="E111" s="363">
        <v>9</v>
      </c>
      <c r="F111" s="363"/>
      <c r="G111" s="346">
        <v>0.16</v>
      </c>
      <c r="H111" s="346">
        <v>13.7</v>
      </c>
      <c r="I111" s="346">
        <f>H111*0.61</f>
        <v>8.3569999999999993</v>
      </c>
      <c r="J111" s="346">
        <f>H111*0.27</f>
        <v>3.6989999999999998</v>
      </c>
      <c r="K111" s="346">
        <f>H111*0.2</f>
        <v>2.74</v>
      </c>
      <c r="L111" s="346">
        <f t="shared" si="2"/>
        <v>149.79999999999998</v>
      </c>
      <c r="M111" s="346">
        <v>0</v>
      </c>
      <c r="N111" s="346">
        <v>0</v>
      </c>
      <c r="O111" s="346">
        <f t="shared" si="3"/>
        <v>214</v>
      </c>
      <c r="P111" s="346">
        <v>0</v>
      </c>
      <c r="Q111" s="346">
        <v>14.4</v>
      </c>
      <c r="R111" s="346">
        <v>10.5</v>
      </c>
      <c r="S111" s="346"/>
      <c r="T111" s="346"/>
      <c r="U111" s="346"/>
      <c r="V111" s="346"/>
      <c r="W111" s="346"/>
      <c r="X111" s="346"/>
      <c r="Y111" s="346"/>
      <c r="Z111" s="346"/>
      <c r="AA111" s="346"/>
      <c r="AB111" s="346"/>
      <c r="AC111" s="346"/>
      <c r="AD111" s="346"/>
      <c r="AE111" s="346"/>
      <c r="AF111" s="346"/>
      <c r="AG111" s="346"/>
      <c r="AH111" s="346"/>
      <c r="AI111" s="346"/>
    </row>
    <row r="112" spans="1:35">
      <c r="A112" s="359" t="s">
        <v>425</v>
      </c>
      <c r="B112" s="346">
        <v>15.4</v>
      </c>
      <c r="C112" s="346">
        <v>637</v>
      </c>
      <c r="D112" s="345">
        <v>427</v>
      </c>
      <c r="E112" s="363">
        <v>9</v>
      </c>
      <c r="F112" s="363"/>
      <c r="G112" s="346">
        <v>0.33</v>
      </c>
      <c r="H112" s="346">
        <v>27.4</v>
      </c>
      <c r="I112" s="346">
        <f>H112*0.61</f>
        <v>16.713999999999999</v>
      </c>
      <c r="J112" s="346">
        <f>H112*0.27</f>
        <v>7.3979999999999997</v>
      </c>
      <c r="K112" s="346">
        <f>H112*0.2</f>
        <v>5.48</v>
      </c>
      <c r="L112" s="346">
        <f t="shared" si="2"/>
        <v>298.89999999999998</v>
      </c>
      <c r="M112" s="346">
        <v>0</v>
      </c>
      <c r="N112" s="346">
        <v>0</v>
      </c>
      <c r="O112" s="346">
        <f t="shared" si="3"/>
        <v>427</v>
      </c>
      <c r="P112" s="346">
        <v>0</v>
      </c>
      <c r="Q112" s="346">
        <v>28.8</v>
      </c>
      <c r="R112" s="346">
        <v>21</v>
      </c>
      <c r="S112" s="346"/>
      <c r="T112" s="346"/>
      <c r="U112" s="346"/>
      <c r="V112" s="346"/>
      <c r="W112" s="346"/>
      <c r="X112" s="346"/>
      <c r="Y112" s="346"/>
      <c r="Z112" s="346"/>
      <c r="AA112" s="346"/>
      <c r="AB112" s="346"/>
      <c r="AC112" s="346"/>
      <c r="AD112" s="346"/>
      <c r="AE112" s="346"/>
      <c r="AF112" s="346"/>
      <c r="AG112" s="346"/>
      <c r="AH112" s="346"/>
      <c r="AI112" s="346"/>
    </row>
    <row r="113" spans="1:35">
      <c r="A113" s="359" t="s">
        <v>425</v>
      </c>
      <c r="B113" s="346">
        <v>19.2</v>
      </c>
      <c r="C113" s="346">
        <v>797</v>
      </c>
      <c r="D113" s="345">
        <v>534</v>
      </c>
      <c r="E113" s="363">
        <v>9</v>
      </c>
      <c r="F113" s="363"/>
      <c r="G113" s="346">
        <v>0.41</v>
      </c>
      <c r="H113" s="346">
        <v>34.299999999999997</v>
      </c>
      <c r="I113" s="346">
        <f>H113*0.61</f>
        <v>20.922999999999998</v>
      </c>
      <c r="J113" s="346">
        <f>H113*0.27</f>
        <v>9.2609999999999992</v>
      </c>
      <c r="K113" s="346">
        <f>H113*0.2</f>
        <v>6.8599999999999994</v>
      </c>
      <c r="L113" s="346">
        <f t="shared" si="2"/>
        <v>373.79999999999995</v>
      </c>
      <c r="M113" s="346">
        <v>0</v>
      </c>
      <c r="N113" s="346">
        <v>0</v>
      </c>
      <c r="O113" s="346">
        <f t="shared" si="3"/>
        <v>534</v>
      </c>
      <c r="P113" s="346">
        <v>0</v>
      </c>
      <c r="Q113" s="346">
        <v>36</v>
      </c>
      <c r="R113" s="346">
        <v>26.3</v>
      </c>
      <c r="S113" s="346">
        <v>7.7</v>
      </c>
      <c r="T113" s="346">
        <v>25.9</v>
      </c>
      <c r="U113" s="346">
        <v>11</v>
      </c>
      <c r="V113" s="346">
        <v>41</v>
      </c>
      <c r="W113" s="346">
        <v>15</v>
      </c>
      <c r="X113" s="346">
        <v>0.5</v>
      </c>
      <c r="Y113" s="346">
        <v>125</v>
      </c>
      <c r="Z113" s="346">
        <v>4</v>
      </c>
      <c r="AA113" s="346">
        <v>500</v>
      </c>
      <c r="AB113" s="346">
        <v>400</v>
      </c>
      <c r="AC113" s="346">
        <v>1</v>
      </c>
      <c r="AD113" s="346">
        <v>400</v>
      </c>
      <c r="AE113" s="346">
        <v>30</v>
      </c>
      <c r="AF113" s="346">
        <v>3300</v>
      </c>
      <c r="AG113" s="346">
        <v>800</v>
      </c>
      <c r="AH113" s="346">
        <v>30</v>
      </c>
      <c r="AI113" s="346">
        <v>20</v>
      </c>
    </row>
    <row r="114" spans="1:35">
      <c r="A114" s="359" t="s">
        <v>425</v>
      </c>
      <c r="B114" s="346"/>
      <c r="C114" s="346"/>
      <c r="D114" s="345">
        <v>641</v>
      </c>
      <c r="E114" s="363">
        <v>9</v>
      </c>
      <c r="F114" s="363"/>
      <c r="G114" s="346"/>
      <c r="H114" s="346"/>
      <c r="I114" s="346"/>
      <c r="J114" s="346"/>
      <c r="K114" s="346"/>
      <c r="L114" s="346">
        <f t="shared" si="2"/>
        <v>448.7</v>
      </c>
      <c r="M114" s="346"/>
      <c r="N114" s="346"/>
      <c r="O114" s="346">
        <f t="shared" si="3"/>
        <v>641</v>
      </c>
      <c r="P114" s="346"/>
      <c r="Q114" s="346"/>
      <c r="R114" s="346"/>
      <c r="S114" s="346"/>
      <c r="T114" s="346"/>
      <c r="U114" s="346"/>
      <c r="V114" s="346"/>
      <c r="W114" s="346"/>
      <c r="X114" s="346"/>
      <c r="Y114" s="346"/>
      <c r="Z114" s="346"/>
      <c r="AA114" s="346"/>
      <c r="AB114" s="346"/>
      <c r="AC114" s="346"/>
      <c r="AD114" s="346"/>
      <c r="AE114" s="346"/>
      <c r="AF114" s="346"/>
      <c r="AG114" s="346"/>
      <c r="AH114" s="346"/>
      <c r="AI114" s="346"/>
    </row>
    <row r="115" spans="1:35">
      <c r="A115" s="360" t="s">
        <v>40</v>
      </c>
      <c r="B115" s="346">
        <v>8.6999999999999993</v>
      </c>
      <c r="C115" s="346">
        <v>316</v>
      </c>
      <c r="D115" s="345">
        <v>200</v>
      </c>
      <c r="E115" s="363"/>
      <c r="F115" s="363"/>
      <c r="G115" s="346">
        <v>0</v>
      </c>
      <c r="H115" s="346">
        <v>13.6</v>
      </c>
      <c r="I115" s="346">
        <f>H115*0.61</f>
        <v>8.2959999999999994</v>
      </c>
      <c r="J115" s="346">
        <f>H115*0.27</f>
        <v>3.6720000000000002</v>
      </c>
      <c r="K115" s="346">
        <f>H115*0.2</f>
        <v>2.72</v>
      </c>
      <c r="L115" s="346">
        <f t="shared" si="2"/>
        <v>140</v>
      </c>
      <c r="M115" s="346">
        <v>0</v>
      </c>
      <c r="N115" s="346">
        <v>0</v>
      </c>
      <c r="O115" s="346">
        <f t="shared" si="3"/>
        <v>200</v>
      </c>
      <c r="P115" s="346">
        <v>0</v>
      </c>
      <c r="Q115" s="346">
        <v>12</v>
      </c>
      <c r="R115" s="346">
        <v>7.2</v>
      </c>
      <c r="S115" s="346"/>
      <c r="T115" s="346"/>
      <c r="U115" s="346"/>
      <c r="V115" s="346"/>
      <c r="W115" s="346"/>
      <c r="X115" s="346"/>
      <c r="Y115" s="346"/>
      <c r="Z115" s="346"/>
      <c r="AA115" s="346"/>
      <c r="AB115" s="346"/>
      <c r="AC115" s="346"/>
      <c r="AD115" s="346"/>
      <c r="AE115" s="346"/>
      <c r="AF115" s="346"/>
      <c r="AG115" s="346"/>
      <c r="AH115" s="346"/>
      <c r="AI115" s="346"/>
    </row>
    <row r="116" spans="1:35">
      <c r="A116" s="360" t="s">
        <v>40</v>
      </c>
      <c r="B116" s="346">
        <v>17.399999999999999</v>
      </c>
      <c r="C116" s="346">
        <v>631</v>
      </c>
      <c r="D116" s="345">
        <v>400</v>
      </c>
      <c r="E116" s="363"/>
      <c r="F116" s="363"/>
      <c r="G116" s="346">
        <v>0</v>
      </c>
      <c r="H116" s="346">
        <v>27.1</v>
      </c>
      <c r="I116" s="346">
        <f>H116*0.61</f>
        <v>16.530999999999999</v>
      </c>
      <c r="J116" s="346">
        <f>H116*0.27</f>
        <v>7.3170000000000011</v>
      </c>
      <c r="K116" s="346">
        <f>H116*0.2</f>
        <v>5.4200000000000008</v>
      </c>
      <c r="L116" s="346">
        <f t="shared" si="2"/>
        <v>280</v>
      </c>
      <c r="M116" s="346">
        <v>0</v>
      </c>
      <c r="N116" s="346">
        <v>0</v>
      </c>
      <c r="O116" s="346">
        <f t="shared" si="3"/>
        <v>400</v>
      </c>
      <c r="P116" s="346">
        <v>0</v>
      </c>
      <c r="Q116" s="346">
        <v>24</v>
      </c>
      <c r="R116" s="346">
        <v>14.4</v>
      </c>
      <c r="S116" s="346"/>
      <c r="T116" s="346"/>
      <c r="U116" s="346"/>
      <c r="V116" s="346"/>
      <c r="W116" s="346"/>
      <c r="X116" s="346"/>
      <c r="Y116" s="346"/>
      <c r="Z116" s="346"/>
      <c r="AA116" s="346"/>
      <c r="AB116" s="346"/>
      <c r="AC116" s="346"/>
      <c r="AD116" s="346"/>
      <c r="AE116" s="346"/>
      <c r="AF116" s="346"/>
      <c r="AG116" s="346"/>
      <c r="AH116" s="346"/>
      <c r="AI116" s="346"/>
    </row>
    <row r="117" spans="1:35">
      <c r="A117" s="360" t="s">
        <v>40</v>
      </c>
      <c r="B117" s="346">
        <v>21.8</v>
      </c>
      <c r="C117" s="346">
        <v>789</v>
      </c>
      <c r="D117" s="345">
        <v>500</v>
      </c>
      <c r="E117" s="363"/>
      <c r="F117" s="363"/>
      <c r="G117" s="346">
        <v>0</v>
      </c>
      <c r="H117" s="346">
        <v>33.9</v>
      </c>
      <c r="I117" s="346">
        <f>H117*0.61</f>
        <v>20.678999999999998</v>
      </c>
      <c r="J117" s="346">
        <f>H117*0.27</f>
        <v>9.1530000000000005</v>
      </c>
      <c r="K117" s="346">
        <f>H117*0.2</f>
        <v>6.78</v>
      </c>
      <c r="L117" s="346">
        <f t="shared" si="2"/>
        <v>350</v>
      </c>
      <c r="M117" s="346">
        <v>0</v>
      </c>
      <c r="N117" s="346">
        <v>0</v>
      </c>
      <c r="O117" s="346">
        <f t="shared" si="3"/>
        <v>500</v>
      </c>
      <c r="P117" s="346">
        <v>0</v>
      </c>
      <c r="Q117" s="346">
        <v>30</v>
      </c>
      <c r="R117" s="346">
        <v>18</v>
      </c>
      <c r="S117" s="346">
        <v>9.5</v>
      </c>
      <c r="T117" s="346">
        <v>28.5</v>
      </c>
      <c r="U117" s="346">
        <v>13.9</v>
      </c>
      <c r="V117" s="346">
        <v>46.6</v>
      </c>
      <c r="W117" s="346">
        <v>15</v>
      </c>
      <c r="X117" s="346">
        <v>0.5</v>
      </c>
      <c r="Y117" s="346">
        <v>100</v>
      </c>
      <c r="Z117" s="346">
        <v>3.5</v>
      </c>
      <c r="AA117" s="346">
        <v>400</v>
      </c>
      <c r="AB117" s="346">
        <v>400</v>
      </c>
      <c r="AC117" s="346">
        <v>1</v>
      </c>
      <c r="AD117" s="346">
        <v>400</v>
      </c>
      <c r="AE117" s="346">
        <v>22.5</v>
      </c>
      <c r="AF117" s="346">
        <v>3300</v>
      </c>
      <c r="AG117" s="346">
        <v>800</v>
      </c>
      <c r="AH117" s="346">
        <v>30</v>
      </c>
      <c r="AI117" s="346">
        <v>20</v>
      </c>
    </row>
    <row r="118" spans="1:35">
      <c r="A118" s="360" t="s">
        <v>40</v>
      </c>
      <c r="B118" s="346"/>
      <c r="C118" s="346"/>
      <c r="D118" s="345">
        <v>600</v>
      </c>
      <c r="E118" s="363"/>
      <c r="F118" s="363"/>
      <c r="G118" s="346">
        <v>0</v>
      </c>
      <c r="H118" s="346"/>
      <c r="I118" s="346"/>
      <c r="J118" s="346"/>
      <c r="K118" s="346"/>
      <c r="L118" s="346">
        <f t="shared" si="2"/>
        <v>420</v>
      </c>
      <c r="M118" s="346"/>
      <c r="N118" s="346"/>
      <c r="O118" s="346">
        <f t="shared" si="3"/>
        <v>600</v>
      </c>
      <c r="P118" s="346"/>
      <c r="Q118" s="346"/>
      <c r="R118" s="346"/>
      <c r="S118" s="346"/>
      <c r="T118" s="346"/>
      <c r="U118" s="346"/>
      <c r="V118" s="346"/>
      <c r="W118" s="346"/>
      <c r="X118" s="346"/>
      <c r="Y118" s="346"/>
      <c r="Z118" s="346"/>
      <c r="AA118" s="346"/>
      <c r="AB118" s="346"/>
      <c r="AC118" s="346"/>
      <c r="AD118" s="346"/>
      <c r="AE118" s="346"/>
      <c r="AF118" s="346"/>
      <c r="AG118" s="346"/>
      <c r="AH118" s="346"/>
      <c r="AI118" s="346"/>
    </row>
    <row r="119" spans="1:35">
      <c r="A119" s="360" t="s">
        <v>39</v>
      </c>
      <c r="B119" s="346">
        <v>7.3</v>
      </c>
      <c r="C119" s="346">
        <v>288</v>
      </c>
      <c r="D119" s="345">
        <v>200</v>
      </c>
      <c r="E119" s="363"/>
      <c r="F119" s="363"/>
      <c r="G119" s="346">
        <v>0</v>
      </c>
      <c r="H119" s="346">
        <v>12.4</v>
      </c>
      <c r="I119" s="346">
        <f>H119*0.61</f>
        <v>7.5640000000000001</v>
      </c>
      <c r="J119" s="346">
        <f>H119*0.27</f>
        <v>3.3480000000000003</v>
      </c>
      <c r="K119" s="346">
        <f>H119*0.2</f>
        <v>2.4800000000000004</v>
      </c>
      <c r="L119" s="346">
        <f t="shared" si="2"/>
        <v>140</v>
      </c>
      <c r="M119" s="346">
        <v>0</v>
      </c>
      <c r="N119" s="346">
        <v>0</v>
      </c>
      <c r="O119" s="346">
        <f t="shared" si="3"/>
        <v>200</v>
      </c>
      <c r="P119" s="346">
        <v>0</v>
      </c>
      <c r="Q119" s="346">
        <v>8</v>
      </c>
      <c r="R119" s="346">
        <v>5.6</v>
      </c>
      <c r="S119" s="346"/>
      <c r="T119" s="346"/>
      <c r="U119" s="346"/>
      <c r="V119" s="346"/>
      <c r="W119" s="346"/>
      <c r="X119" s="346"/>
      <c r="Y119" s="346"/>
      <c r="Z119" s="346"/>
      <c r="AA119" s="346"/>
      <c r="AB119" s="346"/>
      <c r="AC119" s="346"/>
      <c r="AD119" s="346"/>
      <c r="AE119" s="346"/>
      <c r="AF119" s="346"/>
      <c r="AG119" s="346"/>
      <c r="AH119" s="346"/>
      <c r="AI119" s="346"/>
    </row>
    <row r="120" spans="1:35">
      <c r="A120" s="360" t="s">
        <v>39</v>
      </c>
      <c r="B120" s="346">
        <v>14.5</v>
      </c>
      <c r="C120" s="346">
        <v>576</v>
      </c>
      <c r="D120" s="345">
        <v>400</v>
      </c>
      <c r="E120" s="363"/>
      <c r="F120" s="363"/>
      <c r="G120" s="346">
        <v>0</v>
      </c>
      <c r="H120" s="346">
        <v>24.8</v>
      </c>
      <c r="I120" s="346">
        <f>H120*0.61</f>
        <v>15.128</v>
      </c>
      <c r="J120" s="346">
        <f>H120*0.27</f>
        <v>6.6960000000000006</v>
      </c>
      <c r="K120" s="346">
        <f>H120*0.2</f>
        <v>4.9600000000000009</v>
      </c>
      <c r="L120" s="346">
        <f t="shared" si="2"/>
        <v>280</v>
      </c>
      <c r="M120" s="346">
        <v>0</v>
      </c>
      <c r="N120" s="346">
        <v>0</v>
      </c>
      <c r="O120" s="346">
        <f t="shared" si="3"/>
        <v>400</v>
      </c>
      <c r="P120" s="346">
        <v>0</v>
      </c>
      <c r="Q120" s="346">
        <v>16</v>
      </c>
      <c r="R120" s="346">
        <v>11.2</v>
      </c>
      <c r="S120" s="346"/>
      <c r="T120" s="346"/>
      <c r="U120" s="346"/>
      <c r="V120" s="346"/>
      <c r="W120" s="346"/>
      <c r="X120" s="346"/>
      <c r="Y120" s="346"/>
      <c r="Z120" s="346"/>
      <c r="AA120" s="346"/>
      <c r="AB120" s="346"/>
      <c r="AC120" s="346"/>
      <c r="AD120" s="346"/>
      <c r="AE120" s="346"/>
      <c r="AF120" s="346"/>
      <c r="AG120" s="346"/>
      <c r="AH120" s="346"/>
      <c r="AI120" s="346"/>
    </row>
    <row r="121" spans="1:35">
      <c r="A121" s="360" t="s">
        <v>39</v>
      </c>
      <c r="B121" s="346">
        <v>18.2</v>
      </c>
      <c r="C121" s="346">
        <v>720</v>
      </c>
      <c r="D121" s="345">
        <v>500</v>
      </c>
      <c r="E121" s="363"/>
      <c r="F121" s="363"/>
      <c r="G121" s="346">
        <v>0</v>
      </c>
      <c r="H121" s="346">
        <v>31</v>
      </c>
      <c r="I121" s="346">
        <f>H121*0.61</f>
        <v>18.91</v>
      </c>
      <c r="J121" s="346">
        <f>H121*0.27</f>
        <v>8.370000000000001</v>
      </c>
      <c r="K121" s="346">
        <f>H121*0.2</f>
        <v>6.2</v>
      </c>
      <c r="L121" s="346">
        <f t="shared" si="2"/>
        <v>350</v>
      </c>
      <c r="M121" s="346">
        <v>0</v>
      </c>
      <c r="N121" s="346">
        <v>0</v>
      </c>
      <c r="O121" s="346">
        <f t="shared" si="3"/>
        <v>500</v>
      </c>
      <c r="P121" s="346">
        <v>0</v>
      </c>
      <c r="Q121" s="346">
        <v>20</v>
      </c>
      <c r="R121" s="346">
        <v>14</v>
      </c>
      <c r="S121" s="346">
        <v>7.5</v>
      </c>
      <c r="T121" s="346">
        <v>25</v>
      </c>
      <c r="U121" s="346">
        <v>10</v>
      </c>
      <c r="V121" s="346">
        <v>40</v>
      </c>
      <c r="W121" s="346">
        <v>15</v>
      </c>
      <c r="X121" s="346">
        <v>0.5</v>
      </c>
      <c r="Y121" s="346">
        <v>100</v>
      </c>
      <c r="Z121" s="346">
        <v>3.5</v>
      </c>
      <c r="AA121" s="346">
        <v>400</v>
      </c>
      <c r="AB121" s="346">
        <v>400</v>
      </c>
      <c r="AC121" s="346">
        <v>1</v>
      </c>
      <c r="AD121" s="346">
        <v>400</v>
      </c>
      <c r="AE121" s="346">
        <v>15</v>
      </c>
      <c r="AF121" s="346">
        <v>3300</v>
      </c>
      <c r="AG121" s="346">
        <v>500</v>
      </c>
      <c r="AH121" s="346">
        <v>30</v>
      </c>
      <c r="AI121" s="346">
        <v>20</v>
      </c>
    </row>
    <row r="122" spans="1:35">
      <c r="A122" s="360" t="s">
        <v>39</v>
      </c>
      <c r="B122" s="346"/>
      <c r="C122" s="346"/>
      <c r="D122" s="345">
        <v>600</v>
      </c>
      <c r="E122" s="363"/>
      <c r="F122" s="363"/>
      <c r="G122" s="346">
        <v>0</v>
      </c>
      <c r="H122" s="346"/>
      <c r="I122" s="346"/>
      <c r="J122" s="346"/>
      <c r="K122" s="346"/>
      <c r="L122" s="346">
        <f t="shared" si="2"/>
        <v>420</v>
      </c>
      <c r="M122" s="346"/>
      <c r="N122" s="346"/>
      <c r="O122" s="346">
        <f t="shared" si="3"/>
        <v>600</v>
      </c>
      <c r="P122" s="346"/>
      <c r="Q122" s="346"/>
      <c r="R122" s="346"/>
      <c r="S122" s="346"/>
      <c r="T122" s="346"/>
      <c r="U122" s="346"/>
      <c r="V122" s="346"/>
      <c r="W122" s="346"/>
      <c r="X122" s="346"/>
      <c r="Y122" s="346"/>
      <c r="Z122" s="346"/>
      <c r="AA122" s="346"/>
      <c r="AB122" s="346"/>
      <c r="AC122" s="346"/>
      <c r="AD122" s="346"/>
      <c r="AE122" s="346"/>
      <c r="AF122" s="346"/>
      <c r="AG122" s="346"/>
      <c r="AH122" s="346"/>
      <c r="AI122" s="346"/>
    </row>
    <row r="123" spans="1:35">
      <c r="A123" s="359" t="s">
        <v>428</v>
      </c>
      <c r="B123" s="346">
        <v>9.3000000000000007</v>
      </c>
      <c r="C123" s="346">
        <v>307</v>
      </c>
      <c r="D123" s="345">
        <v>200</v>
      </c>
      <c r="E123" s="363"/>
      <c r="F123" s="364" t="s">
        <v>419</v>
      </c>
      <c r="G123" s="346">
        <v>0</v>
      </c>
      <c r="H123" s="346">
        <v>12</v>
      </c>
      <c r="I123" s="346">
        <f>H123*0.61</f>
        <v>7.32</v>
      </c>
      <c r="J123" s="346">
        <f>H123*0.27</f>
        <v>3.24</v>
      </c>
      <c r="K123" s="346">
        <f>H123*0.2</f>
        <v>2.4000000000000004</v>
      </c>
      <c r="L123" s="346">
        <f t="shared" si="2"/>
        <v>140</v>
      </c>
      <c r="M123" s="346">
        <v>0</v>
      </c>
      <c r="N123" s="346">
        <v>0</v>
      </c>
      <c r="O123" s="346">
        <f t="shared" si="3"/>
        <v>200</v>
      </c>
      <c r="P123" s="346">
        <v>0</v>
      </c>
      <c r="Q123" s="346">
        <v>12</v>
      </c>
      <c r="R123" s="346">
        <v>7.2</v>
      </c>
      <c r="S123" s="346"/>
      <c r="T123" s="346"/>
      <c r="U123" s="346"/>
      <c r="V123" s="346"/>
      <c r="W123" s="346"/>
      <c r="X123" s="346"/>
      <c r="Y123" s="346"/>
      <c r="Z123" s="346"/>
      <c r="AA123" s="346"/>
      <c r="AB123" s="346"/>
      <c r="AC123" s="346"/>
      <c r="AD123" s="346"/>
      <c r="AE123" s="346"/>
      <c r="AF123" s="346"/>
      <c r="AG123" s="346"/>
      <c r="AH123" s="346"/>
      <c r="AI123" s="346"/>
    </row>
    <row r="124" spans="1:35">
      <c r="A124" s="359" t="s">
        <v>428</v>
      </c>
      <c r="B124" s="346">
        <v>18.600000000000001</v>
      </c>
      <c r="C124" s="346">
        <v>614</v>
      </c>
      <c r="D124" s="345">
        <v>400</v>
      </c>
      <c r="E124" s="363"/>
      <c r="F124" s="364" t="s">
        <v>419</v>
      </c>
      <c r="G124" s="346">
        <v>0</v>
      </c>
      <c r="H124" s="346">
        <v>24.1</v>
      </c>
      <c r="I124" s="346">
        <f>H124*0.61</f>
        <v>14.701000000000001</v>
      </c>
      <c r="J124" s="346">
        <f>H124*0.27</f>
        <v>6.5070000000000006</v>
      </c>
      <c r="K124" s="346">
        <f>H124*0.2</f>
        <v>4.82</v>
      </c>
      <c r="L124" s="346">
        <f t="shared" si="2"/>
        <v>280</v>
      </c>
      <c r="M124" s="346">
        <v>0</v>
      </c>
      <c r="N124" s="346">
        <v>0</v>
      </c>
      <c r="O124" s="346">
        <f t="shared" si="3"/>
        <v>400</v>
      </c>
      <c r="P124" s="346">
        <v>0</v>
      </c>
      <c r="Q124" s="346">
        <v>14</v>
      </c>
      <c r="R124" s="346">
        <v>14.4</v>
      </c>
      <c r="S124" s="346"/>
      <c r="T124" s="346"/>
      <c r="U124" s="346"/>
      <c r="V124" s="346"/>
      <c r="W124" s="346"/>
      <c r="X124" s="346"/>
      <c r="Y124" s="346"/>
      <c r="Z124" s="346"/>
      <c r="AA124" s="346"/>
      <c r="AB124" s="346"/>
      <c r="AC124" s="346"/>
      <c r="AD124" s="346"/>
      <c r="AE124" s="346"/>
      <c r="AF124" s="346"/>
      <c r="AG124" s="346"/>
      <c r="AH124" s="346"/>
      <c r="AI124" s="346"/>
    </row>
    <row r="125" spans="1:35">
      <c r="A125" s="359" t="s">
        <v>428</v>
      </c>
      <c r="B125" s="346">
        <v>20</v>
      </c>
      <c r="C125" s="346">
        <v>699</v>
      </c>
      <c r="D125" s="345">
        <v>500</v>
      </c>
      <c r="E125" s="363"/>
      <c r="F125" s="364" t="s">
        <v>419</v>
      </c>
      <c r="G125" s="346">
        <v>0</v>
      </c>
      <c r="H125" s="346">
        <v>37.1</v>
      </c>
      <c r="I125" s="346">
        <f>H125*0.61</f>
        <v>22.631</v>
      </c>
      <c r="J125" s="346">
        <f>H125*0.27</f>
        <v>10.017000000000001</v>
      </c>
      <c r="K125" s="346">
        <f>H125*0.2</f>
        <v>7.4200000000000008</v>
      </c>
      <c r="L125" s="346">
        <f t="shared" si="2"/>
        <v>350</v>
      </c>
      <c r="M125" s="346">
        <v>0</v>
      </c>
      <c r="N125" s="346">
        <v>0</v>
      </c>
      <c r="O125" s="346">
        <f t="shared" si="3"/>
        <v>500</v>
      </c>
      <c r="P125" s="346">
        <v>0</v>
      </c>
      <c r="Q125" s="346">
        <v>40</v>
      </c>
      <c r="R125" s="346">
        <v>29</v>
      </c>
      <c r="S125" s="346">
        <v>15</v>
      </c>
      <c r="T125" s="346">
        <v>39</v>
      </c>
      <c r="U125" s="346">
        <v>25.5</v>
      </c>
      <c r="V125" s="346">
        <v>66.5</v>
      </c>
      <c r="W125" s="346">
        <v>18.8</v>
      </c>
      <c r="X125" s="346">
        <v>0.6</v>
      </c>
      <c r="Y125" s="346">
        <v>125</v>
      </c>
      <c r="Z125" s="346">
        <v>4.4000000000000004</v>
      </c>
      <c r="AA125" s="346">
        <v>500</v>
      </c>
      <c r="AB125" s="346">
        <v>500</v>
      </c>
      <c r="AC125" s="346">
        <v>1.25</v>
      </c>
      <c r="AD125" s="346">
        <v>500</v>
      </c>
      <c r="AE125" s="346">
        <v>22.5</v>
      </c>
      <c r="AF125" s="346">
        <v>3300</v>
      </c>
      <c r="AG125" s="346">
        <v>1000</v>
      </c>
      <c r="AH125" s="346">
        <v>62.5</v>
      </c>
      <c r="AI125" s="346">
        <v>25</v>
      </c>
    </row>
    <row r="126" spans="1:35">
      <c r="A126" s="359" t="s">
        <v>428</v>
      </c>
      <c r="B126" s="346"/>
      <c r="C126" s="346"/>
      <c r="D126" s="345">
        <v>600</v>
      </c>
      <c r="E126" s="363"/>
      <c r="F126" s="364" t="s">
        <v>419</v>
      </c>
      <c r="G126" s="346">
        <v>0</v>
      </c>
      <c r="H126" s="346"/>
      <c r="I126" s="346"/>
      <c r="J126" s="346"/>
      <c r="K126" s="346"/>
      <c r="L126" s="346">
        <f t="shared" si="2"/>
        <v>420</v>
      </c>
      <c r="M126" s="346"/>
      <c r="N126" s="346"/>
      <c r="O126" s="346">
        <f t="shared" si="3"/>
        <v>600</v>
      </c>
      <c r="P126" s="346"/>
      <c r="Q126" s="346"/>
      <c r="R126" s="346"/>
      <c r="S126" s="346"/>
      <c r="T126" s="346"/>
      <c r="U126" s="346"/>
      <c r="V126" s="346"/>
      <c r="W126" s="346"/>
      <c r="X126" s="346"/>
      <c r="Y126" s="346"/>
      <c r="Z126" s="346"/>
      <c r="AA126" s="346"/>
      <c r="AB126" s="346"/>
      <c r="AC126" s="346"/>
      <c r="AD126" s="346"/>
      <c r="AE126" s="346"/>
      <c r="AF126" s="346"/>
      <c r="AG126" s="346"/>
      <c r="AH126" s="346"/>
      <c r="AI126" s="346"/>
    </row>
    <row r="127" spans="1:35">
      <c r="A127" s="359" t="s">
        <v>428</v>
      </c>
      <c r="B127" s="346" t="s">
        <v>66</v>
      </c>
      <c r="C127" s="346">
        <v>345</v>
      </c>
      <c r="D127" s="345">
        <v>200</v>
      </c>
      <c r="E127" s="363"/>
      <c r="F127" s="363" t="s">
        <v>420</v>
      </c>
      <c r="G127" s="346">
        <v>0</v>
      </c>
      <c r="H127" s="346">
        <v>13.2</v>
      </c>
      <c r="I127" s="346">
        <f>H127*0.61</f>
        <v>8.0519999999999996</v>
      </c>
      <c r="J127" s="346">
        <f>H127*0.27</f>
        <v>3.5640000000000001</v>
      </c>
      <c r="K127" s="346">
        <f>H127*0.2</f>
        <v>2.64</v>
      </c>
      <c r="L127" s="346">
        <f t="shared" si="2"/>
        <v>140</v>
      </c>
      <c r="M127" s="346">
        <v>0</v>
      </c>
      <c r="N127" s="346">
        <v>0</v>
      </c>
      <c r="O127" s="346">
        <f t="shared" si="3"/>
        <v>200</v>
      </c>
      <c r="P127" s="346">
        <v>0</v>
      </c>
      <c r="Q127" s="346">
        <v>14</v>
      </c>
      <c r="R127" s="346">
        <v>8.4</v>
      </c>
      <c r="S127" s="346"/>
      <c r="T127" s="346"/>
      <c r="U127" s="346"/>
      <c r="V127" s="346"/>
      <c r="W127" s="346"/>
      <c r="X127" s="346"/>
      <c r="Y127" s="346"/>
      <c r="Z127" s="346"/>
      <c r="AA127" s="346"/>
      <c r="AB127" s="346"/>
      <c r="AC127" s="346"/>
      <c r="AD127" s="346"/>
      <c r="AE127" s="346"/>
      <c r="AF127" s="346"/>
      <c r="AG127" s="346"/>
      <c r="AH127" s="346"/>
      <c r="AI127" s="346"/>
    </row>
    <row r="128" spans="1:35">
      <c r="A128" s="359" t="s">
        <v>428</v>
      </c>
      <c r="B128" s="346">
        <v>21.3</v>
      </c>
      <c r="C128" s="346">
        <v>689</v>
      </c>
      <c r="D128" s="345">
        <v>400</v>
      </c>
      <c r="E128" s="363"/>
      <c r="F128" s="363" t="s">
        <v>420</v>
      </c>
      <c r="G128" s="346">
        <v>0</v>
      </c>
      <c r="H128" s="346">
        <v>26.4</v>
      </c>
      <c r="I128" s="346">
        <f>H128*0.61</f>
        <v>16.103999999999999</v>
      </c>
      <c r="J128" s="346">
        <f>H128*0.27</f>
        <v>7.1280000000000001</v>
      </c>
      <c r="K128" s="346">
        <f>H128*0.2</f>
        <v>5.28</v>
      </c>
      <c r="L128" s="346">
        <f t="shared" si="2"/>
        <v>280</v>
      </c>
      <c r="M128" s="346">
        <v>0</v>
      </c>
      <c r="N128" s="346">
        <v>0</v>
      </c>
      <c r="O128" s="346">
        <f t="shared" si="3"/>
        <v>400</v>
      </c>
      <c r="P128" s="346">
        <v>0</v>
      </c>
      <c r="Q128" s="346">
        <v>18</v>
      </c>
      <c r="R128" s="346">
        <v>16.8</v>
      </c>
      <c r="S128" s="346"/>
      <c r="T128" s="346"/>
      <c r="U128" s="346"/>
      <c r="V128" s="346"/>
      <c r="W128" s="346"/>
      <c r="X128" s="346"/>
      <c r="Y128" s="346"/>
      <c r="Z128" s="346"/>
      <c r="AA128" s="346"/>
      <c r="AB128" s="346"/>
      <c r="AC128" s="346"/>
      <c r="AD128" s="346"/>
      <c r="AE128" s="346"/>
      <c r="AF128" s="346"/>
      <c r="AG128" s="346"/>
      <c r="AH128" s="346"/>
      <c r="AI128" s="346"/>
    </row>
    <row r="129" spans="1:35">
      <c r="A129" s="359" t="s">
        <v>428</v>
      </c>
      <c r="B129" s="346">
        <v>23.3</v>
      </c>
      <c r="C129" s="346">
        <v>768</v>
      </c>
      <c r="D129" s="345">
        <v>500</v>
      </c>
      <c r="E129" s="363"/>
      <c r="F129" s="363" t="s">
        <v>420</v>
      </c>
      <c r="G129" s="346">
        <v>0</v>
      </c>
      <c r="H129" s="346">
        <v>30.1</v>
      </c>
      <c r="I129" s="346">
        <f>H129*0.61</f>
        <v>18.361000000000001</v>
      </c>
      <c r="J129" s="346">
        <f>H129*0.27</f>
        <v>8.1270000000000007</v>
      </c>
      <c r="K129" s="346">
        <f>H129*0.2</f>
        <v>6.0200000000000005</v>
      </c>
      <c r="L129" s="346">
        <f t="shared" si="2"/>
        <v>350</v>
      </c>
      <c r="M129" s="346">
        <v>0</v>
      </c>
      <c r="N129" s="346">
        <v>0</v>
      </c>
      <c r="O129" s="346">
        <f t="shared" si="3"/>
        <v>500</v>
      </c>
      <c r="P129" s="346">
        <v>0</v>
      </c>
      <c r="Q129" s="346">
        <v>30</v>
      </c>
      <c r="R129" s="346">
        <v>18</v>
      </c>
      <c r="S129" s="346">
        <v>9.5</v>
      </c>
      <c r="T129" s="346">
        <v>28.5</v>
      </c>
      <c r="U129" s="346">
        <v>13.9</v>
      </c>
      <c r="V129" s="346">
        <v>46.6</v>
      </c>
      <c r="W129" s="346">
        <v>15</v>
      </c>
      <c r="X129" s="346">
        <v>0.5</v>
      </c>
      <c r="Y129" s="346">
        <v>100</v>
      </c>
      <c r="Z129" s="346">
        <v>3.5</v>
      </c>
      <c r="AA129" s="346">
        <v>400</v>
      </c>
      <c r="AB129" s="346">
        <v>400</v>
      </c>
      <c r="AC129" s="346">
        <v>1</v>
      </c>
      <c r="AD129" s="346">
        <v>400</v>
      </c>
      <c r="AE129" s="346">
        <v>22.5</v>
      </c>
      <c r="AF129" s="346">
        <v>3300</v>
      </c>
      <c r="AG129" s="346">
        <v>800</v>
      </c>
      <c r="AH129" s="346">
        <v>30</v>
      </c>
      <c r="AI129" s="346">
        <v>20</v>
      </c>
    </row>
    <row r="130" spans="1:35">
      <c r="A130" s="359" t="s">
        <v>428</v>
      </c>
      <c r="B130" s="346"/>
      <c r="C130" s="346"/>
      <c r="D130" s="345">
        <v>600</v>
      </c>
      <c r="E130" s="363"/>
      <c r="F130" s="363" t="s">
        <v>420</v>
      </c>
      <c r="G130" s="346">
        <v>0</v>
      </c>
      <c r="H130" s="346"/>
      <c r="I130" s="346"/>
      <c r="J130" s="346"/>
      <c r="K130" s="346"/>
      <c r="L130" s="346">
        <f t="shared" si="2"/>
        <v>420</v>
      </c>
      <c r="M130" s="346"/>
      <c r="N130" s="346"/>
      <c r="O130" s="346">
        <f t="shared" si="3"/>
        <v>600</v>
      </c>
      <c r="P130" s="346"/>
      <c r="Q130" s="346"/>
      <c r="R130" s="346"/>
      <c r="S130" s="346"/>
      <c r="T130" s="346"/>
      <c r="U130" s="346"/>
      <c r="V130" s="346"/>
      <c r="W130" s="346"/>
      <c r="X130" s="346"/>
      <c r="Y130" s="346"/>
      <c r="Z130" s="346"/>
      <c r="AA130" s="346"/>
      <c r="AB130" s="346"/>
      <c r="AC130" s="346"/>
      <c r="AD130" s="346"/>
      <c r="AE130" s="346"/>
      <c r="AF130" s="346"/>
      <c r="AG130" s="346"/>
      <c r="AH130" s="346"/>
      <c r="AI130" s="346"/>
    </row>
    <row r="131" spans="1:35">
      <c r="A131" s="359" t="s">
        <v>428</v>
      </c>
      <c r="B131" s="346">
        <v>8</v>
      </c>
      <c r="C131" s="346">
        <v>80</v>
      </c>
      <c r="D131" s="345">
        <v>200</v>
      </c>
      <c r="E131" s="363"/>
      <c r="F131" s="364" t="s">
        <v>421</v>
      </c>
      <c r="G131" s="346">
        <v>0</v>
      </c>
      <c r="H131" s="346">
        <v>14.8</v>
      </c>
      <c r="I131" s="346">
        <f>H131*0.61</f>
        <v>9.0280000000000005</v>
      </c>
      <c r="J131" s="346">
        <f>H131*0.27</f>
        <v>3.9960000000000004</v>
      </c>
      <c r="K131" s="346">
        <f>H131*0.2</f>
        <v>2.9600000000000004</v>
      </c>
      <c r="L131" s="346">
        <f t="shared" si="2"/>
        <v>140</v>
      </c>
      <c r="M131" s="346">
        <v>0</v>
      </c>
      <c r="N131" s="346">
        <v>0</v>
      </c>
      <c r="O131" s="346">
        <f t="shared" si="3"/>
        <v>200</v>
      </c>
      <c r="P131" s="346">
        <v>0</v>
      </c>
      <c r="Q131" s="346">
        <v>16</v>
      </c>
      <c r="R131" s="346">
        <v>11.6</v>
      </c>
      <c r="S131" s="346"/>
      <c r="T131" s="346"/>
      <c r="U131" s="346"/>
      <c r="V131" s="346"/>
      <c r="W131" s="346"/>
      <c r="X131" s="346"/>
      <c r="Y131" s="346"/>
      <c r="Z131" s="346"/>
      <c r="AA131" s="346"/>
      <c r="AB131" s="346"/>
      <c r="AC131" s="346"/>
      <c r="AD131" s="346"/>
      <c r="AE131" s="346"/>
      <c r="AF131" s="346"/>
      <c r="AG131" s="346"/>
      <c r="AH131" s="346"/>
      <c r="AI131" s="346"/>
    </row>
    <row r="132" spans="1:35">
      <c r="A132" s="359" t="s">
        <v>428</v>
      </c>
      <c r="B132" s="346">
        <v>16</v>
      </c>
      <c r="C132" s="346">
        <v>559</v>
      </c>
      <c r="D132" s="345">
        <v>400</v>
      </c>
      <c r="E132" s="363"/>
      <c r="F132" s="364" t="s">
        <v>421</v>
      </c>
      <c r="G132" s="346">
        <v>0</v>
      </c>
      <c r="H132" s="346">
        <v>29.6</v>
      </c>
      <c r="I132" s="346">
        <f>H132*0.61</f>
        <v>18.056000000000001</v>
      </c>
      <c r="J132" s="346">
        <f>H132*0.27</f>
        <v>7.9920000000000009</v>
      </c>
      <c r="K132" s="346">
        <f>H132*0.2</f>
        <v>5.9200000000000008</v>
      </c>
      <c r="L132" s="346">
        <f t="shared" ref="L132:L138" si="4">D132*0.7</f>
        <v>280</v>
      </c>
      <c r="M132" s="346">
        <v>0</v>
      </c>
      <c r="N132" s="346">
        <v>0</v>
      </c>
      <c r="O132" s="346">
        <f t="shared" ref="O132:O138" si="5">(D132*0.1%)*1000</f>
        <v>400</v>
      </c>
      <c r="P132" s="346">
        <v>0</v>
      </c>
      <c r="Q132" s="346">
        <v>32</v>
      </c>
      <c r="R132" s="346">
        <v>23.2</v>
      </c>
      <c r="S132" s="346"/>
      <c r="T132" s="346"/>
      <c r="U132" s="346"/>
      <c r="V132" s="346"/>
      <c r="W132" s="346"/>
      <c r="X132" s="346"/>
      <c r="Y132" s="346"/>
      <c r="Z132" s="346"/>
      <c r="AA132" s="346"/>
      <c r="AB132" s="346"/>
      <c r="AC132" s="346"/>
      <c r="AD132" s="346"/>
      <c r="AE132" s="346"/>
      <c r="AF132" s="346"/>
      <c r="AG132" s="346"/>
      <c r="AH132" s="346"/>
      <c r="AI132" s="346"/>
    </row>
    <row r="133" spans="1:35">
      <c r="A133" s="359" t="s">
        <v>428</v>
      </c>
      <c r="B133" s="346">
        <v>26.6</v>
      </c>
      <c r="C133" s="346">
        <v>862</v>
      </c>
      <c r="D133" s="345">
        <v>500</v>
      </c>
      <c r="E133" s="363"/>
      <c r="F133" s="364" t="s">
        <v>421</v>
      </c>
      <c r="G133" s="346">
        <v>0</v>
      </c>
      <c r="H133" s="346">
        <v>33</v>
      </c>
      <c r="I133" s="346">
        <f>H133*0.61</f>
        <v>20.13</v>
      </c>
      <c r="J133" s="346">
        <f>H133*0.27</f>
        <v>8.91</v>
      </c>
      <c r="K133" s="346">
        <f>H133*0.2</f>
        <v>6.6000000000000005</v>
      </c>
      <c r="L133" s="346">
        <f t="shared" si="4"/>
        <v>350</v>
      </c>
      <c r="M133" s="346">
        <v>0</v>
      </c>
      <c r="N133" s="346">
        <v>0</v>
      </c>
      <c r="O133" s="346">
        <f t="shared" si="5"/>
        <v>500</v>
      </c>
      <c r="P133" s="346">
        <v>0</v>
      </c>
      <c r="Q133" s="346">
        <v>35</v>
      </c>
      <c r="R133" s="346">
        <v>21</v>
      </c>
      <c r="S133" s="346">
        <v>11.5</v>
      </c>
      <c r="T133" s="346">
        <v>32</v>
      </c>
      <c r="U133" s="346">
        <v>17.8</v>
      </c>
      <c r="V133" s="346">
        <v>53.3</v>
      </c>
      <c r="W133" s="346">
        <v>16.899999999999999</v>
      </c>
      <c r="X133" s="346">
        <v>0.6</v>
      </c>
      <c r="Y133" s="346">
        <v>112.5</v>
      </c>
      <c r="Z133" s="346">
        <v>4</v>
      </c>
      <c r="AA133" s="346">
        <v>450</v>
      </c>
      <c r="AB133" s="346">
        <v>450</v>
      </c>
      <c r="AC133" s="346">
        <v>1.1299999999999999</v>
      </c>
      <c r="AD133" s="346">
        <v>450</v>
      </c>
      <c r="AE133" s="346">
        <v>22.5</v>
      </c>
      <c r="AF133" s="346">
        <v>3300</v>
      </c>
      <c r="AG133" s="346">
        <v>900</v>
      </c>
      <c r="AH133" s="346">
        <v>46.3</v>
      </c>
      <c r="AI133" s="346">
        <v>22.5</v>
      </c>
    </row>
    <row r="134" spans="1:35">
      <c r="A134" s="359" t="s">
        <v>428</v>
      </c>
      <c r="B134" s="346"/>
      <c r="C134" s="346"/>
      <c r="D134" s="345">
        <v>600</v>
      </c>
      <c r="E134" s="363"/>
      <c r="F134" s="364" t="s">
        <v>421</v>
      </c>
      <c r="G134" s="346">
        <v>0</v>
      </c>
      <c r="H134" s="346"/>
      <c r="I134" s="346"/>
      <c r="J134" s="346"/>
      <c r="K134" s="346"/>
      <c r="L134" s="346">
        <f t="shared" si="4"/>
        <v>420</v>
      </c>
      <c r="M134" s="346"/>
      <c r="N134" s="346"/>
      <c r="O134" s="346">
        <f t="shared" si="5"/>
        <v>600</v>
      </c>
      <c r="P134" s="346"/>
      <c r="Q134" s="346"/>
      <c r="R134" s="346"/>
      <c r="S134" s="346"/>
      <c r="T134" s="346"/>
      <c r="U134" s="346"/>
      <c r="V134" s="346"/>
      <c r="W134" s="346"/>
      <c r="X134" s="346"/>
      <c r="Y134" s="346"/>
      <c r="Z134" s="346"/>
      <c r="AA134" s="346"/>
      <c r="AB134" s="346"/>
      <c r="AC134" s="346"/>
      <c r="AD134" s="346"/>
      <c r="AE134" s="346"/>
      <c r="AF134" s="346"/>
      <c r="AG134" s="346"/>
      <c r="AH134" s="346"/>
      <c r="AI134" s="346"/>
    </row>
    <row r="135" spans="1:35">
      <c r="A135" s="359" t="s">
        <v>428</v>
      </c>
      <c r="B135" s="346">
        <v>13.8</v>
      </c>
      <c r="C135" s="346">
        <v>402</v>
      </c>
      <c r="D135" s="345">
        <v>200</v>
      </c>
      <c r="E135" s="363"/>
      <c r="F135" s="363" t="s">
        <v>423</v>
      </c>
      <c r="G135" s="346">
        <v>0</v>
      </c>
      <c r="H135" s="346">
        <v>17.3</v>
      </c>
      <c r="I135" s="346">
        <f>H135*0.61</f>
        <v>10.553000000000001</v>
      </c>
      <c r="J135" s="346">
        <f>H135*0.27</f>
        <v>4.6710000000000003</v>
      </c>
      <c r="K135" s="346">
        <f>H135*0.2</f>
        <v>3.4600000000000004</v>
      </c>
      <c r="L135" s="346">
        <f t="shared" si="4"/>
        <v>140</v>
      </c>
      <c r="M135" s="346">
        <v>0</v>
      </c>
      <c r="N135" s="346">
        <v>0</v>
      </c>
      <c r="O135" s="346">
        <f t="shared" si="5"/>
        <v>200</v>
      </c>
      <c r="P135" s="346">
        <v>0</v>
      </c>
      <c r="Q135" s="346">
        <v>16</v>
      </c>
      <c r="R135" s="346">
        <v>11.6</v>
      </c>
      <c r="S135" s="346"/>
      <c r="T135" s="346"/>
      <c r="U135" s="346"/>
      <c r="V135" s="346"/>
      <c r="W135" s="346"/>
      <c r="X135" s="346"/>
      <c r="Y135" s="346"/>
      <c r="Z135" s="346"/>
      <c r="AA135" s="346"/>
      <c r="AB135" s="346"/>
      <c r="AC135" s="346"/>
      <c r="AD135" s="346"/>
      <c r="AE135" s="346"/>
      <c r="AF135" s="346"/>
      <c r="AG135" s="346"/>
      <c r="AH135" s="346"/>
      <c r="AI135" s="346"/>
    </row>
    <row r="136" spans="1:35">
      <c r="A136" s="359" t="s">
        <v>428</v>
      </c>
      <c r="B136" s="346">
        <v>27.6</v>
      </c>
      <c r="C136" s="346">
        <v>804</v>
      </c>
      <c r="D136" s="345">
        <v>400</v>
      </c>
      <c r="E136" s="363"/>
      <c r="F136" s="363" t="s">
        <v>423</v>
      </c>
      <c r="G136" s="17">
        <v>0</v>
      </c>
      <c r="H136" s="346">
        <v>34.6</v>
      </c>
      <c r="I136" s="346">
        <f>H136*0.61</f>
        <v>21.106000000000002</v>
      </c>
      <c r="J136" s="346">
        <f>H136*0.27</f>
        <v>9.3420000000000005</v>
      </c>
      <c r="K136" s="346">
        <f>H136*0.2</f>
        <v>6.9200000000000008</v>
      </c>
      <c r="L136" s="346">
        <f t="shared" si="4"/>
        <v>280</v>
      </c>
      <c r="M136" s="346">
        <v>0</v>
      </c>
      <c r="N136" s="346">
        <v>0</v>
      </c>
      <c r="O136" s="346">
        <f t="shared" si="5"/>
        <v>400</v>
      </c>
      <c r="P136" s="346">
        <v>0</v>
      </c>
      <c r="Q136" s="346">
        <v>32</v>
      </c>
      <c r="R136" s="346">
        <v>23.2</v>
      </c>
      <c r="S136" s="346"/>
      <c r="T136" s="346"/>
      <c r="U136" s="346"/>
      <c r="V136" s="346"/>
      <c r="W136" s="346"/>
      <c r="X136" s="346"/>
      <c r="Y136" s="346"/>
      <c r="Z136" s="346"/>
      <c r="AA136" s="346"/>
      <c r="AB136" s="346"/>
      <c r="AC136" s="346"/>
      <c r="AD136" s="346"/>
      <c r="AE136" s="346"/>
      <c r="AF136" s="346"/>
      <c r="AG136" s="346"/>
      <c r="AH136" s="346"/>
      <c r="AI136" s="346"/>
    </row>
    <row r="137" spans="1:35">
      <c r="A137" s="359" t="s">
        <v>428</v>
      </c>
      <c r="B137" s="346">
        <v>34.5</v>
      </c>
      <c r="C137" s="346">
        <v>1004</v>
      </c>
      <c r="D137" s="345">
        <v>500</v>
      </c>
      <c r="E137" s="363"/>
      <c r="F137" s="363" t="s">
        <v>423</v>
      </c>
      <c r="G137" s="17">
        <v>0</v>
      </c>
      <c r="H137" s="346">
        <v>43.2</v>
      </c>
      <c r="I137" s="346">
        <f>H137*0.61</f>
        <v>26.352</v>
      </c>
      <c r="J137" s="346">
        <f>H137*0.27</f>
        <v>11.664000000000001</v>
      </c>
      <c r="K137" s="346">
        <f>H137*0.2</f>
        <v>8.64</v>
      </c>
      <c r="L137" s="346">
        <f t="shared" si="4"/>
        <v>350</v>
      </c>
      <c r="M137" s="346">
        <v>0</v>
      </c>
      <c r="N137" s="346">
        <v>0</v>
      </c>
      <c r="O137" s="346">
        <f t="shared" si="5"/>
        <v>500</v>
      </c>
      <c r="P137" s="346">
        <v>0</v>
      </c>
      <c r="Q137" s="346">
        <v>40</v>
      </c>
      <c r="R137" s="346">
        <v>29</v>
      </c>
      <c r="S137" s="346">
        <v>15</v>
      </c>
      <c r="T137" s="346">
        <v>53</v>
      </c>
      <c r="U137" s="346">
        <v>41</v>
      </c>
      <c r="V137" s="346">
        <v>93</v>
      </c>
      <c r="W137" s="346">
        <v>18.8</v>
      </c>
      <c r="X137" s="346">
        <v>0.6</v>
      </c>
      <c r="Y137" s="346">
        <v>125</v>
      </c>
      <c r="Z137" s="346">
        <v>4.4000000000000004</v>
      </c>
      <c r="AA137" s="346">
        <v>500</v>
      </c>
      <c r="AB137" s="346">
        <v>500</v>
      </c>
      <c r="AC137" s="346">
        <v>1.25</v>
      </c>
      <c r="AD137" s="346">
        <v>500</v>
      </c>
      <c r="AE137" s="346">
        <v>22.5</v>
      </c>
      <c r="AF137" s="346">
        <v>3300</v>
      </c>
      <c r="AG137" s="346">
        <v>1000</v>
      </c>
      <c r="AH137" s="346">
        <v>62.5</v>
      </c>
      <c r="AI137" s="346">
        <v>25</v>
      </c>
    </row>
    <row r="138" spans="1:35">
      <c r="A138" s="359" t="s">
        <v>428</v>
      </c>
      <c r="B138" s="346"/>
      <c r="C138" s="346"/>
      <c r="D138" s="345">
        <v>600</v>
      </c>
      <c r="E138" s="363"/>
      <c r="F138" s="363" t="s">
        <v>423</v>
      </c>
      <c r="G138" s="17">
        <v>0</v>
      </c>
      <c r="H138" s="346"/>
      <c r="I138" s="346"/>
      <c r="J138" s="346"/>
      <c r="K138" s="346"/>
      <c r="L138" s="346">
        <f t="shared" si="4"/>
        <v>420</v>
      </c>
      <c r="M138" s="346"/>
      <c r="N138" s="346"/>
      <c r="O138" s="346">
        <f t="shared" si="5"/>
        <v>600</v>
      </c>
      <c r="P138" s="346"/>
      <c r="Q138" s="346"/>
      <c r="R138" s="346"/>
      <c r="S138" s="346"/>
      <c r="T138" s="346"/>
      <c r="U138" s="346"/>
      <c r="V138" s="346"/>
      <c r="W138" s="346"/>
      <c r="X138" s="346"/>
      <c r="Y138" s="346"/>
      <c r="Z138" s="346"/>
      <c r="AA138" s="346"/>
      <c r="AB138" s="346"/>
      <c r="AC138" s="346"/>
      <c r="AD138" s="346"/>
      <c r="AE138" s="346"/>
      <c r="AF138" s="346"/>
      <c r="AG138" s="346"/>
      <c r="AH138" s="346"/>
      <c r="AI138" s="346"/>
    </row>
  </sheetData>
  <mergeCells count="4">
    <mergeCell ref="D1:G1"/>
    <mergeCell ref="AN2:AO2"/>
    <mergeCell ref="A1:C1"/>
    <mergeCell ref="H1:AI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AC1000"/>
  <sheetViews>
    <sheetView showGridLines="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3.44140625" customWidth="1"/>
    <col min="5" max="5" width="10.44140625" customWidth="1"/>
    <col min="6" max="6" width="7.33203125" customWidth="1"/>
    <col min="7" max="7" width="9.44140625" customWidth="1"/>
    <col min="8" max="8" width="6.33203125" customWidth="1"/>
    <col min="9" max="9" width="34.88671875" customWidth="1"/>
    <col min="10" max="10" width="10.44140625" customWidth="1"/>
    <col min="11" max="11" width="10.33203125" customWidth="1"/>
    <col min="12" max="12" width="9" customWidth="1"/>
    <col min="13" max="14" width="10.44140625" customWidth="1"/>
    <col min="15" max="15" width="13" customWidth="1"/>
    <col min="16" max="16" width="12" customWidth="1"/>
    <col min="17" max="17" width="9.109375" customWidth="1"/>
    <col min="18" max="18" width="8.33203125" customWidth="1"/>
    <col min="19" max="19" width="9.6640625" customWidth="1"/>
    <col min="20" max="20" width="8.33203125" customWidth="1"/>
    <col min="21" max="21" width="9.44140625" customWidth="1"/>
    <col min="22" max="22" width="8.6640625" customWidth="1"/>
    <col min="23" max="23" width="8.109375" customWidth="1"/>
    <col min="24" max="25" width="7.109375" customWidth="1"/>
    <col min="26" max="26" width="7" customWidth="1"/>
    <col min="27" max="27" width="9.44140625" customWidth="1"/>
    <col min="28" max="28" width="8" customWidth="1"/>
    <col min="29" max="29" width="6.6640625" customWidth="1"/>
  </cols>
  <sheetData>
    <row r="1" spans="1:29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4.4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18">
      <c r="A3" s="14"/>
      <c r="B3" s="14"/>
      <c r="C3" s="14"/>
      <c r="D3" s="30" t="s">
        <v>262</v>
      </c>
      <c r="E3" s="31"/>
      <c r="F3" s="31"/>
      <c r="G3" s="31"/>
      <c r="H3" s="14"/>
      <c r="I3" s="19" t="s">
        <v>0</v>
      </c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14.4">
      <c r="A4" s="14"/>
      <c r="B4" s="14"/>
      <c r="C4" s="14"/>
      <c r="D4" s="32" t="s">
        <v>263</v>
      </c>
      <c r="E4" s="33"/>
      <c r="F4" s="33"/>
      <c r="G4" s="33"/>
      <c r="H4" s="14"/>
      <c r="I4" s="20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t="14.4">
      <c r="A5" s="14"/>
      <c r="B5" s="14"/>
      <c r="C5" s="14"/>
      <c r="D5" s="34" t="s">
        <v>264</v>
      </c>
      <c r="E5" s="34"/>
      <c r="F5" s="35"/>
      <c r="G5" s="36">
        <v>14</v>
      </c>
      <c r="H5" s="37"/>
      <c r="I5" s="20"/>
      <c r="J5" s="37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ht="14.4">
      <c r="A6" s="14"/>
      <c r="B6" s="14"/>
      <c r="C6" s="14"/>
      <c r="D6" s="38" t="s">
        <v>265</v>
      </c>
      <c r="E6" s="38"/>
      <c r="F6" s="39"/>
      <c r="G6" s="40">
        <v>34.700000000000003</v>
      </c>
      <c r="H6" s="37"/>
      <c r="I6" s="20"/>
      <c r="J6" s="37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ht="14.4">
      <c r="A7" s="14"/>
      <c r="B7" s="14"/>
      <c r="C7" s="14"/>
      <c r="D7" s="38" t="s">
        <v>266</v>
      </c>
      <c r="E7" s="38"/>
      <c r="F7" s="39"/>
      <c r="G7" s="40">
        <v>67.900000000000006</v>
      </c>
      <c r="H7" s="37"/>
      <c r="I7" s="20"/>
      <c r="J7" s="37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ht="14.4">
      <c r="A8" s="14"/>
      <c r="B8" s="14"/>
      <c r="C8" s="14"/>
      <c r="D8" s="38" t="s">
        <v>267</v>
      </c>
      <c r="E8" s="38"/>
      <c r="F8" s="39"/>
      <c r="G8" s="40">
        <v>1.7</v>
      </c>
      <c r="H8" s="37"/>
      <c r="I8" s="20"/>
      <c r="J8" s="37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ht="14.4">
      <c r="A9" s="14"/>
      <c r="B9" s="14"/>
      <c r="C9" s="14"/>
      <c r="D9" s="41" t="s">
        <v>268</v>
      </c>
      <c r="E9" s="41"/>
      <c r="F9" s="42"/>
      <c r="G9" s="40">
        <v>6.8</v>
      </c>
      <c r="H9" s="43"/>
      <c r="I9" s="20"/>
      <c r="J9" s="4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4.4">
      <c r="A10" s="14"/>
      <c r="B10" s="14"/>
      <c r="C10" s="14"/>
      <c r="D10" s="44" t="s">
        <v>269</v>
      </c>
      <c r="E10" s="44"/>
      <c r="F10" s="45"/>
      <c r="G10" s="46">
        <v>9.6</v>
      </c>
      <c r="H10" s="14"/>
      <c r="I10" s="20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ht="18">
      <c r="A11" s="29"/>
      <c r="B11" s="29"/>
      <c r="C11" s="29"/>
      <c r="D11" s="47" t="s">
        <v>270</v>
      </c>
      <c r="E11" s="48"/>
      <c r="F11" s="48"/>
      <c r="G11" s="49">
        <f>2.118+(0.01218*G5)-(0.00937*G6)-(0.00383*(G7-G6))+(0.04718*G8)+(0.02035*G9)-(0.0262*G10)</f>
        <v>1.803291</v>
      </c>
      <c r="H11" s="50"/>
      <c r="I11" s="2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</row>
    <row r="12" spans="1:29" ht="14.4">
      <c r="A12" s="29"/>
      <c r="B12" s="29"/>
      <c r="C12" s="29"/>
      <c r="D12" s="51"/>
      <c r="E12" s="29"/>
      <c r="F12" s="29"/>
      <c r="G12" s="52"/>
      <c r="H12" s="50"/>
      <c r="I12" s="2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</row>
    <row r="13" spans="1:29" ht="14.4">
      <c r="A13" s="29"/>
      <c r="B13" s="29"/>
      <c r="C13" s="29"/>
      <c r="D13" s="51"/>
      <c r="E13" s="29"/>
      <c r="F13" s="29"/>
      <c r="G13" s="29"/>
      <c r="H13" s="50"/>
      <c r="I13" s="2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</row>
    <row r="14" spans="1:29" ht="14.4">
      <c r="A14" s="29"/>
      <c r="B14" s="29"/>
      <c r="C14" s="29"/>
      <c r="D14" s="53" t="s">
        <v>271</v>
      </c>
      <c r="E14" s="31"/>
      <c r="F14" s="31"/>
      <c r="G14" s="31"/>
      <c r="H14" s="50"/>
      <c r="I14" s="2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</row>
    <row r="15" spans="1:29" ht="14.4">
      <c r="A15" s="29"/>
      <c r="B15" s="29"/>
      <c r="C15" s="29"/>
      <c r="D15" s="54" t="s">
        <v>272</v>
      </c>
      <c r="E15" s="55"/>
      <c r="F15" s="55"/>
      <c r="G15" s="55"/>
      <c r="H15" s="50"/>
      <c r="I15" s="2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</row>
    <row r="16" spans="1:29" ht="14.4">
      <c r="A16" s="29"/>
      <c r="B16" s="29"/>
      <c r="C16" s="29"/>
      <c r="D16" s="38" t="s">
        <v>265</v>
      </c>
      <c r="E16" s="56"/>
      <c r="F16" s="57"/>
      <c r="G16" s="58">
        <v>34.700000000000003</v>
      </c>
      <c r="H16" s="50"/>
      <c r="I16" s="2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</row>
    <row r="17" spans="1:29" ht="14.4">
      <c r="A17" s="29"/>
      <c r="B17" s="29"/>
      <c r="C17" s="29"/>
      <c r="D17" s="59" t="s">
        <v>264</v>
      </c>
      <c r="E17" s="60"/>
      <c r="F17" s="61"/>
      <c r="G17" s="46">
        <v>14</v>
      </c>
      <c r="H17" s="50"/>
      <c r="I17" s="2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</row>
    <row r="18" spans="1:29" ht="18">
      <c r="A18" s="29"/>
      <c r="B18" s="29"/>
      <c r="C18" s="29"/>
      <c r="D18" s="62" t="s">
        <v>270</v>
      </c>
      <c r="E18" s="63"/>
      <c r="F18" s="64"/>
      <c r="G18" s="65">
        <f>4.22-(0.11*G16)+0.0332*(G17)+0.00112*(POWER(G16,2))</f>
        <v>2.2163807999999996</v>
      </c>
      <c r="H18" s="50"/>
      <c r="I18" s="2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</row>
    <row r="19" spans="1:29" ht="14.4">
      <c r="A19" s="29"/>
      <c r="B19" s="29"/>
      <c r="C19" s="29"/>
      <c r="D19" s="66"/>
      <c r="E19" s="67"/>
      <c r="F19" s="67"/>
      <c r="G19" s="67"/>
      <c r="H19" s="50"/>
      <c r="I19" s="2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</row>
    <row r="20" spans="1:29" ht="14.4">
      <c r="A20" s="29"/>
      <c r="B20" s="29"/>
      <c r="C20" s="29"/>
      <c r="D20" s="51"/>
      <c r="E20" s="29"/>
      <c r="F20" s="29"/>
      <c r="G20" s="29"/>
      <c r="H20" s="50"/>
      <c r="I20" s="2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</row>
    <row r="21" spans="1:29" ht="15.75" customHeight="1">
      <c r="A21" s="29"/>
      <c r="B21" s="29"/>
      <c r="C21" s="29"/>
      <c r="D21" s="53" t="s">
        <v>273</v>
      </c>
      <c r="E21" s="68"/>
      <c r="F21" s="68"/>
      <c r="G21" s="68"/>
      <c r="H21" s="50"/>
      <c r="I21" s="2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</row>
    <row r="22" spans="1:29" ht="15.75" customHeight="1">
      <c r="A22" s="29"/>
      <c r="B22" s="29"/>
      <c r="C22" s="29"/>
      <c r="D22" s="54" t="s">
        <v>272</v>
      </c>
      <c r="E22" s="55"/>
      <c r="F22" s="55"/>
      <c r="G22" s="55"/>
      <c r="H22" s="50"/>
      <c r="I22" s="2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</row>
    <row r="23" spans="1:29" ht="15.75" customHeight="1">
      <c r="A23" s="29"/>
      <c r="B23" s="29"/>
      <c r="C23" s="29"/>
      <c r="D23" s="59" t="s">
        <v>265</v>
      </c>
      <c r="E23" s="69"/>
      <c r="F23" s="70"/>
      <c r="G23" s="71">
        <v>34.700000000000003</v>
      </c>
      <c r="H23" s="50"/>
      <c r="I23" s="2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</row>
    <row r="24" spans="1:29" ht="15.75" customHeight="1">
      <c r="A24" s="29"/>
      <c r="B24" s="29"/>
      <c r="C24" s="29"/>
      <c r="D24" s="62" t="s">
        <v>270</v>
      </c>
      <c r="E24" s="63"/>
      <c r="F24" s="64"/>
      <c r="G24" s="65">
        <f>4.07-(0.055*G23)</f>
        <v>2.1615000000000002</v>
      </c>
      <c r="H24" s="50"/>
      <c r="I24" s="2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</row>
    <row r="25" spans="1:29" ht="15.75" customHeight="1">
      <c r="A25" s="29"/>
      <c r="B25" s="29"/>
      <c r="C25" s="29"/>
      <c r="D25" s="29"/>
      <c r="E25" s="29"/>
      <c r="F25" s="29"/>
      <c r="G25" s="29"/>
      <c r="H25" s="50"/>
      <c r="I25" s="2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</row>
    <row r="26" spans="1:29" ht="15.75" customHeight="1">
      <c r="A26" s="29"/>
      <c r="B26" s="29"/>
      <c r="C26" s="29"/>
      <c r="D26" s="29"/>
      <c r="E26" s="29"/>
      <c r="F26" s="29"/>
      <c r="G26" s="29"/>
      <c r="H26" s="50"/>
      <c r="I26" s="2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</row>
    <row r="27" spans="1:29" ht="15.75" customHeight="1">
      <c r="A27" s="29"/>
      <c r="B27" s="29"/>
      <c r="C27" s="29"/>
      <c r="D27" s="29"/>
      <c r="E27" s="29"/>
      <c r="F27" s="29"/>
      <c r="G27" s="29"/>
      <c r="H27" s="50"/>
      <c r="I27" s="2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</row>
    <row r="28" spans="1:29" ht="15.75" customHeight="1">
      <c r="A28" s="29"/>
      <c r="B28" s="29"/>
      <c r="C28" s="29"/>
      <c r="D28" s="29"/>
      <c r="E28" s="29"/>
      <c r="F28" s="29"/>
      <c r="G28" s="29"/>
      <c r="H28" s="50"/>
      <c r="I28" s="2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</row>
    <row r="29" spans="1:29" ht="15.75" customHeight="1">
      <c r="A29" s="29"/>
      <c r="B29" s="29"/>
      <c r="C29" s="29"/>
      <c r="D29" s="29"/>
      <c r="E29" s="29"/>
      <c r="F29" s="29"/>
      <c r="G29" s="29"/>
      <c r="H29" s="50"/>
      <c r="I29" s="21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</row>
    <row r="30" spans="1:29" ht="15.75" customHeight="1">
      <c r="A30" s="29"/>
      <c r="B30" s="29"/>
      <c r="C30" s="29"/>
      <c r="D30" s="29"/>
      <c r="E30" s="29"/>
      <c r="F30" s="29"/>
      <c r="G30" s="29"/>
      <c r="H30" s="50"/>
      <c r="I30" s="21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</row>
    <row r="31" spans="1:29" ht="15.75" customHeight="1">
      <c r="A31" s="29"/>
      <c r="B31" s="29"/>
      <c r="C31" s="29"/>
      <c r="D31" s="29"/>
      <c r="E31" s="29"/>
      <c r="F31" s="29"/>
      <c r="G31" s="29"/>
      <c r="H31" s="50"/>
      <c r="I31" s="21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</row>
    <row r="32" spans="1:29" ht="15.75" customHeight="1">
      <c r="A32" s="29"/>
      <c r="B32" s="29"/>
      <c r="C32" s="29"/>
      <c r="D32" s="29"/>
      <c r="E32" s="29"/>
      <c r="F32" s="29"/>
      <c r="G32" s="29"/>
      <c r="H32" s="50"/>
      <c r="I32" s="21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</row>
    <row r="33" spans="1:29" ht="15.75" customHeight="1">
      <c r="A33" s="29"/>
      <c r="B33" s="29"/>
      <c r="C33" s="29"/>
      <c r="D33" s="15"/>
      <c r="E33" s="15"/>
      <c r="F33" s="50"/>
      <c r="G33" s="50"/>
      <c r="H33" s="50"/>
      <c r="I33" s="22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</row>
    <row r="34" spans="1:29" ht="15.75" customHeight="1">
      <c r="A34" s="29"/>
      <c r="B34" s="29"/>
      <c r="C34" s="29"/>
      <c r="D34" s="15"/>
      <c r="E34" s="15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</row>
    <row r="35" spans="1:29" ht="15.75" customHeight="1">
      <c r="A35" s="29"/>
      <c r="B35" s="29"/>
      <c r="C35" s="29"/>
      <c r="D35" s="15"/>
      <c r="E35" s="15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</row>
    <row r="36" spans="1:29" ht="15.75" customHeight="1">
      <c r="A36" s="29"/>
      <c r="B36" s="29"/>
      <c r="C36" s="29"/>
      <c r="D36" s="15"/>
      <c r="E36" s="15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</row>
    <row r="37" spans="1:29" ht="15.75" customHeight="1">
      <c r="A37" s="29"/>
      <c r="B37" s="29"/>
      <c r="C37" s="29"/>
      <c r="D37" s="15"/>
      <c r="E37" s="15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</row>
    <row r="38" spans="1:29" ht="15.75" customHeight="1">
      <c r="A38" s="29"/>
      <c r="B38" s="29"/>
      <c r="C38" s="29"/>
      <c r="D38" s="15"/>
      <c r="E38" s="15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</row>
    <row r="39" spans="1:29" ht="15.75" customHeight="1">
      <c r="A39" s="29"/>
      <c r="B39" s="29"/>
      <c r="C39" s="29"/>
      <c r="D39" s="15"/>
      <c r="E39" s="15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</row>
    <row r="40" spans="1:29" ht="15.75" customHeight="1">
      <c r="A40" s="29"/>
      <c r="B40" s="29"/>
      <c r="C40" s="29"/>
      <c r="D40" s="15"/>
      <c r="E40" s="15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</row>
    <row r="41" spans="1:29" ht="15.75" customHeight="1">
      <c r="A41" s="29"/>
      <c r="B41" s="29"/>
      <c r="C41" s="29"/>
      <c r="D41" s="15"/>
      <c r="E41" s="15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</row>
    <row r="42" spans="1:29" ht="15.75" customHeight="1">
      <c r="A42" s="29"/>
      <c r="B42" s="29"/>
      <c r="C42" s="29"/>
      <c r="D42" s="15"/>
      <c r="E42" s="15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</row>
    <row r="43" spans="1:29" ht="15.75" customHeight="1">
      <c r="A43" s="29"/>
      <c r="B43" s="29"/>
      <c r="C43" s="29"/>
      <c r="D43" s="15"/>
      <c r="E43" s="15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</row>
    <row r="44" spans="1:29" ht="15.75" customHeight="1">
      <c r="A44" s="29"/>
      <c r="B44" s="29"/>
      <c r="C44" s="29"/>
      <c r="D44" s="15"/>
      <c r="E44" s="15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</row>
    <row r="45" spans="1:29" ht="15.75" customHeight="1">
      <c r="A45" s="29"/>
      <c r="B45" s="29"/>
      <c r="C45" s="29"/>
      <c r="D45" s="15"/>
      <c r="E45" s="15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</row>
    <row r="46" spans="1:29" ht="15.75" customHeight="1">
      <c r="A46" s="29"/>
      <c r="B46" s="29"/>
      <c r="C46" s="29"/>
      <c r="D46" s="15"/>
      <c r="E46" s="15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</row>
    <row r="47" spans="1:29" ht="15.75" customHeight="1">
      <c r="A47" s="29"/>
      <c r="B47" s="29"/>
      <c r="C47" s="29"/>
      <c r="D47" s="15"/>
      <c r="E47" s="15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</row>
    <row r="48" spans="1:29" ht="15.75" customHeight="1">
      <c r="A48" s="29"/>
      <c r="B48" s="29"/>
      <c r="C48" s="29"/>
      <c r="D48" s="15"/>
      <c r="E48" s="15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</row>
    <row r="49" spans="1:29" ht="15.75" customHeight="1">
      <c r="A49" s="29"/>
      <c r="B49" s="29"/>
      <c r="C49" s="29"/>
      <c r="D49" s="15"/>
      <c r="E49" s="15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</row>
    <row r="50" spans="1:29" ht="15.75" customHeight="1">
      <c r="A50" s="29"/>
      <c r="B50" s="29"/>
      <c r="C50" s="29"/>
      <c r="D50" s="15"/>
      <c r="E50" s="15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</row>
    <row r="51" spans="1:29" ht="15.75" customHeight="1">
      <c r="A51" s="29"/>
      <c r="B51" s="29"/>
      <c r="C51" s="29"/>
      <c r="D51" s="15"/>
      <c r="E51" s="15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</row>
    <row r="52" spans="1:29" ht="15.75" customHeight="1">
      <c r="A52" s="29"/>
      <c r="B52" s="29"/>
      <c r="C52" s="29"/>
      <c r="D52" s="15"/>
      <c r="E52" s="15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</row>
    <row r="53" spans="1:29" ht="15.75" customHeight="1">
      <c r="A53" s="29"/>
      <c r="B53" s="29"/>
      <c r="C53" s="29"/>
      <c r="D53" s="15"/>
      <c r="E53" s="15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</row>
    <row r="54" spans="1:29" ht="15.75" customHeight="1">
      <c r="A54" s="29"/>
      <c r="B54" s="29"/>
      <c r="C54" s="29"/>
      <c r="D54" s="15"/>
      <c r="E54" s="15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</row>
    <row r="55" spans="1:29" ht="15.75" customHeight="1">
      <c r="A55" s="29"/>
      <c r="B55" s="29"/>
      <c r="C55" s="29"/>
      <c r="D55" s="15"/>
      <c r="E55" s="15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</row>
    <row r="56" spans="1:29" ht="15.75" customHeight="1">
      <c r="A56" s="29"/>
      <c r="B56" s="29"/>
      <c r="C56" s="29"/>
      <c r="D56" s="15"/>
      <c r="E56" s="15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</row>
    <row r="57" spans="1:29" ht="15.75" customHeight="1">
      <c r="A57" s="29"/>
      <c r="B57" s="29"/>
      <c r="C57" s="29"/>
      <c r="D57" s="15"/>
      <c r="E57" s="15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</row>
    <row r="58" spans="1:29" ht="15.75" customHeight="1">
      <c r="A58" s="29"/>
      <c r="B58" s="29"/>
      <c r="C58" s="29"/>
      <c r="D58" s="15"/>
      <c r="E58" s="15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</row>
    <row r="59" spans="1:29" ht="15.75" customHeight="1">
      <c r="A59" s="29"/>
      <c r="B59" s="29"/>
      <c r="C59" s="29"/>
      <c r="D59" s="15"/>
      <c r="E59" s="15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</row>
    <row r="60" spans="1:29" ht="15.75" customHeight="1">
      <c r="A60" s="29"/>
      <c r="B60" s="29"/>
      <c r="C60" s="29"/>
      <c r="D60" s="15"/>
      <c r="E60" s="15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</row>
    <row r="61" spans="1:29" ht="15.75" customHeight="1">
      <c r="A61" s="29"/>
      <c r="B61" s="29"/>
      <c r="C61" s="29"/>
      <c r="D61" s="15"/>
      <c r="E61" s="15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</row>
    <row r="62" spans="1:29" ht="15.75" customHeight="1">
      <c r="A62" s="29"/>
      <c r="B62" s="29"/>
      <c r="C62" s="29"/>
      <c r="D62" s="15"/>
      <c r="E62" s="15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</row>
    <row r="63" spans="1:29" ht="15.75" customHeight="1">
      <c r="A63" s="29"/>
      <c r="B63" s="29"/>
      <c r="C63" s="29"/>
      <c r="D63" s="15"/>
      <c r="E63" s="15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</row>
    <row r="64" spans="1:29" ht="15.75" customHeight="1">
      <c r="A64" s="29"/>
      <c r="B64" s="29"/>
      <c r="C64" s="29"/>
      <c r="D64" s="15"/>
      <c r="E64" s="15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</row>
    <row r="65" spans="1:29" ht="15.75" customHeight="1">
      <c r="A65" s="29"/>
      <c r="B65" s="29"/>
      <c r="C65" s="29"/>
      <c r="D65" s="15"/>
      <c r="E65" s="15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</row>
    <row r="66" spans="1:29" ht="15.75" customHeight="1">
      <c r="A66" s="29"/>
      <c r="B66" s="29"/>
      <c r="C66" s="29"/>
      <c r="D66" s="15"/>
      <c r="E66" s="15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</row>
    <row r="67" spans="1:29" ht="15.75" customHeight="1">
      <c r="A67" s="29"/>
      <c r="B67" s="29"/>
      <c r="C67" s="29"/>
      <c r="D67" s="15"/>
      <c r="E67" s="15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</row>
    <row r="68" spans="1:29" ht="15.75" customHeight="1">
      <c r="A68" s="29"/>
      <c r="B68" s="29"/>
      <c r="C68" s="29"/>
      <c r="D68" s="15"/>
      <c r="E68" s="15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</row>
    <row r="69" spans="1:29" ht="15.75" customHeight="1">
      <c r="A69" s="29"/>
      <c r="B69" s="29"/>
      <c r="C69" s="29"/>
      <c r="D69" s="15"/>
      <c r="E69" s="15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</row>
    <row r="70" spans="1:29" ht="15.75" customHeight="1">
      <c r="A70" s="29"/>
      <c r="B70" s="29"/>
      <c r="C70" s="29"/>
      <c r="D70" s="15"/>
      <c r="E70" s="15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</row>
    <row r="71" spans="1:29" ht="15.75" customHeight="1">
      <c r="A71" s="29"/>
      <c r="B71" s="29"/>
      <c r="C71" s="29"/>
      <c r="D71" s="15"/>
      <c r="E71" s="15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</row>
    <row r="72" spans="1:29" ht="15.75" customHeight="1">
      <c r="A72" s="29"/>
      <c r="B72" s="29"/>
      <c r="C72" s="29"/>
      <c r="D72" s="15"/>
      <c r="E72" s="15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</row>
    <row r="73" spans="1:29" ht="15.75" customHeight="1">
      <c r="A73" s="29"/>
      <c r="B73" s="29"/>
      <c r="C73" s="29"/>
      <c r="D73" s="15"/>
      <c r="E73" s="15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</row>
    <row r="74" spans="1:29" ht="15.75" customHeight="1">
      <c r="A74" s="29"/>
      <c r="B74" s="29"/>
      <c r="C74" s="29"/>
      <c r="D74" s="14"/>
      <c r="E74" s="14"/>
      <c r="F74" s="14"/>
      <c r="G74" s="14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</row>
    <row r="75" spans="1:29" ht="15.75" customHeight="1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</row>
    <row r="76" spans="1:29" ht="15.75" customHeight="1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</row>
    <row r="77" spans="1:29" ht="15.75" customHeight="1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</row>
    <row r="78" spans="1:29" ht="15.75" customHeight="1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</row>
    <row r="79" spans="1:29" ht="15.75" customHeight="1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</row>
    <row r="80" spans="1:29" ht="15.75" customHeight="1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</row>
    <row r="81" spans="1:29" ht="15.75" customHeight="1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</row>
    <row r="82" spans="1:29" ht="15.75" customHeight="1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</row>
    <row r="83" spans="1:29" ht="15.75" customHeight="1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</row>
    <row r="84" spans="1:29" ht="15.75" customHeight="1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</row>
    <row r="85" spans="1:29" ht="15.75" customHeight="1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</row>
    <row r="86" spans="1:29" ht="15.75" customHeight="1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</row>
    <row r="87" spans="1:29" ht="15.75" customHeight="1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</row>
    <row r="88" spans="1:29" ht="15.75" customHeight="1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</row>
    <row r="89" spans="1:29" ht="15.75" customHeight="1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</row>
    <row r="90" spans="1:29" ht="15.75" customHeight="1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</row>
    <row r="91" spans="1:29" ht="15.75" customHeight="1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</row>
    <row r="92" spans="1:29" ht="15.75" customHeight="1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</row>
    <row r="93" spans="1:29" ht="15.75" customHeight="1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</row>
    <row r="94" spans="1:29" ht="15.75" customHeight="1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</row>
    <row r="95" spans="1:29" ht="15.75" customHeight="1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</row>
    <row r="96" spans="1:29" ht="15.75" customHeight="1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</row>
    <row r="97" spans="1:29" ht="15.75" customHeight="1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</row>
    <row r="98" spans="1:29" ht="15.75" customHeight="1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</row>
    <row r="99" spans="1:29" ht="15.75" customHeight="1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</row>
    <row r="100" spans="1:29" ht="15.75" customHeight="1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</row>
    <row r="101" spans="1:29" ht="15.75" customHeight="1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</row>
    <row r="102" spans="1:29" ht="15.75" customHeight="1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</row>
    <row r="103" spans="1:29" ht="15.75" customHeight="1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</row>
    <row r="104" spans="1:29" ht="15.75" customHeight="1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</row>
    <row r="105" spans="1:29" ht="15.75" customHeight="1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</row>
    <row r="106" spans="1:29" ht="15.75" customHeight="1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</row>
    <row r="107" spans="1:29" ht="15.75" customHeight="1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</row>
    <row r="108" spans="1:29" ht="15.75" customHeight="1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</row>
    <row r="109" spans="1:29" ht="15.75" customHeight="1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</row>
    <row r="110" spans="1:29" ht="15.75" customHeight="1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</row>
    <row r="111" spans="1:29" ht="15.75" customHeight="1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</row>
    <row r="112" spans="1:29" ht="15.75" customHeight="1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</row>
    <row r="113" spans="1:29" ht="15.75" customHeight="1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</row>
    <row r="114" spans="1:29" ht="15.75" customHeight="1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</row>
    <row r="115" spans="1:29" ht="15.75" customHeight="1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</row>
    <row r="116" spans="1:29" ht="15.75" customHeight="1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</row>
    <row r="117" spans="1:29" ht="15.75" customHeight="1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</row>
    <row r="118" spans="1:29" ht="15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</row>
    <row r="119" spans="1:29" ht="15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</row>
    <row r="120" spans="1:29" ht="15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</row>
    <row r="121" spans="1:29" ht="15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</row>
    <row r="122" spans="1:29" ht="15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</row>
    <row r="123" spans="1:29" ht="15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</row>
    <row r="124" spans="1:29" ht="15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</row>
    <row r="125" spans="1:29" ht="15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</row>
    <row r="126" spans="1:29" ht="15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</row>
    <row r="127" spans="1:29" ht="15.75" customHeight="1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</row>
    <row r="128" spans="1:29" ht="15.75" customHeight="1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</row>
    <row r="129" spans="1:29" ht="15.75" customHeight="1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</row>
    <row r="130" spans="1:29" ht="15.75" customHeight="1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</row>
    <row r="131" spans="1:29" ht="15.75" customHeight="1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</row>
    <row r="132" spans="1:29" ht="15.75" customHeight="1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</row>
    <row r="133" spans="1:29" ht="15.75" customHeight="1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</row>
    <row r="134" spans="1:29" ht="15.75" customHeight="1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</row>
    <row r="135" spans="1:29" ht="15.75" customHeight="1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</row>
    <row r="136" spans="1:29" ht="15.75" customHeight="1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</row>
    <row r="137" spans="1:29" ht="15.75" customHeight="1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</row>
    <row r="138" spans="1:29" ht="15.75" customHeight="1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</row>
    <row r="139" spans="1:29" ht="15.75" customHeight="1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</row>
    <row r="140" spans="1:29" ht="15.75" customHeight="1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</row>
    <row r="141" spans="1:29" ht="15.75" customHeight="1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</row>
    <row r="142" spans="1:29" ht="15.75" customHeight="1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</row>
    <row r="143" spans="1:29" ht="15.75" customHeight="1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</row>
    <row r="144" spans="1:29" ht="15.75" customHeight="1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</row>
    <row r="145" spans="1:29" ht="15.75" customHeight="1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</row>
    <row r="146" spans="1:29" ht="15.75" customHeight="1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</row>
    <row r="147" spans="1:29" ht="15.75" customHeight="1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</row>
    <row r="148" spans="1:29" ht="15.75" customHeight="1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</row>
    <row r="149" spans="1:29" ht="15.75" customHeight="1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</row>
    <row r="150" spans="1:29" ht="15.75" customHeight="1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</row>
    <row r="151" spans="1:29" ht="15.75" customHeight="1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</row>
    <row r="152" spans="1:29" ht="15.75" customHeight="1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</row>
    <row r="153" spans="1:29" ht="15.75" customHeight="1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</row>
    <row r="154" spans="1:29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</row>
    <row r="155" spans="1:29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</row>
    <row r="156" spans="1:29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</row>
    <row r="157" spans="1:29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</row>
    <row r="158" spans="1:29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</row>
    <row r="159" spans="1:29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</row>
    <row r="160" spans="1:29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</row>
    <row r="161" spans="1:29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</row>
    <row r="162" spans="1:29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</row>
    <row r="163" spans="1:29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</row>
    <row r="164" spans="1:29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</row>
    <row r="165" spans="1:29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</row>
    <row r="166" spans="1:29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</row>
    <row r="167" spans="1:29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</row>
    <row r="168" spans="1:29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</row>
    <row r="169" spans="1:29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</row>
    <row r="170" spans="1:29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</row>
    <row r="171" spans="1:29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</row>
    <row r="172" spans="1:29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</row>
    <row r="173" spans="1:29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</row>
    <row r="174" spans="1:29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</row>
    <row r="175" spans="1:29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</row>
    <row r="176" spans="1:29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</row>
    <row r="177" spans="1:29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</row>
    <row r="178" spans="1:29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</row>
    <row r="179" spans="1:29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</row>
    <row r="180" spans="1:29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</row>
    <row r="181" spans="1:29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</row>
    <row r="182" spans="1:29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</row>
    <row r="183" spans="1:29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</row>
    <row r="184" spans="1:29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</row>
    <row r="185" spans="1:29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</row>
    <row r="186" spans="1:29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</row>
    <row r="187" spans="1:29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</row>
    <row r="188" spans="1:29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</row>
    <row r="189" spans="1:29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</row>
    <row r="190" spans="1:29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</row>
    <row r="191" spans="1:29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</row>
    <row r="192" spans="1:29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</row>
    <row r="193" spans="1:29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</row>
    <row r="194" spans="1:29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</row>
    <row r="195" spans="1:29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</row>
    <row r="196" spans="1:29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</row>
    <row r="197" spans="1:29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</row>
    <row r="198" spans="1:29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</row>
    <row r="199" spans="1:29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</row>
    <row r="200" spans="1:29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</row>
    <row r="201" spans="1:29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</row>
    <row r="202" spans="1:29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</row>
    <row r="203" spans="1:29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</row>
    <row r="204" spans="1:29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</row>
    <row r="205" spans="1:29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</row>
    <row r="206" spans="1:29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</row>
    <row r="207" spans="1:29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</row>
    <row r="208" spans="1:29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</row>
    <row r="209" spans="1:29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</row>
    <row r="210" spans="1:29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</row>
    <row r="211" spans="1:29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</row>
    <row r="212" spans="1:29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</row>
    <row r="213" spans="1:29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</row>
    <row r="214" spans="1:29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</row>
    <row r="215" spans="1:29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</row>
    <row r="216" spans="1:29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</row>
    <row r="217" spans="1:29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</row>
    <row r="218" spans="1:29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</row>
    <row r="219" spans="1:29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</row>
    <row r="220" spans="1:29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</row>
    <row r="221" spans="1:29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</row>
    <row r="222" spans="1:29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</row>
    <row r="223" spans="1:29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</row>
    <row r="224" spans="1:29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</row>
    <row r="225" spans="1:29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</row>
    <row r="226" spans="1:29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</row>
    <row r="227" spans="1:29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</row>
    <row r="228" spans="1:29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</row>
    <row r="229" spans="1:29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</row>
    <row r="230" spans="1:29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</row>
    <row r="231" spans="1:29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</row>
    <row r="232" spans="1:29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</row>
    <row r="233" spans="1:29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</row>
    <row r="234" spans="1:29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</row>
    <row r="235" spans="1:29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</row>
    <row r="236" spans="1:29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</row>
    <row r="237" spans="1:29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</row>
    <row r="238" spans="1:29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</row>
    <row r="239" spans="1:29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</row>
    <row r="240" spans="1:29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</row>
    <row r="241" spans="1:29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</row>
    <row r="242" spans="1:29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</row>
    <row r="243" spans="1:29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</row>
    <row r="244" spans="1:29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</row>
    <row r="245" spans="1:29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</row>
    <row r="246" spans="1:29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</row>
    <row r="247" spans="1:29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</row>
    <row r="248" spans="1:29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</row>
    <row r="249" spans="1:29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</row>
    <row r="250" spans="1:29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</row>
    <row r="251" spans="1:29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</row>
    <row r="252" spans="1:29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</row>
    <row r="253" spans="1:29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</row>
    <row r="254" spans="1:29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</row>
    <row r="255" spans="1:29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</row>
    <row r="256" spans="1:29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</row>
    <row r="257" spans="1:29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</row>
    <row r="258" spans="1:29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</row>
    <row r="259" spans="1:29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</row>
    <row r="260" spans="1:29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</row>
    <row r="261" spans="1:29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</row>
    <row r="262" spans="1:29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</row>
    <row r="263" spans="1:29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</row>
    <row r="264" spans="1:29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</row>
    <row r="265" spans="1:29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</row>
    <row r="266" spans="1:29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</row>
    <row r="267" spans="1:29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</row>
    <row r="268" spans="1:29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</row>
    <row r="269" spans="1:29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</row>
    <row r="270" spans="1:29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</row>
    <row r="271" spans="1:29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</row>
    <row r="272" spans="1:29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</row>
    <row r="273" spans="1:29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</row>
    <row r="274" spans="1:29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</row>
    <row r="275" spans="1:29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</row>
    <row r="276" spans="1:29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</row>
    <row r="277" spans="1:29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</row>
    <row r="278" spans="1:29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</row>
    <row r="279" spans="1:29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</row>
    <row r="280" spans="1:29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</row>
    <row r="281" spans="1:29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</row>
    <row r="282" spans="1:29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</row>
    <row r="283" spans="1:29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</row>
    <row r="284" spans="1:29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</row>
    <row r="285" spans="1:29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</row>
    <row r="286" spans="1:29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</row>
    <row r="287" spans="1:29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</row>
    <row r="288" spans="1:29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</row>
    <row r="289" spans="1:29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</row>
    <row r="290" spans="1:29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</row>
    <row r="291" spans="1:29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</row>
    <row r="292" spans="1:29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</row>
    <row r="293" spans="1:29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</row>
    <row r="294" spans="1:29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</row>
    <row r="295" spans="1:29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</row>
    <row r="296" spans="1:29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</row>
    <row r="297" spans="1:29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</row>
    <row r="298" spans="1:29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</row>
    <row r="299" spans="1:29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</row>
    <row r="300" spans="1:29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</row>
    <row r="301" spans="1:29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</row>
    <row r="302" spans="1:29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</row>
    <row r="303" spans="1:29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</row>
    <row r="304" spans="1:29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</row>
    <row r="305" spans="1:29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</row>
    <row r="306" spans="1:29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</row>
    <row r="307" spans="1:29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</row>
    <row r="308" spans="1:29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</row>
    <row r="309" spans="1:29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</row>
    <row r="310" spans="1:29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</row>
    <row r="311" spans="1:29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</row>
    <row r="312" spans="1:29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</row>
    <row r="313" spans="1:29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</row>
    <row r="314" spans="1:29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</row>
    <row r="315" spans="1:29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</row>
    <row r="316" spans="1:29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</row>
    <row r="317" spans="1:29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</row>
    <row r="318" spans="1:29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</row>
    <row r="319" spans="1:29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</row>
    <row r="320" spans="1:29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</row>
    <row r="321" spans="1:29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</row>
    <row r="322" spans="1:29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</row>
    <row r="323" spans="1:29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</row>
    <row r="324" spans="1:29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</row>
    <row r="325" spans="1:29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</row>
    <row r="326" spans="1:29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</row>
    <row r="327" spans="1:29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</row>
    <row r="328" spans="1:29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</row>
    <row r="329" spans="1:29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</row>
    <row r="330" spans="1:29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</row>
    <row r="331" spans="1:29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</row>
    <row r="332" spans="1:29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</row>
    <row r="333" spans="1:29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</row>
    <row r="334" spans="1:29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</row>
    <row r="335" spans="1:29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</row>
    <row r="336" spans="1:29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</row>
    <row r="337" spans="1:29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</row>
    <row r="338" spans="1:29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</row>
    <row r="339" spans="1:29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</row>
    <row r="340" spans="1:29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</row>
    <row r="341" spans="1:29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</row>
    <row r="342" spans="1:29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</row>
    <row r="343" spans="1:29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</row>
    <row r="344" spans="1:29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</row>
    <row r="345" spans="1:29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</row>
    <row r="346" spans="1:29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</row>
    <row r="347" spans="1:29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</row>
    <row r="348" spans="1:29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</row>
    <row r="349" spans="1:29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</row>
    <row r="350" spans="1:29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</row>
    <row r="351" spans="1:29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</row>
    <row r="352" spans="1:29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</row>
    <row r="353" spans="1:29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</row>
    <row r="354" spans="1:29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</row>
    <row r="355" spans="1:29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</row>
    <row r="356" spans="1:29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</row>
    <row r="357" spans="1:29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</row>
    <row r="358" spans="1:29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</row>
    <row r="359" spans="1:29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</row>
    <row r="360" spans="1:29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</row>
    <row r="361" spans="1:29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</row>
    <row r="362" spans="1:29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</row>
    <row r="363" spans="1:29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</row>
    <row r="364" spans="1:29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</row>
    <row r="365" spans="1:29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</row>
    <row r="366" spans="1:29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</row>
    <row r="367" spans="1:29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</row>
    <row r="368" spans="1:29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</row>
    <row r="369" spans="1:29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</row>
    <row r="370" spans="1:29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</row>
    <row r="371" spans="1:29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</row>
    <row r="372" spans="1:29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</row>
    <row r="373" spans="1:29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</row>
    <row r="374" spans="1:29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</row>
    <row r="375" spans="1:29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</row>
    <row r="376" spans="1:29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</row>
    <row r="377" spans="1:29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</row>
    <row r="378" spans="1:29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</row>
    <row r="379" spans="1:29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</row>
    <row r="380" spans="1:29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</row>
    <row r="381" spans="1:29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</row>
    <row r="382" spans="1:29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</row>
    <row r="383" spans="1:29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</row>
    <row r="384" spans="1:29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</row>
    <row r="385" spans="1:29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</row>
    <row r="386" spans="1:29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</row>
    <row r="387" spans="1:29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</row>
    <row r="388" spans="1:29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</row>
    <row r="389" spans="1:29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</row>
    <row r="390" spans="1:29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</row>
    <row r="391" spans="1:29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</row>
    <row r="392" spans="1:29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</row>
    <row r="393" spans="1:29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</row>
    <row r="394" spans="1:29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</row>
    <row r="395" spans="1:29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</row>
    <row r="396" spans="1:29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</row>
    <row r="397" spans="1:29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</row>
    <row r="398" spans="1:29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</row>
    <row r="399" spans="1:29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</row>
    <row r="400" spans="1:29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</row>
    <row r="401" spans="1:29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</row>
    <row r="402" spans="1:29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</row>
    <row r="403" spans="1:29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</row>
    <row r="404" spans="1:29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</row>
    <row r="405" spans="1:29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</row>
    <row r="406" spans="1:29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</row>
    <row r="407" spans="1:29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</row>
    <row r="408" spans="1:29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</row>
    <row r="409" spans="1:29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</row>
    <row r="410" spans="1:29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</row>
    <row r="411" spans="1:29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</row>
    <row r="412" spans="1:29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</row>
    <row r="413" spans="1:29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</row>
    <row r="414" spans="1:29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</row>
    <row r="415" spans="1:29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</row>
    <row r="416" spans="1:29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</row>
    <row r="417" spans="1:29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</row>
    <row r="418" spans="1:29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</row>
    <row r="419" spans="1:29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</row>
    <row r="420" spans="1:29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</row>
    <row r="421" spans="1:29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</row>
    <row r="422" spans="1:29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</row>
    <row r="423" spans="1:29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</row>
    <row r="424" spans="1:29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</row>
    <row r="425" spans="1:29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</row>
    <row r="426" spans="1:29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</row>
    <row r="427" spans="1:29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</row>
    <row r="428" spans="1:29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</row>
    <row r="429" spans="1:29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</row>
    <row r="430" spans="1:29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</row>
    <row r="431" spans="1:29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</row>
    <row r="432" spans="1:29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</row>
    <row r="433" spans="1:29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</row>
    <row r="434" spans="1:29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</row>
    <row r="435" spans="1:29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</row>
    <row r="436" spans="1:29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</row>
    <row r="437" spans="1:29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</row>
    <row r="438" spans="1:29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</row>
    <row r="439" spans="1:29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</row>
    <row r="440" spans="1:29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</row>
    <row r="441" spans="1:29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</row>
    <row r="442" spans="1:29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</row>
    <row r="443" spans="1:29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</row>
    <row r="444" spans="1:29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</row>
    <row r="445" spans="1:29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</row>
    <row r="446" spans="1:29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</row>
    <row r="447" spans="1:29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</row>
    <row r="448" spans="1:29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</row>
    <row r="449" spans="1:29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</row>
    <row r="450" spans="1:29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</row>
    <row r="451" spans="1:29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</row>
    <row r="452" spans="1:29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</row>
    <row r="453" spans="1:29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</row>
    <row r="454" spans="1:29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</row>
    <row r="455" spans="1:29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</row>
    <row r="456" spans="1:29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</row>
    <row r="457" spans="1:29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</row>
    <row r="458" spans="1:29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</row>
    <row r="459" spans="1:29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</row>
    <row r="460" spans="1:29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</row>
    <row r="461" spans="1:29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</row>
    <row r="462" spans="1:29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</row>
    <row r="463" spans="1:29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</row>
    <row r="464" spans="1:29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</row>
    <row r="465" spans="1:29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</row>
    <row r="466" spans="1:29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</row>
    <row r="467" spans="1:29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</row>
    <row r="468" spans="1:29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</row>
    <row r="469" spans="1:29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</row>
    <row r="470" spans="1:29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</row>
    <row r="471" spans="1:29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</row>
    <row r="472" spans="1:29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</row>
    <row r="473" spans="1:29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</row>
    <row r="474" spans="1:29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</row>
    <row r="475" spans="1:29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</row>
    <row r="476" spans="1:29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</row>
    <row r="477" spans="1:29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</row>
    <row r="478" spans="1:29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</row>
    <row r="479" spans="1:29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</row>
    <row r="480" spans="1:29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</row>
    <row r="481" spans="1:29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</row>
    <row r="482" spans="1:29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</row>
    <row r="483" spans="1:29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</row>
    <row r="484" spans="1:29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</row>
    <row r="485" spans="1:29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</row>
    <row r="486" spans="1:29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</row>
    <row r="487" spans="1:29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</row>
    <row r="488" spans="1:29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</row>
    <row r="489" spans="1:29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</row>
    <row r="490" spans="1:29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</row>
    <row r="491" spans="1:29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</row>
    <row r="492" spans="1:29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</row>
    <row r="493" spans="1:29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</row>
    <row r="494" spans="1:29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</row>
    <row r="495" spans="1:29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</row>
    <row r="496" spans="1:29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</row>
    <row r="497" spans="1:29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</row>
    <row r="498" spans="1:29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</row>
    <row r="499" spans="1:29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</row>
    <row r="500" spans="1:29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</row>
    <row r="501" spans="1:29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</row>
    <row r="502" spans="1:29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</row>
    <row r="503" spans="1:29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</row>
    <row r="504" spans="1:29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</row>
    <row r="505" spans="1:29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</row>
    <row r="506" spans="1:29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</row>
    <row r="507" spans="1:29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</row>
    <row r="508" spans="1:29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</row>
    <row r="509" spans="1:29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</row>
    <row r="510" spans="1:29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</row>
    <row r="511" spans="1:29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</row>
    <row r="512" spans="1:29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</row>
    <row r="513" spans="1:29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</row>
    <row r="514" spans="1:29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</row>
    <row r="515" spans="1:29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</row>
    <row r="516" spans="1:29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</row>
    <row r="517" spans="1:29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</row>
    <row r="518" spans="1:29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</row>
    <row r="519" spans="1:29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</row>
    <row r="520" spans="1:29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</row>
    <row r="521" spans="1:29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</row>
    <row r="522" spans="1:29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</row>
    <row r="523" spans="1:29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</row>
    <row r="524" spans="1:29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</row>
    <row r="525" spans="1:29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</row>
    <row r="526" spans="1:29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</row>
    <row r="527" spans="1:29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</row>
    <row r="528" spans="1:29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</row>
    <row r="529" spans="1:29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</row>
    <row r="530" spans="1:29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</row>
    <row r="531" spans="1:29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</row>
    <row r="532" spans="1:29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</row>
    <row r="533" spans="1:29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</row>
    <row r="534" spans="1:29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</row>
    <row r="535" spans="1:29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</row>
    <row r="536" spans="1:29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</row>
    <row r="537" spans="1:29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</row>
    <row r="538" spans="1:29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</row>
    <row r="539" spans="1:29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</row>
    <row r="540" spans="1:29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</row>
    <row r="541" spans="1:29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</row>
    <row r="542" spans="1:29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</row>
    <row r="543" spans="1:29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</row>
    <row r="544" spans="1:29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</row>
    <row r="545" spans="1:29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</row>
    <row r="546" spans="1:29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</row>
    <row r="547" spans="1:29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</row>
    <row r="548" spans="1:29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</row>
    <row r="549" spans="1:29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</row>
    <row r="550" spans="1:29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</row>
    <row r="551" spans="1:29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</row>
    <row r="552" spans="1:29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</row>
    <row r="553" spans="1:29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</row>
    <row r="554" spans="1:29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</row>
    <row r="555" spans="1:29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</row>
    <row r="556" spans="1:29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</row>
    <row r="557" spans="1:29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</row>
    <row r="558" spans="1:29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</row>
    <row r="559" spans="1:29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</row>
    <row r="560" spans="1:29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</row>
    <row r="561" spans="1:29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</row>
    <row r="562" spans="1:29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</row>
    <row r="563" spans="1:29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</row>
    <row r="564" spans="1:29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</row>
    <row r="565" spans="1:29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</row>
    <row r="566" spans="1:29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</row>
    <row r="567" spans="1:29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</row>
    <row r="568" spans="1:29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</row>
    <row r="569" spans="1:29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</row>
    <row r="570" spans="1:29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</row>
    <row r="571" spans="1:29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</row>
    <row r="572" spans="1:29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</row>
    <row r="573" spans="1:29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</row>
    <row r="574" spans="1:29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</row>
    <row r="575" spans="1:29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</row>
    <row r="576" spans="1:29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</row>
    <row r="577" spans="1:29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</row>
    <row r="578" spans="1:29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</row>
    <row r="579" spans="1:29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</row>
    <row r="580" spans="1:29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</row>
    <row r="581" spans="1:29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</row>
    <row r="582" spans="1:29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</row>
    <row r="583" spans="1:29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</row>
    <row r="584" spans="1:29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</row>
    <row r="585" spans="1:29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</row>
    <row r="586" spans="1:29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</row>
    <row r="587" spans="1:29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</row>
    <row r="588" spans="1:29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</row>
    <row r="589" spans="1:29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</row>
    <row r="590" spans="1:29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</row>
    <row r="591" spans="1:29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</row>
    <row r="592" spans="1:29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</row>
    <row r="593" spans="1:29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</row>
    <row r="594" spans="1:29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</row>
    <row r="595" spans="1:29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</row>
    <row r="596" spans="1:29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</row>
    <row r="597" spans="1:29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</row>
    <row r="598" spans="1:29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</row>
    <row r="599" spans="1:29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</row>
    <row r="600" spans="1:29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</row>
    <row r="601" spans="1:29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</row>
    <row r="602" spans="1:29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</row>
    <row r="603" spans="1:29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</row>
    <row r="604" spans="1:29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</row>
    <row r="605" spans="1:29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</row>
    <row r="606" spans="1:29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</row>
    <row r="607" spans="1:29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</row>
    <row r="608" spans="1:29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</row>
    <row r="609" spans="1:29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</row>
    <row r="610" spans="1:29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</row>
    <row r="611" spans="1:29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</row>
    <row r="612" spans="1:29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</row>
    <row r="613" spans="1:29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</row>
    <row r="614" spans="1:29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</row>
    <row r="615" spans="1:29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</row>
    <row r="616" spans="1:29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</row>
    <row r="617" spans="1:29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</row>
    <row r="618" spans="1:29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</row>
    <row r="619" spans="1:29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</row>
    <row r="620" spans="1:29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</row>
    <row r="621" spans="1:29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</row>
    <row r="622" spans="1:29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</row>
    <row r="623" spans="1:29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</row>
    <row r="624" spans="1:29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</row>
    <row r="625" spans="1:29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</row>
    <row r="626" spans="1:29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</row>
    <row r="627" spans="1:29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</row>
    <row r="628" spans="1:29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</row>
    <row r="629" spans="1:29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</row>
    <row r="630" spans="1:29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</row>
    <row r="631" spans="1:29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</row>
    <row r="632" spans="1:29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</row>
    <row r="633" spans="1:29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</row>
    <row r="634" spans="1:29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</row>
    <row r="635" spans="1:29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</row>
    <row r="636" spans="1:29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</row>
    <row r="637" spans="1:29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</row>
    <row r="638" spans="1:29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</row>
    <row r="639" spans="1:29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</row>
    <row r="640" spans="1:29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</row>
    <row r="641" spans="1:29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</row>
    <row r="642" spans="1:29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</row>
    <row r="643" spans="1:29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</row>
    <row r="644" spans="1:29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</row>
    <row r="645" spans="1:29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</row>
    <row r="646" spans="1:29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</row>
    <row r="647" spans="1:29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</row>
    <row r="648" spans="1:29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</row>
    <row r="649" spans="1:29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</row>
    <row r="650" spans="1:29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</row>
    <row r="651" spans="1:29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</row>
    <row r="652" spans="1:29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</row>
    <row r="653" spans="1:29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</row>
    <row r="654" spans="1:29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</row>
    <row r="655" spans="1:29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</row>
    <row r="656" spans="1:29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</row>
    <row r="657" spans="1:29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</row>
    <row r="658" spans="1:29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</row>
    <row r="659" spans="1:29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</row>
    <row r="660" spans="1:29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</row>
    <row r="661" spans="1:29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</row>
    <row r="662" spans="1:29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</row>
    <row r="663" spans="1:29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</row>
    <row r="664" spans="1:29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</row>
    <row r="665" spans="1:29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</row>
    <row r="666" spans="1:29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</row>
    <row r="667" spans="1:29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</row>
    <row r="668" spans="1:29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</row>
    <row r="669" spans="1:29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</row>
    <row r="670" spans="1:29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</row>
    <row r="671" spans="1:29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</row>
    <row r="672" spans="1:29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</row>
    <row r="673" spans="1:29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</row>
    <row r="674" spans="1:29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</row>
    <row r="675" spans="1:29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</row>
    <row r="676" spans="1:29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</row>
    <row r="677" spans="1:29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</row>
    <row r="678" spans="1:29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</row>
    <row r="679" spans="1:29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</row>
    <row r="680" spans="1:29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</row>
    <row r="681" spans="1:29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</row>
    <row r="682" spans="1:29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</row>
    <row r="683" spans="1:29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</row>
    <row r="684" spans="1:29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</row>
    <row r="685" spans="1:29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</row>
    <row r="686" spans="1:29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</row>
    <row r="687" spans="1:29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</row>
    <row r="688" spans="1:29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</row>
    <row r="689" spans="1:29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</row>
    <row r="690" spans="1:29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</row>
    <row r="691" spans="1:29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</row>
    <row r="692" spans="1:29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</row>
    <row r="693" spans="1:29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</row>
    <row r="694" spans="1:29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</row>
    <row r="695" spans="1:29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</row>
    <row r="696" spans="1:29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</row>
    <row r="697" spans="1:29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</row>
    <row r="698" spans="1:29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</row>
    <row r="699" spans="1:29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</row>
    <row r="700" spans="1:29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</row>
    <row r="701" spans="1:29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</row>
    <row r="702" spans="1:29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</row>
    <row r="703" spans="1:29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</row>
    <row r="704" spans="1:29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</row>
    <row r="705" spans="1:29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</row>
    <row r="706" spans="1:29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</row>
    <row r="707" spans="1:29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</row>
    <row r="708" spans="1:29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</row>
    <row r="709" spans="1:29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</row>
    <row r="710" spans="1:29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</row>
    <row r="711" spans="1:29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</row>
    <row r="712" spans="1:29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</row>
    <row r="713" spans="1:29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</row>
    <row r="714" spans="1:29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</row>
    <row r="715" spans="1:29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</row>
    <row r="716" spans="1:29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</row>
    <row r="717" spans="1:29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</row>
    <row r="718" spans="1:29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</row>
    <row r="719" spans="1:29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</row>
    <row r="720" spans="1:29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</row>
    <row r="721" spans="1:29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</row>
    <row r="722" spans="1:29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</row>
    <row r="723" spans="1:29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</row>
    <row r="724" spans="1:29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</row>
    <row r="725" spans="1:29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</row>
    <row r="726" spans="1:29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</row>
    <row r="727" spans="1:29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</row>
    <row r="728" spans="1:29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</row>
    <row r="729" spans="1:29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</row>
    <row r="730" spans="1:29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</row>
    <row r="731" spans="1:29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</row>
    <row r="732" spans="1:29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</row>
    <row r="733" spans="1:29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</row>
    <row r="734" spans="1:29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</row>
    <row r="735" spans="1:29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</row>
    <row r="736" spans="1:29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</row>
    <row r="737" spans="1:29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</row>
    <row r="738" spans="1:29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</row>
    <row r="739" spans="1:29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</row>
    <row r="740" spans="1:29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</row>
    <row r="741" spans="1:29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</row>
    <row r="742" spans="1:29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</row>
    <row r="743" spans="1:29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</row>
    <row r="744" spans="1:29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</row>
    <row r="745" spans="1:29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</row>
    <row r="746" spans="1:29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</row>
    <row r="747" spans="1:29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</row>
    <row r="748" spans="1:29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</row>
    <row r="749" spans="1:29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</row>
    <row r="750" spans="1:29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</row>
    <row r="751" spans="1:29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</row>
    <row r="752" spans="1:29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</row>
    <row r="753" spans="1:29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</row>
    <row r="754" spans="1:29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</row>
    <row r="755" spans="1:29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</row>
    <row r="756" spans="1:29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</row>
    <row r="757" spans="1:29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</row>
    <row r="758" spans="1:29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</row>
    <row r="759" spans="1:29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</row>
    <row r="760" spans="1:29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</row>
    <row r="761" spans="1:29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</row>
    <row r="762" spans="1:29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</row>
    <row r="763" spans="1:29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</row>
    <row r="764" spans="1:29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</row>
    <row r="765" spans="1:29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</row>
    <row r="766" spans="1:29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</row>
    <row r="767" spans="1:29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</row>
    <row r="768" spans="1:29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</row>
    <row r="769" spans="1:29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</row>
    <row r="770" spans="1:29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</row>
    <row r="771" spans="1:29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</row>
    <row r="772" spans="1:29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</row>
    <row r="773" spans="1:29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</row>
    <row r="774" spans="1:29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</row>
    <row r="775" spans="1:29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</row>
    <row r="776" spans="1:29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</row>
    <row r="777" spans="1:29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</row>
    <row r="778" spans="1:29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</row>
    <row r="779" spans="1:29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</row>
    <row r="780" spans="1:29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</row>
    <row r="781" spans="1:29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</row>
    <row r="782" spans="1:29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</row>
    <row r="783" spans="1:29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</row>
    <row r="784" spans="1:29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</row>
    <row r="785" spans="1:29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</row>
    <row r="786" spans="1:29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</row>
    <row r="787" spans="1:29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</row>
    <row r="788" spans="1:29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</row>
    <row r="789" spans="1:29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</row>
    <row r="790" spans="1:29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</row>
    <row r="791" spans="1:29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</row>
    <row r="792" spans="1:29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</row>
    <row r="793" spans="1:29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</row>
    <row r="794" spans="1:29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</row>
    <row r="795" spans="1:29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</row>
    <row r="796" spans="1:29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</row>
    <row r="797" spans="1:29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</row>
    <row r="798" spans="1:29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</row>
    <row r="799" spans="1:29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</row>
    <row r="800" spans="1:29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</row>
    <row r="801" spans="1:29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</row>
    <row r="802" spans="1:29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</row>
    <row r="803" spans="1:29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</row>
    <row r="804" spans="1:29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</row>
    <row r="805" spans="1:29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</row>
    <row r="806" spans="1:29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</row>
    <row r="807" spans="1:29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</row>
    <row r="808" spans="1:29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</row>
    <row r="809" spans="1:29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</row>
    <row r="810" spans="1:29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</row>
    <row r="811" spans="1:29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</row>
    <row r="812" spans="1:29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</row>
    <row r="813" spans="1:29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</row>
    <row r="814" spans="1:29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</row>
    <row r="815" spans="1:29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</row>
    <row r="816" spans="1:29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</row>
    <row r="817" spans="1:29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</row>
    <row r="818" spans="1:29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</row>
    <row r="819" spans="1:29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</row>
    <row r="820" spans="1:29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</row>
    <row r="821" spans="1:29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</row>
    <row r="822" spans="1:29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</row>
    <row r="823" spans="1:29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</row>
    <row r="824" spans="1:29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</row>
    <row r="825" spans="1:29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</row>
    <row r="826" spans="1:29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</row>
    <row r="827" spans="1:29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</row>
    <row r="828" spans="1:29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</row>
    <row r="829" spans="1:29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</row>
    <row r="830" spans="1:29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</row>
    <row r="831" spans="1:29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</row>
    <row r="832" spans="1:29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</row>
    <row r="833" spans="1:29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</row>
    <row r="834" spans="1:29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</row>
    <row r="835" spans="1:29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</row>
    <row r="836" spans="1:29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</row>
    <row r="837" spans="1:29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</row>
    <row r="838" spans="1:29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</row>
    <row r="839" spans="1:29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</row>
    <row r="840" spans="1:29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</row>
    <row r="841" spans="1:29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</row>
    <row r="842" spans="1:29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</row>
    <row r="843" spans="1:29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</row>
    <row r="844" spans="1:29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</row>
    <row r="845" spans="1:29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</row>
    <row r="846" spans="1:29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</row>
    <row r="847" spans="1:29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</row>
    <row r="848" spans="1:29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</row>
    <row r="849" spans="1:29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</row>
    <row r="850" spans="1:29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</row>
    <row r="851" spans="1:29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</row>
    <row r="852" spans="1:29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</row>
    <row r="853" spans="1:29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</row>
    <row r="854" spans="1:29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</row>
    <row r="855" spans="1:29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</row>
    <row r="856" spans="1:29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</row>
    <row r="857" spans="1:29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</row>
    <row r="858" spans="1:29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</row>
    <row r="859" spans="1:29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</row>
    <row r="860" spans="1:29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</row>
    <row r="861" spans="1:29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</row>
    <row r="862" spans="1:29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</row>
    <row r="863" spans="1:29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</row>
    <row r="864" spans="1:29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</row>
    <row r="865" spans="1:29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</row>
    <row r="866" spans="1:29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</row>
    <row r="867" spans="1:29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</row>
    <row r="868" spans="1:29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</row>
    <row r="869" spans="1:29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</row>
    <row r="870" spans="1:29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</row>
    <row r="871" spans="1:29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</row>
    <row r="872" spans="1:29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</row>
    <row r="873" spans="1:29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</row>
    <row r="874" spans="1:29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</row>
    <row r="875" spans="1:29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</row>
    <row r="876" spans="1:29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</row>
    <row r="877" spans="1:29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</row>
    <row r="878" spans="1:29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</row>
    <row r="879" spans="1:29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</row>
    <row r="880" spans="1:29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</row>
    <row r="881" spans="1:29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</row>
    <row r="882" spans="1:29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</row>
    <row r="883" spans="1:29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</row>
    <row r="884" spans="1:29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</row>
    <row r="885" spans="1:29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</row>
    <row r="886" spans="1:29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</row>
    <row r="887" spans="1:29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</row>
    <row r="888" spans="1:29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</row>
    <row r="889" spans="1:29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</row>
    <row r="890" spans="1:29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</row>
    <row r="891" spans="1:29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</row>
    <row r="892" spans="1:29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</row>
    <row r="893" spans="1:29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</row>
    <row r="894" spans="1:29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</row>
    <row r="895" spans="1:29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</row>
    <row r="896" spans="1:29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</row>
    <row r="897" spans="1:29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</row>
    <row r="898" spans="1:29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</row>
    <row r="899" spans="1:29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</row>
    <row r="900" spans="1:29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</row>
    <row r="901" spans="1:29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</row>
    <row r="902" spans="1:29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</row>
    <row r="903" spans="1:29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</row>
    <row r="904" spans="1:29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</row>
    <row r="905" spans="1:29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</row>
    <row r="906" spans="1:29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</row>
    <row r="907" spans="1:29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</row>
    <row r="908" spans="1:29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</row>
    <row r="909" spans="1:29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</row>
    <row r="910" spans="1:29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</row>
    <row r="911" spans="1:29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</row>
    <row r="912" spans="1:29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</row>
    <row r="913" spans="1:29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</row>
    <row r="914" spans="1:29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</row>
    <row r="915" spans="1:29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</row>
    <row r="916" spans="1:29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</row>
    <row r="917" spans="1:29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</row>
    <row r="918" spans="1:29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</row>
    <row r="919" spans="1:29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</row>
    <row r="920" spans="1:29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</row>
    <row r="921" spans="1:29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</row>
    <row r="922" spans="1:29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</row>
    <row r="923" spans="1:29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</row>
    <row r="924" spans="1:29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</row>
    <row r="925" spans="1:29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</row>
    <row r="926" spans="1:29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</row>
    <row r="927" spans="1:29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</row>
    <row r="928" spans="1:29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</row>
    <row r="929" spans="1:29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</row>
    <row r="930" spans="1:29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</row>
    <row r="931" spans="1:29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</row>
    <row r="932" spans="1:29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</row>
    <row r="933" spans="1:29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</row>
    <row r="934" spans="1:29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</row>
    <row r="935" spans="1:29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</row>
    <row r="936" spans="1:29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</row>
    <row r="937" spans="1:29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</row>
    <row r="938" spans="1:29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</row>
    <row r="939" spans="1:29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</row>
    <row r="940" spans="1:29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</row>
    <row r="941" spans="1:29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</row>
    <row r="942" spans="1:29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</row>
    <row r="943" spans="1:29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</row>
    <row r="944" spans="1:29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</row>
    <row r="945" spans="1:29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</row>
    <row r="946" spans="1:29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</row>
    <row r="947" spans="1:29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</row>
    <row r="948" spans="1:29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</row>
    <row r="949" spans="1:29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</row>
    <row r="950" spans="1:29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</row>
    <row r="951" spans="1:29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</row>
    <row r="952" spans="1:29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</row>
    <row r="953" spans="1:29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</row>
    <row r="954" spans="1:29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</row>
    <row r="955" spans="1:29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</row>
    <row r="956" spans="1:29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</row>
    <row r="957" spans="1:29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</row>
    <row r="958" spans="1:29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</row>
    <row r="959" spans="1:29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</row>
    <row r="960" spans="1:29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</row>
    <row r="961" spans="1:29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</row>
    <row r="962" spans="1:29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</row>
    <row r="963" spans="1:29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</row>
    <row r="964" spans="1:29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</row>
    <row r="965" spans="1:29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</row>
    <row r="966" spans="1:29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</row>
    <row r="967" spans="1:29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</row>
    <row r="968" spans="1:29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</row>
    <row r="969" spans="1:29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</row>
    <row r="970" spans="1:29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</row>
    <row r="971" spans="1:29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</row>
    <row r="972" spans="1:29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</row>
    <row r="973" spans="1:29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</row>
    <row r="974" spans="1:29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</row>
    <row r="975" spans="1:29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</row>
    <row r="976" spans="1:29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</row>
    <row r="977" spans="1:29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</row>
    <row r="978" spans="1:29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</row>
    <row r="979" spans="1:29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</row>
    <row r="980" spans="1:29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</row>
    <row r="981" spans="1:29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</row>
    <row r="982" spans="1:29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</row>
    <row r="983" spans="1:29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</row>
    <row r="984" spans="1:29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</row>
    <row r="985" spans="1:29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</row>
    <row r="986" spans="1:29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</row>
    <row r="987" spans="1:29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</row>
    <row r="988" spans="1:29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</row>
    <row r="989" spans="1:29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</row>
    <row r="990" spans="1:29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</row>
    <row r="991" spans="1:29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</row>
    <row r="992" spans="1:29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</row>
    <row r="993" spans="1:29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</row>
    <row r="994" spans="1:29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</row>
    <row r="995" spans="1:29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</row>
    <row r="996" spans="1:29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</row>
    <row r="997" spans="1:29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</row>
    <row r="998" spans="1:29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</row>
    <row r="999" spans="1:29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</row>
    <row r="1000" spans="1:29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</row>
  </sheetData>
  <pageMargins left="0.511811024" right="0.511811024" top="0.78740157499999996" bottom="0.78740157499999996" header="0" footer="0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BE1000"/>
  <sheetViews>
    <sheetView showGridLines="0" topLeftCell="B12" workbookViewId="0">
      <selection activeCell="L31" sqref="L31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2.44140625" customWidth="1"/>
    <col min="5" max="5" width="20.44140625" customWidth="1"/>
    <col min="6" max="6" width="16.44140625" customWidth="1"/>
    <col min="7" max="7" width="17.44140625" customWidth="1"/>
    <col min="8" max="8" width="10" customWidth="1"/>
    <col min="9" max="9" width="11.6640625" customWidth="1"/>
    <col min="10" max="10" width="11.44140625" customWidth="1"/>
    <col min="11" max="11" width="13" customWidth="1"/>
    <col min="12" max="13" width="12.109375" customWidth="1"/>
    <col min="14" max="14" width="11.109375" customWidth="1"/>
    <col min="15" max="16" width="12.88671875" customWidth="1"/>
    <col min="17" max="17" width="18.33203125" customWidth="1"/>
    <col min="18" max="18" width="15" customWidth="1"/>
    <col min="19" max="19" width="11.44140625" customWidth="1"/>
    <col min="20" max="20" width="10.109375" customWidth="1"/>
    <col min="21" max="21" width="11.6640625" customWidth="1"/>
    <col min="22" max="22" width="10.109375" customWidth="1"/>
    <col min="23" max="23" width="11.44140625" customWidth="1"/>
    <col min="24" max="24" width="10.6640625" customWidth="1"/>
    <col min="25" max="25" width="10.109375" customWidth="1"/>
    <col min="26" max="26" width="8.44140625" customWidth="1"/>
    <col min="27" max="27" width="9.6640625" customWidth="1"/>
    <col min="28" max="28" width="7.6640625" customWidth="1"/>
    <col min="29" max="29" width="11.109375" customWidth="1"/>
    <col min="30" max="30" width="11" customWidth="1"/>
    <col min="31" max="31" width="8.44140625" customWidth="1"/>
    <col min="32" max="32" width="10" customWidth="1"/>
    <col min="33" max="33" width="9.109375" customWidth="1"/>
    <col min="34" max="34" width="11.88671875" customWidth="1"/>
    <col min="35" max="35" width="11.6640625" customWidth="1"/>
    <col min="36" max="37" width="10.44140625" customWidth="1"/>
    <col min="38" max="57" width="9.109375" customWidth="1"/>
  </cols>
  <sheetData>
    <row r="1" spans="1:57" ht="14.4">
      <c r="A1" s="14"/>
      <c r="B1" s="14"/>
      <c r="C1" s="14"/>
      <c r="D1" s="72"/>
      <c r="E1" s="72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</row>
    <row r="2" spans="1:57" ht="15.75" customHeight="1">
      <c r="A2" s="14"/>
      <c r="B2" s="18"/>
      <c r="C2" s="14"/>
      <c r="D2" s="73" t="s">
        <v>274</v>
      </c>
      <c r="E2" s="73"/>
      <c r="F2" s="74"/>
      <c r="G2" s="75"/>
      <c r="H2" s="75"/>
      <c r="I2" s="75"/>
      <c r="J2" s="14"/>
      <c r="K2" s="14"/>
      <c r="L2" s="14"/>
      <c r="M2" s="14"/>
      <c r="N2" s="14"/>
      <c r="O2" s="14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</row>
    <row r="3" spans="1:57" ht="15" customHeight="1">
      <c r="A3" s="14"/>
      <c r="B3" s="15"/>
      <c r="C3" s="14"/>
      <c r="D3" s="77" t="s">
        <v>275</v>
      </c>
      <c r="E3" s="78" t="s">
        <v>276</v>
      </c>
      <c r="F3" s="79"/>
      <c r="G3" s="14"/>
      <c r="H3" s="80"/>
      <c r="I3" s="80"/>
      <c r="J3" s="14"/>
      <c r="K3" s="14"/>
      <c r="L3" s="14"/>
      <c r="M3" s="14"/>
      <c r="N3" s="14"/>
      <c r="O3" s="14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</row>
    <row r="4" spans="1:57" ht="15" customHeight="1">
      <c r="A4" s="14"/>
      <c r="B4" s="15"/>
      <c r="C4" s="14"/>
      <c r="D4" s="81" t="s">
        <v>277</v>
      </c>
      <c r="E4" s="82">
        <v>60</v>
      </c>
      <c r="F4" s="83"/>
      <c r="G4" s="14"/>
      <c r="H4" s="84"/>
      <c r="I4" s="84"/>
      <c r="J4" s="14"/>
      <c r="K4" s="14"/>
      <c r="L4" s="14"/>
      <c r="M4" s="14"/>
      <c r="N4" s="85"/>
      <c r="O4" s="85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</row>
    <row r="5" spans="1:57" ht="15" customHeight="1">
      <c r="A5" s="14"/>
      <c r="B5" s="15"/>
      <c r="C5" s="14"/>
      <c r="D5" s="81" t="s">
        <v>278</v>
      </c>
      <c r="E5" s="86" t="s">
        <v>279</v>
      </c>
      <c r="F5" s="79"/>
      <c r="G5" s="14"/>
      <c r="H5" s="80"/>
      <c r="I5" s="80"/>
      <c r="J5" s="14"/>
      <c r="K5" s="14"/>
      <c r="L5" s="14"/>
      <c r="M5" s="14"/>
      <c r="N5" s="85"/>
      <c r="O5" s="85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</row>
    <row r="6" spans="1:57" ht="15" customHeight="1">
      <c r="A6" s="14"/>
      <c r="B6" s="15"/>
      <c r="C6" s="14"/>
      <c r="D6" s="81" t="s">
        <v>280</v>
      </c>
      <c r="E6" s="87">
        <v>345</v>
      </c>
      <c r="F6" s="88"/>
      <c r="G6" s="14"/>
      <c r="H6" s="89"/>
      <c r="I6" s="89"/>
      <c r="J6" s="14"/>
      <c r="K6" s="14"/>
      <c r="L6" s="14"/>
      <c r="M6" s="14"/>
      <c r="N6" s="90"/>
      <c r="O6" s="90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</row>
    <row r="7" spans="1:57" ht="15.6" customHeight="1">
      <c r="A7" s="14"/>
      <c r="B7" s="15"/>
      <c r="C7" s="14"/>
      <c r="D7" s="91" t="s">
        <v>1</v>
      </c>
      <c r="E7" s="92" t="s">
        <v>44</v>
      </c>
      <c r="F7" s="93"/>
      <c r="G7" s="14"/>
      <c r="H7" s="94"/>
      <c r="I7" s="94"/>
      <c r="J7" s="14"/>
      <c r="K7" s="14"/>
      <c r="L7" s="14"/>
      <c r="M7" s="14"/>
      <c r="N7" s="85"/>
      <c r="O7" s="85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</row>
    <row r="8" spans="1:57" ht="14.4">
      <c r="A8" s="14"/>
      <c r="B8" s="15"/>
      <c r="C8" s="14"/>
      <c r="D8" s="95"/>
      <c r="E8" s="14"/>
      <c r="F8" s="14"/>
      <c r="G8" s="96"/>
      <c r="H8" s="96"/>
      <c r="I8" s="96"/>
      <c r="J8" s="37"/>
      <c r="K8" s="37"/>
      <c r="L8" s="37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</row>
    <row r="9" spans="1:57" ht="42.6" customHeight="1">
      <c r="A9" s="14"/>
      <c r="B9" s="15"/>
      <c r="C9" s="14"/>
      <c r="D9" s="97" t="s">
        <v>281</v>
      </c>
      <c r="E9" s="72"/>
      <c r="F9" s="349" t="s">
        <v>371</v>
      </c>
      <c r="G9" s="354" t="s">
        <v>370</v>
      </c>
      <c r="H9" s="350"/>
      <c r="I9" s="350"/>
      <c r="J9" s="351"/>
      <c r="K9" s="351"/>
      <c r="L9" s="351"/>
      <c r="M9" s="352"/>
      <c r="N9" s="352"/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352"/>
      <c r="AC9" s="352"/>
      <c r="AD9" s="352"/>
      <c r="AE9" s="352"/>
      <c r="AF9" s="352"/>
      <c r="AG9" s="352"/>
      <c r="AH9" s="352"/>
      <c r="AI9" s="352"/>
      <c r="AJ9" s="352"/>
      <c r="AK9" s="352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</row>
    <row r="10" spans="1:57" ht="14.4">
      <c r="A10" s="14"/>
      <c r="B10" s="15"/>
      <c r="C10" s="14"/>
      <c r="D10" s="99" t="s">
        <v>282</v>
      </c>
      <c r="E10" s="99"/>
      <c r="F10" s="100"/>
      <c r="G10" s="353" t="s">
        <v>283</v>
      </c>
      <c r="H10" s="101" t="s">
        <v>3</v>
      </c>
      <c r="I10" s="101" t="s">
        <v>4</v>
      </c>
      <c r="J10" s="101" t="s">
        <v>5</v>
      </c>
      <c r="K10" s="101" t="s">
        <v>6</v>
      </c>
      <c r="L10" s="101" t="s">
        <v>7</v>
      </c>
      <c r="M10" s="101" t="s">
        <v>8</v>
      </c>
      <c r="N10" s="101" t="s">
        <v>9</v>
      </c>
      <c r="O10" s="101" t="s">
        <v>10</v>
      </c>
      <c r="P10" s="101" t="s">
        <v>11</v>
      </c>
      <c r="Q10" s="101" t="s">
        <v>284</v>
      </c>
      <c r="R10" s="101" t="s">
        <v>13</v>
      </c>
      <c r="S10" s="101" t="s">
        <v>14</v>
      </c>
      <c r="T10" s="101" t="s">
        <v>15</v>
      </c>
      <c r="U10" s="101" t="s">
        <v>16</v>
      </c>
      <c r="V10" s="101" t="s">
        <v>17</v>
      </c>
      <c r="W10" s="101" t="s">
        <v>18</v>
      </c>
      <c r="X10" s="101" t="s">
        <v>19</v>
      </c>
      <c r="Y10" s="101" t="s">
        <v>20</v>
      </c>
      <c r="Z10" s="101" t="s">
        <v>88</v>
      </c>
      <c r="AA10" s="101" t="s">
        <v>22</v>
      </c>
      <c r="AB10" s="102" t="s">
        <v>23</v>
      </c>
      <c r="AC10" s="102" t="s">
        <v>24</v>
      </c>
      <c r="AD10" s="102" t="s">
        <v>25</v>
      </c>
      <c r="AE10" s="102" t="s">
        <v>26</v>
      </c>
      <c r="AF10" s="102" t="s">
        <v>27</v>
      </c>
      <c r="AG10" s="102" t="s">
        <v>28</v>
      </c>
      <c r="AH10" s="102" t="s">
        <v>29</v>
      </c>
      <c r="AI10" s="102" t="s">
        <v>30</v>
      </c>
      <c r="AJ10" s="102" t="s">
        <v>31</v>
      </c>
      <c r="AK10" s="103" t="s">
        <v>32</v>
      </c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4"/>
      <c r="BE10" s="104"/>
    </row>
    <row r="11" spans="1:57" ht="18">
      <c r="A11" s="104"/>
      <c r="B11" s="19" t="s">
        <v>0</v>
      </c>
      <c r="C11" s="104"/>
      <c r="D11" s="105" t="str">
        <f>E7</f>
        <v>Égua Prenhe 7 Meses</v>
      </c>
      <c r="E11" s="105"/>
      <c r="F11" s="106"/>
      <c r="G11" s="107">
        <f>E6*2.5%</f>
        <v>8.625</v>
      </c>
      <c r="H11" s="107">
        <f>VLOOKUP($D$11,Exigências!$B$1:$AH$103,4,FALSE)</f>
        <v>7.2</v>
      </c>
      <c r="I11" s="107">
        <f>VLOOKUP($D$11,Exigências!$B$1:$AH$103,5,FALSE)</f>
        <v>291</v>
      </c>
      <c r="J11" s="107">
        <f>VLOOKUP($D$11,Exigências!$B$1:$AH$103,6,FALSE)</f>
        <v>12.5</v>
      </c>
      <c r="K11" s="107">
        <f>VLOOKUP($D$11,Exigências!$B$1:$AH$103,7,FALSE)</f>
        <v>7.625</v>
      </c>
      <c r="L11" s="107">
        <f>VLOOKUP($D$11,Exigências!$B$1:$AH$103,8,FALSE)</f>
        <v>3.375</v>
      </c>
      <c r="M11" s="107">
        <f>VLOOKUP($D$11,Exigências!$B$1:$AH$103,9,FALSE)</f>
        <v>2.5</v>
      </c>
      <c r="N11" s="107">
        <f>VLOOKUP($D$11,Exigências!$B$1:$AH$103,10,FALSE)</f>
        <v>144.19999999999999</v>
      </c>
      <c r="O11" s="107">
        <f>VLOOKUP($D$11,Exigências!$B$1:$AH$103,11,FALSE)</f>
        <v>0</v>
      </c>
      <c r="P11" s="107">
        <f>VLOOKUP($D$11,Exigências!$B$1:$AH$103,12,FALSE)</f>
        <v>0</v>
      </c>
      <c r="Q11" s="107">
        <f>VLOOKUP($D$11,Exigências!$B$1:$AH$103,13,FALSE)</f>
        <v>206.00000000000003</v>
      </c>
      <c r="R11" s="107">
        <f>VLOOKUP($D$11,Exigências!$B$1:$AH$103,14,FALSE)</f>
        <v>0</v>
      </c>
      <c r="S11" s="107">
        <f>VLOOKUP($D$11,Exigências!$B$1:$AH$103,15,FALSE)</f>
        <v>11.2</v>
      </c>
      <c r="T11" s="107">
        <f>VLOOKUP($D$11,Exigências!$B$1:$AH$103,16,FALSE)</f>
        <v>8</v>
      </c>
      <c r="U11" s="107">
        <f>VLOOKUP($D$11,Exigências!$B$1:$AH$103,17,FALSE)</f>
        <v>0</v>
      </c>
      <c r="V11" s="107">
        <f>VLOOKUP($D$11,Exigências!$B$1:$AH$103,18,FALSE)</f>
        <v>0</v>
      </c>
      <c r="W11" s="107">
        <f>VLOOKUP($D$11,Exigências!$B$1:$AH$103,19,FALSE)</f>
        <v>0</v>
      </c>
      <c r="X11" s="107">
        <f>VLOOKUP($D$11,Exigências!$B$1:$AH$103,20,FALSE)</f>
        <v>0</v>
      </c>
      <c r="Y11" s="107">
        <f>VLOOKUP($D$11,Exigências!$B$1:$AH$103,21,FALSE)</f>
        <v>0</v>
      </c>
      <c r="Z11" s="107">
        <f>VLOOKUP($D$11,Exigências!$B$1:$AH$103,22,FALSE)</f>
        <v>0</v>
      </c>
      <c r="AA11" s="107">
        <f>VLOOKUP($D$11,Exigências!$B$1:$AH$103,23,FALSE)</f>
        <v>0</v>
      </c>
      <c r="AB11" s="108">
        <f>VLOOKUP($D$11,Exigências!$B$1:$AH$103,24,FALSE)</f>
        <v>0</v>
      </c>
      <c r="AC11" s="108">
        <f>VLOOKUP($D$11,Exigências!$B$1:$AH$103,25,FALSE)</f>
        <v>0</v>
      </c>
      <c r="AD11" s="108">
        <f>VLOOKUP($D$11,Exigências!$B$1:$AH$103,26,FALSE)</f>
        <v>0</v>
      </c>
      <c r="AE11" s="108">
        <f>VLOOKUP($D$11,Exigências!$B$1:$AH$103,27,FALSE)</f>
        <v>0</v>
      </c>
      <c r="AF11" s="108">
        <f>VLOOKUP($D$11,Exigências!$B$1:$AH$103,28,FALSE)</f>
        <v>0</v>
      </c>
      <c r="AG11" s="108">
        <f>VLOOKUP($D$11,Exigências!$B$1:$AH$103,29,FALSE)</f>
        <v>0</v>
      </c>
      <c r="AH11" s="108">
        <f>VLOOKUP($D$11,Exigências!$B$1:$AH$103,30,FALSE)</f>
        <v>0</v>
      </c>
      <c r="AI11" s="108">
        <f>VLOOKUP($D$11,Exigências!$B$1:$AH$103,31,FALSE)</f>
        <v>0</v>
      </c>
      <c r="AJ11" s="108">
        <f>VLOOKUP($D$11,Exigências!$B$1:$AH$103,32,FALSE)</f>
        <v>0</v>
      </c>
      <c r="AK11" s="108">
        <f>VLOOKUP($D$11,Exigências!$B$1:$AH$103,33,FALSE)</f>
        <v>0</v>
      </c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</row>
    <row r="12" spans="1:57" ht="14.4">
      <c r="A12" s="15"/>
      <c r="B12" s="20"/>
      <c r="C12" s="15"/>
      <c r="D12" s="109"/>
      <c r="E12" s="109"/>
      <c r="F12" s="109"/>
      <c r="G12" s="110"/>
      <c r="H12" s="51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</row>
    <row r="13" spans="1:57" ht="14.4">
      <c r="A13" s="15"/>
      <c r="B13" s="20"/>
      <c r="C13" s="15"/>
      <c r="D13" s="111" t="s">
        <v>285</v>
      </c>
      <c r="E13" s="112"/>
      <c r="F13" s="112"/>
      <c r="G13" s="113"/>
      <c r="H13" s="114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5"/>
      <c r="AC13" s="115"/>
      <c r="AD13" s="115"/>
      <c r="AE13" s="115"/>
      <c r="AF13" s="115"/>
      <c r="AG13" s="115"/>
      <c r="AH13" s="115"/>
      <c r="AI13" s="115"/>
      <c r="AJ13" s="115"/>
      <c r="AK13" s="1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</row>
    <row r="14" spans="1:57" ht="14.4">
      <c r="A14" s="15"/>
      <c r="B14" s="20"/>
      <c r="C14" s="15"/>
      <c r="D14" s="116" t="s">
        <v>286</v>
      </c>
      <c r="E14" s="117" t="s">
        <v>68</v>
      </c>
      <c r="F14" s="118" t="s">
        <v>69</v>
      </c>
      <c r="G14" s="117" t="s">
        <v>70</v>
      </c>
      <c r="H14" s="118" t="s">
        <v>3</v>
      </c>
      <c r="I14" s="118" t="s">
        <v>71</v>
      </c>
      <c r="J14" s="118" t="s">
        <v>287</v>
      </c>
      <c r="K14" s="118" t="s">
        <v>288</v>
      </c>
      <c r="L14" s="118" t="s">
        <v>289</v>
      </c>
      <c r="M14" s="118" t="s">
        <v>290</v>
      </c>
      <c r="N14" s="118" t="s">
        <v>76</v>
      </c>
      <c r="O14" s="118" t="s">
        <v>77</v>
      </c>
      <c r="P14" s="118" t="s">
        <v>78</v>
      </c>
      <c r="Q14" s="118" t="s">
        <v>79</v>
      </c>
      <c r="R14" s="118" t="s">
        <v>80</v>
      </c>
      <c r="S14" s="118" t="s">
        <v>81</v>
      </c>
      <c r="T14" s="118" t="s">
        <v>82</v>
      </c>
      <c r="U14" s="118" t="s">
        <v>83</v>
      </c>
      <c r="V14" s="118" t="s">
        <v>84</v>
      </c>
      <c r="W14" s="118" t="s">
        <v>85</v>
      </c>
      <c r="X14" s="118" t="s">
        <v>86</v>
      </c>
      <c r="Y14" s="118" t="s">
        <v>87</v>
      </c>
      <c r="Z14" s="101" t="s">
        <v>88</v>
      </c>
      <c r="AA14" s="118" t="s">
        <v>22</v>
      </c>
      <c r="AB14" s="119" t="s">
        <v>23</v>
      </c>
      <c r="AC14" s="119" t="s">
        <v>24</v>
      </c>
      <c r="AD14" s="119" t="s">
        <v>25</v>
      </c>
      <c r="AE14" s="119" t="s">
        <v>26</v>
      </c>
      <c r="AF14" s="119" t="s">
        <v>27</v>
      </c>
      <c r="AG14" s="119" t="s">
        <v>28</v>
      </c>
      <c r="AH14" s="119" t="s">
        <v>29</v>
      </c>
      <c r="AI14" s="119" t="s">
        <v>30</v>
      </c>
      <c r="AJ14" s="119" t="s">
        <v>31</v>
      </c>
      <c r="AK14" s="120" t="s">
        <v>32</v>
      </c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</row>
    <row r="15" spans="1:57" ht="14.4">
      <c r="A15" s="15"/>
      <c r="B15" s="20"/>
      <c r="C15" s="15"/>
      <c r="D15" s="121" t="s">
        <v>106</v>
      </c>
      <c r="E15" s="122" t="str">
        <f>IFERROR(VLOOKUP($D15,Alimentos!$D$2:$AZ$153,2,FALSE),0)</f>
        <v>Concentrado</v>
      </c>
      <c r="F15" s="122">
        <v>0</v>
      </c>
      <c r="G15" s="123">
        <f>IFERROR(VLOOKUP($D15,Alimentos!$D$2:$AZ$153,4,FALSE),0)</f>
        <v>90</v>
      </c>
      <c r="H15" s="123">
        <f>IFERROR(VLOOKUP($D15,Alimentos!$D$2:$AZ$153,5,FALSE),0)</f>
        <v>3.27</v>
      </c>
      <c r="I15" s="123">
        <f>IFERROR(VLOOKUP($D15,Alimentos!$D$2:$AZ$153,6,FALSE),0)</f>
        <v>13.2</v>
      </c>
      <c r="J15" s="123">
        <f>IFERROR(VLOOKUP($D15,Alimentos!$D$2:$AZ$153,7,FALSE),0)</f>
        <v>0.55000000000000004</v>
      </c>
      <c r="K15" s="123">
        <f>IFERROR(VLOOKUP($D15,Alimentos!$D$2:$AZ$153,8,FALSE),0)</f>
        <v>0</v>
      </c>
      <c r="L15" s="123">
        <f>IFERROR(VLOOKUP($D15,Alimentos!$D$2:$AZ$153,9,FALSE),0)</f>
        <v>0</v>
      </c>
      <c r="M15" s="123">
        <f>IFERROR(VLOOKUP($D15,Alimentos!$D$2:$AZ$153,10,FALSE),0)</f>
        <v>0</v>
      </c>
      <c r="N15" s="123">
        <f>IFERROR(VLOOKUP($D15,Alimentos!$D$2:$AZ$153,11,FALSE),0)</f>
        <v>5.0999999999999996</v>
      </c>
      <c r="O15" s="123">
        <f>IFERROR(VLOOKUP($D15,Alimentos!$D$2:$AZ$153,12,FALSE),0)</f>
        <v>30</v>
      </c>
      <c r="P15" s="123">
        <f>IFERROR(VLOOKUP($D15,Alimentos!$D$2:$AZ$153,13,FALSE),0)</f>
        <v>14.6</v>
      </c>
      <c r="Q15" s="123">
        <f>IFERROR(VLOOKUP($D15,Alimentos!$D$2:$AZ$153,14,FALSE),0)</f>
        <v>0</v>
      </c>
      <c r="R15" s="123">
        <f>IFERROR(VLOOKUP($D15,Alimentos!$D$2:$AZ$153,15,FALSE),0)</f>
        <v>3.3</v>
      </c>
      <c r="S15" s="123">
        <f>IFERROR(VLOOKUP($D15,Alimentos!$D$2:$AZ$153,16,FALSE),0)</f>
        <v>0.11</v>
      </c>
      <c r="T15" s="123">
        <f>IFERROR(VLOOKUP($D15,Alimentos!$D$2:$AZ$153,17,FALSE),0)</f>
        <v>0.4</v>
      </c>
      <c r="U15" s="123">
        <f>IFERROR(VLOOKUP($D15,Alimentos!$D$2:$AZ$153,18,FALSE),0)</f>
        <v>0.16</v>
      </c>
      <c r="V15" s="123">
        <f>IFERROR(VLOOKUP($D15,Alimentos!$D$2:$AZ$153,19,FALSE),0)</f>
        <v>0.52</v>
      </c>
      <c r="W15" s="123">
        <f>IFERROR(VLOOKUP($D15,Alimentos!$D$2:$AZ$153,20,FALSE),0)</f>
        <v>0.03</v>
      </c>
      <c r="X15" s="123">
        <f>IFERROR(VLOOKUP($D15,Alimentos!$D$2:$AZ$153,21,FALSE),0)</f>
        <v>0</v>
      </c>
      <c r="Y15" s="123">
        <f>IFERROR(VLOOKUP($D15,Alimentos!$D$2:$AZ$153,22,FALSE),0)</f>
        <v>0.19</v>
      </c>
      <c r="Z15" s="123">
        <f>IFERROR(VLOOKUP($D15,Alimentos!$D$2:$AZ$153,23,FALSE),0)</f>
        <v>0.06</v>
      </c>
      <c r="AA15" s="123">
        <f>IFERROR(VLOOKUP($D15,Alimentos!$D$2:$AZ$153,24,FALSE),0)</f>
        <v>8</v>
      </c>
      <c r="AB15" s="124">
        <f>IFERROR(VLOOKUP($D15,Alimentos!$D$2:$AZ$153,25,FALSE),0)</f>
        <v>0</v>
      </c>
      <c r="AC15" s="124">
        <f>IFERROR(VLOOKUP($D15,Alimentos!$D$2:$AZ$153,26,FALSE),0)</f>
        <v>106</v>
      </c>
      <c r="AD15" s="124">
        <f>IFERROR(VLOOKUP($D15,Alimentos!$D$2:$AZ$153,27,FALSE),0)</f>
        <v>43</v>
      </c>
      <c r="AE15" s="124">
        <f>IFERROR(VLOOKUP($D15,Alimentos!$D$2:$AZ$153,28,FALSE),0)</f>
        <v>0.48</v>
      </c>
      <c r="AF15" s="124">
        <f>IFERROR(VLOOKUP($D15,Alimentos!$D$2:$AZ$153,29,FALSE),0)</f>
        <v>41</v>
      </c>
      <c r="AG15" s="124">
        <f>IFERROR(VLOOKUP($D15,Alimentos!$D$2:$AZ$153,30,FALSE),0)</f>
        <v>0</v>
      </c>
      <c r="AH15" s="124">
        <f>IFERROR(VLOOKUP($D15,Alimentos!$D$2:$AZ$153,31,FALSE),0)</f>
        <v>0</v>
      </c>
      <c r="AI15" s="124">
        <f>IFERROR(VLOOKUP($D15,Alimentos!$D$2:$AZ$153,32,FALSE),0)</f>
        <v>0</v>
      </c>
      <c r="AJ15" s="124">
        <f>IFERROR(VLOOKUP($D15,Alimentos!$D$2:$AZ$153,33,FALSE),0)</f>
        <v>0</v>
      </c>
      <c r="AK15" s="125">
        <f>IFERROR(VLOOKUP($D15,Alimentos!$D$2:$AZ$153,34,FALSE),0)</f>
        <v>0</v>
      </c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</row>
    <row r="16" spans="1:57" ht="14.4">
      <c r="A16" s="18"/>
      <c r="B16" s="20"/>
      <c r="C16" s="18"/>
      <c r="D16" s="126" t="s">
        <v>154</v>
      </c>
      <c r="E16" s="127" t="str">
        <f>IFERROR(VLOOKUP($D16,Alimentos!$D$2:$AZ$153,2,FALSE),0)</f>
        <v>Concentrado</v>
      </c>
      <c r="F16" s="122">
        <f>IFERROR(VLOOKUP($D16,Alimentos!$D$2:$AZ$153,3,FALSE),0)</f>
        <v>0</v>
      </c>
      <c r="G16" s="123">
        <f>IFERROR(VLOOKUP($D16,Alimentos!$D$2:$AZ$153,4,FALSE),0)</f>
        <v>98</v>
      </c>
      <c r="H16" s="128">
        <f>IFERROR(VLOOKUP($D16,Alimentos!$D$2:$AZ$153,5,FALSE),0)</f>
        <v>4.2</v>
      </c>
      <c r="I16" s="128">
        <f>IFERROR(VLOOKUP($D16,Alimentos!$D$2:$AZ$153,6,FALSE),0)</f>
        <v>12</v>
      </c>
      <c r="J16" s="128">
        <f>IFERROR(VLOOKUP($D16,Alimentos!$D$2:$AZ$153,7,FALSE),0)</f>
        <v>6</v>
      </c>
      <c r="K16" s="128">
        <f>IFERROR(VLOOKUP($D16,Alimentos!$D$2:$AZ$153,8,FALSE),0)</f>
        <v>0</v>
      </c>
      <c r="L16" s="128">
        <f>IFERROR(VLOOKUP($D16,Alimentos!$D$2:$AZ$153,9,FALSE),0)</f>
        <v>1.8</v>
      </c>
      <c r="M16" s="128">
        <f>IFERROR(VLOOKUP($D16,Alimentos!$D$2:$AZ$153,10,FALSE),0)</f>
        <v>0</v>
      </c>
      <c r="N16" s="128">
        <f>IFERROR(VLOOKUP($D16,Alimentos!$D$2:$AZ$153,11,FALSE),0)</f>
        <v>11</v>
      </c>
      <c r="O16" s="128">
        <f>IFERROR(VLOOKUP($D16,Alimentos!$D$2:$AZ$153,12,FALSE),0)</f>
        <v>0</v>
      </c>
      <c r="P16" s="128">
        <f>IFERROR(VLOOKUP($D16,Alimentos!$D$2:$AZ$153,13,FALSE),0)</f>
        <v>0</v>
      </c>
      <c r="Q16" s="128">
        <f>IFERROR(VLOOKUP($D16,Alimentos!$D$2:$AZ$153,14,FALSE),0)</f>
        <v>0</v>
      </c>
      <c r="R16" s="128">
        <f>IFERROR(VLOOKUP($D16,Alimentos!$D$2:$AZ$153,15,FALSE),0)</f>
        <v>0</v>
      </c>
      <c r="S16" s="128">
        <f>IFERROR(VLOOKUP($D16,Alimentos!$D$2:$AZ$153,16,FALSE),0)</f>
        <v>14</v>
      </c>
      <c r="T16" s="128">
        <f>IFERROR(VLOOKUP($D16,Alimentos!$D$2:$AZ$153,17,FALSE),0)</f>
        <v>6</v>
      </c>
      <c r="U16" s="128">
        <f>IFERROR(VLOOKUP($D16,Alimentos!$D$2:$AZ$153,18,FALSE),0)</f>
        <v>0</v>
      </c>
      <c r="V16" s="128">
        <f>IFERROR(VLOOKUP($D16,Alimentos!$D$2:$AZ$153,19,FALSE),0)</f>
        <v>0</v>
      </c>
      <c r="W16" s="128">
        <f>IFERROR(VLOOKUP($D16,Alimentos!$D$2:$AZ$153,20,FALSE),0)</f>
        <v>0</v>
      </c>
      <c r="X16" s="128">
        <f>IFERROR(VLOOKUP($D16,Alimentos!$D$2:$AZ$153,21,FALSE),0)</f>
        <v>0</v>
      </c>
      <c r="Y16" s="128">
        <f>IFERROR(VLOOKUP($D16,Alimentos!$D$2:$AZ$153,22,FALSE),0)</f>
        <v>0</v>
      </c>
      <c r="Z16" s="128">
        <f>IFERROR(VLOOKUP($D16,Alimentos!$D$2:$AZ$153,23,FALSE),0)</f>
        <v>0</v>
      </c>
      <c r="AA16" s="128">
        <f>IFERROR(VLOOKUP($D16,Alimentos!$D$2:$AZ$153,24,FALSE),0)</f>
        <v>0</v>
      </c>
      <c r="AB16" s="129">
        <f>IFERROR(VLOOKUP($D16,Alimentos!$D$2:$AZ$153,25,FALSE),0)</f>
        <v>0</v>
      </c>
      <c r="AC16" s="129">
        <f>IFERROR(VLOOKUP($D16,Alimentos!$D$2:$AZ$153,26,FALSE),0)</f>
        <v>0</v>
      </c>
      <c r="AD16" s="129">
        <f>IFERROR(VLOOKUP($D16,Alimentos!$D$2:$AZ$153,27,FALSE),0)</f>
        <v>0</v>
      </c>
      <c r="AE16" s="129">
        <f>IFERROR(VLOOKUP($D16,Alimentos!$D$2:$AZ$153,28,FALSE),0)</f>
        <v>0</v>
      </c>
      <c r="AF16" s="129">
        <f>IFERROR(VLOOKUP($D16,Alimentos!$D$2:$AZ$153,29,FALSE),0)</f>
        <v>0</v>
      </c>
      <c r="AG16" s="129">
        <f>IFERROR(VLOOKUP($D16,Alimentos!$D$2:$AZ$153,30,FALSE),0)</f>
        <v>0</v>
      </c>
      <c r="AH16" s="129">
        <f>IFERROR(VLOOKUP($D16,Alimentos!$D$2:$AZ$153,31,FALSE),0)</f>
        <v>0</v>
      </c>
      <c r="AI16" s="129">
        <f>IFERROR(VLOOKUP($D16,Alimentos!$D$2:$AZ$153,32,FALSE),0)</f>
        <v>0</v>
      </c>
      <c r="AJ16" s="129">
        <f>IFERROR(VLOOKUP($D16,Alimentos!$D$2:$AZ$153,33,FALSE),0)</f>
        <v>0</v>
      </c>
      <c r="AK16" s="130">
        <f>IFERROR(VLOOKUP($D16,Alimentos!$D$2:$AZ$153,34,FALSE),0)</f>
        <v>0</v>
      </c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</row>
    <row r="17" spans="1:57" ht="14.4">
      <c r="A17" s="15"/>
      <c r="B17" s="20"/>
      <c r="C17" s="15"/>
      <c r="D17" s="126" t="s">
        <v>156</v>
      </c>
      <c r="E17" s="127" t="str">
        <f>IFERROR(VLOOKUP($D17,Alimentos!$D$2:$AZ$153,2,FALSE),0)</f>
        <v>Concentrado</v>
      </c>
      <c r="F17" s="131">
        <f>IFERROR(VLOOKUP($D17,Alimentos!$D$2:$AZ$153,3,FALSE),0)</f>
        <v>0</v>
      </c>
      <c r="G17" s="128">
        <f>IFERROR(VLOOKUP($D17,Alimentos!$D$2:$AZ$153,4,FALSE),0)</f>
        <v>87</v>
      </c>
      <c r="H17" s="128">
        <f>IFERROR(VLOOKUP($D17,Alimentos!$D$2:$AZ$153,5,FALSE),0)</f>
        <v>3</v>
      </c>
      <c r="I17" s="128">
        <f>IFERROR(VLOOKUP($D17,Alimentos!$D$2:$AZ$153,6,FALSE),0)</f>
        <v>13</v>
      </c>
      <c r="J17" s="128">
        <f>IFERROR(VLOOKUP($D17,Alimentos!$D$2:$AZ$153,7,FALSE),0)</f>
        <v>0.5</v>
      </c>
      <c r="K17" s="128">
        <f>IFERROR(VLOOKUP($D17,Alimentos!$D$2:$AZ$153,8,FALSE),0)</f>
        <v>0</v>
      </c>
      <c r="L17" s="128">
        <f>IFERROR(VLOOKUP($D17,Alimentos!$D$2:$AZ$153,9,FALSE),0)</f>
        <v>0.17</v>
      </c>
      <c r="M17" s="128">
        <f>IFERROR(VLOOKUP($D17,Alimentos!$D$2:$AZ$153,10,FALSE),0)</f>
        <v>0</v>
      </c>
      <c r="N17" s="128">
        <f>IFERROR(VLOOKUP($D17,Alimentos!$D$2:$AZ$153,11,FALSE),0)</f>
        <v>2</v>
      </c>
      <c r="O17" s="128">
        <f>IFERROR(VLOOKUP($D17,Alimentos!$D$2:$AZ$153,12,FALSE),0)</f>
        <v>20</v>
      </c>
      <c r="P17" s="128">
        <f>IFERROR(VLOOKUP($D17,Alimentos!$D$2:$AZ$153,13,FALSE),0)</f>
        <v>26</v>
      </c>
      <c r="Q17" s="128">
        <f>IFERROR(VLOOKUP($D17,Alimentos!$D$2:$AZ$153,14,FALSE),0)</f>
        <v>45</v>
      </c>
      <c r="R17" s="128">
        <f>IFERROR(VLOOKUP($D17,Alimentos!$D$2:$AZ$153,15,FALSE),0)</f>
        <v>12</v>
      </c>
      <c r="S17" s="128">
        <f>IFERROR(VLOOKUP($D17,Alimentos!$D$2:$AZ$153,16,FALSE),0)</f>
        <v>1</v>
      </c>
      <c r="T17" s="128">
        <f>IFERROR(VLOOKUP($D17,Alimentos!$D$2:$AZ$153,17,FALSE),0)</f>
        <v>0.5</v>
      </c>
      <c r="U17" s="128">
        <f>IFERROR(VLOOKUP($D17,Alimentos!$D$2:$AZ$153,18,FALSE),0)</f>
        <v>0</v>
      </c>
      <c r="V17" s="128">
        <f>IFERROR(VLOOKUP($D17,Alimentos!$D$2:$AZ$153,19,FALSE),0)</f>
        <v>0</v>
      </c>
      <c r="W17" s="128">
        <f>IFERROR(VLOOKUP($D17,Alimentos!$D$2:$AZ$153,20,FALSE),0)</f>
        <v>0</v>
      </c>
      <c r="X17" s="128">
        <f>IFERROR(VLOOKUP($D17,Alimentos!$D$2:$AZ$153,21,FALSE),0)</f>
        <v>0</v>
      </c>
      <c r="Y17" s="128">
        <f>IFERROR(VLOOKUP($D17,Alimentos!$D$2:$AZ$153,22,FALSE),0)</f>
        <v>0</v>
      </c>
      <c r="Z17" s="128">
        <f>IFERROR(VLOOKUP($D17,Alimentos!$D$2:$AZ$153,23,FALSE),0)</f>
        <v>0.12</v>
      </c>
      <c r="AA17" s="128">
        <f>IFERROR(VLOOKUP($D17,Alimentos!$D$2:$AZ$153,24,FALSE),0)</f>
        <v>24</v>
      </c>
      <c r="AB17" s="129">
        <f>IFERROR(VLOOKUP($D17,Alimentos!$D$2:$AZ$153,25,FALSE),0)</f>
        <v>1.5</v>
      </c>
      <c r="AC17" s="129">
        <f>IFERROR(VLOOKUP($D17,Alimentos!$D$2:$AZ$153,26,FALSE),0)</f>
        <v>62</v>
      </c>
      <c r="AD17" s="129">
        <f>IFERROR(VLOOKUP($D17,Alimentos!$D$2:$AZ$153,27,FALSE),0)</f>
        <v>62</v>
      </c>
      <c r="AE17" s="129">
        <f>IFERROR(VLOOKUP($D17,Alimentos!$D$2:$AZ$153,28,FALSE),0)</f>
        <v>0.06</v>
      </c>
      <c r="AF17" s="129">
        <f>IFERROR(VLOOKUP($D17,Alimentos!$D$2:$AZ$153,29,FALSE),0)</f>
        <v>74</v>
      </c>
      <c r="AG17" s="129">
        <f>IFERROR(VLOOKUP($D17,Alimentos!$D$2:$AZ$153,30,FALSE),0)</f>
        <v>66</v>
      </c>
      <c r="AH17" s="129">
        <f>IFERROR(VLOOKUP($D17,Alimentos!$D$2:$AZ$153,31,FALSE),0)</f>
        <v>660</v>
      </c>
      <c r="AI17" s="129">
        <f>IFERROR(VLOOKUP($D17,Alimentos!$D$2:$AZ$153,32,FALSE),0)</f>
        <v>80</v>
      </c>
      <c r="AJ17" s="129">
        <f>IFERROR(VLOOKUP($D17,Alimentos!$D$2:$AZ$153,33,FALSE),0)</f>
        <v>2.5</v>
      </c>
      <c r="AK17" s="130">
        <f>IFERROR(VLOOKUP($D17,Alimentos!$D$2:$AZ$153,34,FALSE),0)</f>
        <v>1.25</v>
      </c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</row>
    <row r="18" spans="1:57" ht="14.4">
      <c r="A18" s="15"/>
      <c r="B18" s="20"/>
      <c r="C18" s="15"/>
      <c r="D18" s="126" t="s">
        <v>157</v>
      </c>
      <c r="E18" s="127" t="str">
        <f>IFERROR(VLOOKUP($D18,Alimentos!$D$2:$AZ$153,2,FALSE),0)</f>
        <v>Concentrado</v>
      </c>
      <c r="F18" s="131">
        <f>IFERROR(VLOOKUP($D18,Alimentos!$D$2:$AZ$153,3,FALSE),0)</f>
        <v>0</v>
      </c>
      <c r="G18" s="128">
        <f>IFERROR(VLOOKUP($D18,Alimentos!$D$2:$AZ$153,4,FALSE),0)</f>
        <v>89</v>
      </c>
      <c r="H18" s="128">
        <f>IFERROR(VLOOKUP($D18,Alimentos!$D$2:$AZ$153,5,FALSE),0)</f>
        <v>3.2</v>
      </c>
      <c r="I18" s="128">
        <f>IFERROR(VLOOKUP($D18,Alimentos!$D$2:$AZ$153,6,FALSE),0)</f>
        <v>15</v>
      </c>
      <c r="J18" s="128">
        <f>IFERROR(VLOOKUP($D18,Alimentos!$D$2:$AZ$153,7,FALSE),0)</f>
        <v>0</v>
      </c>
      <c r="K18" s="128">
        <f>IFERROR(VLOOKUP($D18,Alimentos!$D$2:$AZ$153,8,FALSE),0)</f>
        <v>0</v>
      </c>
      <c r="L18" s="128">
        <f>IFERROR(VLOOKUP($D18,Alimentos!$D$2:$AZ$153,9,FALSE),0)</f>
        <v>0</v>
      </c>
      <c r="M18" s="128">
        <f>IFERROR(VLOOKUP($D18,Alimentos!$D$2:$AZ$153,10,FALSE),0)</f>
        <v>0</v>
      </c>
      <c r="N18" s="128">
        <f>IFERROR(VLOOKUP($D18,Alimentos!$D$2:$AZ$153,11,FALSE),0)</f>
        <v>3</v>
      </c>
      <c r="O18" s="128">
        <f>IFERROR(VLOOKUP($D18,Alimentos!$D$2:$AZ$153,12,FALSE),0)</f>
        <v>20</v>
      </c>
      <c r="P18" s="128">
        <f>IFERROR(VLOOKUP($D18,Alimentos!$D$2:$AZ$153,13,FALSE),0)</f>
        <v>0</v>
      </c>
      <c r="Q18" s="128">
        <f>IFERROR(VLOOKUP($D18,Alimentos!$D$2:$AZ$153,14,FALSE),0)</f>
        <v>40</v>
      </c>
      <c r="R18" s="128">
        <f>IFERROR(VLOOKUP($D18,Alimentos!$D$2:$AZ$153,15,FALSE),0)</f>
        <v>0</v>
      </c>
      <c r="S18" s="128">
        <f>IFERROR(VLOOKUP($D18,Alimentos!$D$2:$AZ$153,16,FALSE),0)</f>
        <v>2.5</v>
      </c>
      <c r="T18" s="128">
        <f>IFERROR(VLOOKUP($D18,Alimentos!$D$2:$AZ$153,17,FALSE),0)</f>
        <v>0.5</v>
      </c>
      <c r="U18" s="128">
        <f>IFERROR(VLOOKUP($D18,Alimentos!$D$2:$AZ$153,18,FALSE),0)</f>
        <v>0</v>
      </c>
      <c r="V18" s="128">
        <f>IFERROR(VLOOKUP($D18,Alimentos!$D$2:$AZ$153,19,FALSE),0)</f>
        <v>0</v>
      </c>
      <c r="W18" s="128">
        <f>IFERROR(VLOOKUP($D18,Alimentos!$D$2:$AZ$153,20,FALSE),0)</f>
        <v>0</v>
      </c>
      <c r="X18" s="128">
        <f>IFERROR(VLOOKUP($D18,Alimentos!$D$2:$AZ$153,21,FALSE),0)</f>
        <v>0</v>
      </c>
      <c r="Y18" s="128">
        <f>IFERROR(VLOOKUP($D18,Alimentos!$D$2:$AZ$153,22,FALSE),0)</f>
        <v>0</v>
      </c>
      <c r="Z18" s="128">
        <f>IFERROR(VLOOKUP($D18,Alimentos!$D$2:$AZ$153,23,FALSE),0)</f>
        <v>0</v>
      </c>
      <c r="AA18" s="128">
        <f>IFERROR(VLOOKUP($D18,Alimentos!$D$2:$AZ$153,24,FALSE),0)</f>
        <v>0</v>
      </c>
      <c r="AB18" s="129">
        <f>IFERROR(VLOOKUP($D18,Alimentos!$D$2:$AZ$153,25,FALSE),0)</f>
        <v>0</v>
      </c>
      <c r="AC18" s="129">
        <f>IFERROR(VLOOKUP($D18,Alimentos!$D$2:$AZ$153,26,FALSE),0)</f>
        <v>0</v>
      </c>
      <c r="AD18" s="129">
        <f>IFERROR(VLOOKUP($D18,Alimentos!$D$2:$AZ$153,27,FALSE),0)</f>
        <v>0</v>
      </c>
      <c r="AE18" s="129">
        <f>IFERROR(VLOOKUP($D18,Alimentos!$D$2:$AZ$153,28,FALSE),0)</f>
        <v>0</v>
      </c>
      <c r="AF18" s="129">
        <f>IFERROR(VLOOKUP($D18,Alimentos!$D$2:$AZ$153,29,FALSE),0)</f>
        <v>0</v>
      </c>
      <c r="AG18" s="129">
        <f>IFERROR(VLOOKUP($D18,Alimentos!$D$2:$AZ$153,30,FALSE),0)</f>
        <v>0</v>
      </c>
      <c r="AH18" s="129">
        <f>IFERROR(VLOOKUP($D18,Alimentos!$D$2:$AZ$153,31,FALSE),0)</f>
        <v>0</v>
      </c>
      <c r="AI18" s="129">
        <f>IFERROR(VLOOKUP($D18,Alimentos!$D$2:$AZ$153,32,FALSE),0)</f>
        <v>0</v>
      </c>
      <c r="AJ18" s="129">
        <f>IFERROR(VLOOKUP($D18,Alimentos!$D$2:$AZ$153,33,FALSE),0)</f>
        <v>0</v>
      </c>
      <c r="AK18" s="130">
        <f>IFERROR(VLOOKUP($D18,Alimentos!$D$2:$AZ$153,34,FALSE),0)</f>
        <v>0</v>
      </c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</row>
    <row r="19" spans="1:57" ht="14.4">
      <c r="A19" s="15"/>
      <c r="B19" s="20"/>
      <c r="C19" s="15"/>
      <c r="D19" s="126" t="s">
        <v>192</v>
      </c>
      <c r="E19" s="127" t="str">
        <f>IFERROR(VLOOKUP($D19,Alimentos!$D$2:$AZ$153,2,FALSE),0)</f>
        <v>Gordura</v>
      </c>
      <c r="F19" s="131">
        <f>IFERROR(VLOOKUP($D19,Alimentos!$D$2:$AZ$153,3,FALSE),0)</f>
        <v>0</v>
      </c>
      <c r="G19" s="128">
        <f>IFERROR(VLOOKUP($D19,Alimentos!$D$2:$AZ$153,4,FALSE),0)</f>
        <v>100</v>
      </c>
      <c r="H19" s="128">
        <f>IFERROR(VLOOKUP($D19,Alimentos!$D$2:$AZ$153,5,FALSE),0)</f>
        <v>9.19</v>
      </c>
      <c r="I19" s="128">
        <f>IFERROR(VLOOKUP($D19,Alimentos!$D$2:$AZ$153,6,FALSE),0)</f>
        <v>0</v>
      </c>
      <c r="J19" s="128">
        <f>IFERROR(VLOOKUP($D19,Alimentos!$D$2:$AZ$153,7,FALSE),0)</f>
        <v>0</v>
      </c>
      <c r="K19" s="128">
        <f>IFERROR(VLOOKUP($D19,Alimentos!$D$2:$AZ$153,8,FALSE),0)</f>
        <v>0</v>
      </c>
      <c r="L19" s="128">
        <f>IFERROR(VLOOKUP($D19,Alimentos!$D$2:$AZ$153,9,FALSE),0)</f>
        <v>0</v>
      </c>
      <c r="M19" s="128">
        <f>IFERROR(VLOOKUP($D19,Alimentos!$D$2:$AZ$153,10,FALSE),0)</f>
        <v>0</v>
      </c>
      <c r="N19" s="128">
        <f>IFERROR(VLOOKUP($D19,Alimentos!$D$2:$AZ$153,11,FALSE),0)</f>
        <v>99.9</v>
      </c>
      <c r="O19" s="128">
        <f>IFERROR(VLOOKUP($D19,Alimentos!$D$2:$AZ$153,12,FALSE),0)</f>
        <v>0</v>
      </c>
      <c r="P19" s="128">
        <f>IFERROR(VLOOKUP($D19,Alimentos!$D$2:$AZ$153,13,FALSE),0)</f>
        <v>0</v>
      </c>
      <c r="Q19" s="128">
        <f>IFERROR(VLOOKUP($D19,Alimentos!$D$2:$AZ$153,14,FALSE),0)</f>
        <v>0</v>
      </c>
      <c r="R19" s="128">
        <f>IFERROR(VLOOKUP($D19,Alimentos!$D$2:$AZ$153,15,FALSE),0)</f>
        <v>0</v>
      </c>
      <c r="S19" s="128">
        <f>IFERROR(VLOOKUP($D19,Alimentos!$D$2:$AZ$153,16,FALSE),0)</f>
        <v>0</v>
      </c>
      <c r="T19" s="128">
        <f>IFERROR(VLOOKUP($D19,Alimentos!$D$2:$AZ$153,17,FALSE),0)</f>
        <v>0</v>
      </c>
      <c r="U19" s="128">
        <f>IFERROR(VLOOKUP($D19,Alimentos!$D$2:$AZ$153,18,FALSE),0)</f>
        <v>0</v>
      </c>
      <c r="V19" s="128">
        <f>IFERROR(VLOOKUP($D19,Alimentos!$D$2:$AZ$153,19,FALSE),0)</f>
        <v>0</v>
      </c>
      <c r="W19" s="128">
        <f>IFERROR(VLOOKUP($D19,Alimentos!$D$2:$AZ$153,20,FALSE),0)</f>
        <v>0</v>
      </c>
      <c r="X19" s="128">
        <f>IFERROR(VLOOKUP($D19,Alimentos!$D$2:$AZ$153,21,FALSE),0)</f>
        <v>0</v>
      </c>
      <c r="Y19" s="128">
        <f>IFERROR(VLOOKUP($D19,Alimentos!$D$2:$AZ$153,22,FALSE),0)</f>
        <v>0</v>
      </c>
      <c r="Z19" s="128">
        <f>IFERROR(VLOOKUP($D19,Alimentos!$D$2:$AZ$153,23,FALSE),0)</f>
        <v>0</v>
      </c>
      <c r="AA19" s="128">
        <f>IFERROR(VLOOKUP($D19,Alimentos!$D$2:$AZ$153,24,FALSE),0)</f>
        <v>0</v>
      </c>
      <c r="AB19" s="129">
        <f>IFERROR(VLOOKUP($D19,Alimentos!$D$2:$AZ$153,25,FALSE),0)</f>
        <v>0</v>
      </c>
      <c r="AC19" s="129">
        <f>IFERROR(VLOOKUP($D19,Alimentos!$D$2:$AZ$153,26,FALSE),0)</f>
        <v>0</v>
      </c>
      <c r="AD19" s="129">
        <f>IFERROR(VLOOKUP($D19,Alimentos!$D$2:$AZ$153,27,FALSE),0)</f>
        <v>0</v>
      </c>
      <c r="AE19" s="129">
        <f>IFERROR(VLOOKUP($D19,Alimentos!$D$2:$AZ$153,28,FALSE),0)</f>
        <v>0</v>
      </c>
      <c r="AF19" s="129">
        <f>IFERROR(VLOOKUP($D19,Alimentos!$D$2:$AZ$153,29,FALSE),0)</f>
        <v>0</v>
      </c>
      <c r="AG19" s="129">
        <f>IFERROR(VLOOKUP($D19,Alimentos!$D$2:$AZ$153,30,FALSE),0)</f>
        <v>0</v>
      </c>
      <c r="AH19" s="129">
        <f>IFERROR(VLOOKUP($D19,Alimentos!$D$2:$AZ$153,31,FALSE),0)</f>
        <v>0</v>
      </c>
      <c r="AI19" s="129">
        <f>IFERROR(VLOOKUP($D19,Alimentos!$D$2:$AZ$153,32,FALSE),0)</f>
        <v>0</v>
      </c>
      <c r="AJ19" s="129">
        <f>IFERROR(VLOOKUP($D19,Alimentos!$D$2:$AZ$153,33,FALSE),0)</f>
        <v>0</v>
      </c>
      <c r="AK19" s="130">
        <f>IFERROR(VLOOKUP($D19,Alimentos!$D$2:$AZ$153,34,FALSE),0)</f>
        <v>0</v>
      </c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</row>
    <row r="20" spans="1:57" ht="14.4">
      <c r="A20" s="15"/>
      <c r="B20" s="20"/>
      <c r="C20" s="15"/>
      <c r="D20" s="126" t="s">
        <v>119</v>
      </c>
      <c r="E20" s="127" t="str">
        <f>IFERROR(VLOOKUP($D20,Alimentos!$D$2:$AZ$153,2,FALSE),0)</f>
        <v>Suplemento</v>
      </c>
      <c r="F20" s="131">
        <v>0</v>
      </c>
      <c r="G20" s="128">
        <f>IFERROR(VLOOKUP($D20,Alimentos!$D$2:$AZ$153,4,FALSE),0)</f>
        <v>99</v>
      </c>
      <c r="H20" s="128">
        <f>IFERROR(VLOOKUP($D20,Alimentos!$D$2:$AZ$153,5,FALSE),0)</f>
        <v>0</v>
      </c>
      <c r="I20" s="128">
        <f>IFERROR(VLOOKUP($D20,Alimentos!$D$2:$AZ$153,6,FALSE),0)</f>
        <v>20</v>
      </c>
      <c r="J20" s="128">
        <f>IFERROR(VLOOKUP($D20,Alimentos!$D$2:$AZ$153,7,FALSE),0)</f>
        <v>10.54</v>
      </c>
      <c r="K20" s="128">
        <f>IFERROR(VLOOKUP($D20,Alimentos!$D$2:$AZ$153,8,FALSE),0)</f>
        <v>6.33</v>
      </c>
      <c r="L20" s="128">
        <f>IFERROR(VLOOKUP($D20,Alimentos!$D$2:$AZ$153,9,FALSE),0)</f>
        <v>2.86</v>
      </c>
      <c r="M20" s="128">
        <f>IFERROR(VLOOKUP($D20,Alimentos!$D$2:$AZ$153,10,FALSE),0)</f>
        <v>2.11</v>
      </c>
      <c r="N20" s="128">
        <f>IFERROR(VLOOKUP($D20,Alimentos!$D$2:$AZ$153,11,FALSE),0)</f>
        <v>0</v>
      </c>
      <c r="O20" s="128">
        <f>IFERROR(VLOOKUP($D20,Alimentos!$D$2:$AZ$153,12,FALSE),0)</f>
        <v>0</v>
      </c>
      <c r="P20" s="128">
        <f>IFERROR(VLOOKUP($D20,Alimentos!$D$2:$AZ$153,13,FALSE),0)</f>
        <v>0</v>
      </c>
      <c r="Q20" s="128">
        <f>IFERROR(VLOOKUP($D20,Alimentos!$D$2:$AZ$153,14,FALSE),0)</f>
        <v>0</v>
      </c>
      <c r="R20" s="128">
        <f>IFERROR(VLOOKUP($D20,Alimentos!$D$2:$AZ$153,15,FALSE),0)</f>
        <v>99</v>
      </c>
      <c r="S20" s="128">
        <f>IFERROR(VLOOKUP($D20,Alimentos!$D$2:$AZ$153,16,FALSE),0)</f>
        <v>11.5</v>
      </c>
      <c r="T20" s="128">
        <f>IFERROR(VLOOKUP($D20,Alimentos!$D$2:$AZ$153,17,FALSE),0)</f>
        <v>5.79</v>
      </c>
      <c r="U20" s="128">
        <f>IFERROR(VLOOKUP($D20,Alimentos!$D$2:$AZ$153,18,FALSE),0)</f>
        <v>1.43</v>
      </c>
      <c r="V20" s="128">
        <f>IFERROR(VLOOKUP($D20,Alimentos!$D$2:$AZ$153,19,FALSE),0)</f>
        <v>0</v>
      </c>
      <c r="W20" s="128">
        <f>IFERROR(VLOOKUP($D20,Alimentos!$D$2:$AZ$153,20,FALSE),0)</f>
        <v>1.04</v>
      </c>
      <c r="X20" s="128">
        <f>IFERROR(VLOOKUP($D20,Alimentos!$D$2:$AZ$153,21,FALSE),0)</f>
        <v>0</v>
      </c>
      <c r="Y20" s="128">
        <f>IFERROR(VLOOKUP($D20,Alimentos!$D$2:$AZ$153,22,FALSE),0)</f>
        <v>2.0099999999999998</v>
      </c>
      <c r="Z20" s="128">
        <f>IFERROR(VLOOKUP($D20,Alimentos!$D$2:$AZ$153,23,FALSE),0)</f>
        <v>2</v>
      </c>
      <c r="AA20" s="128">
        <f>IFERROR(VLOOKUP($D20,Alimentos!$D$2:$AZ$153,24,FALSE),0)</f>
        <v>391.66</v>
      </c>
      <c r="AB20" s="129">
        <f>IFERROR(VLOOKUP($D20,Alimentos!$D$2:$AZ$153,25,FALSE),0)</f>
        <v>10.02</v>
      </c>
      <c r="AC20" s="129">
        <f>IFERROR(VLOOKUP($D20,Alimentos!$D$2:$AZ$153,26,FALSE),0)</f>
        <v>1949</v>
      </c>
      <c r="AD20" s="129">
        <f>IFERROR(VLOOKUP($D20,Alimentos!$D$2:$AZ$153,27,FALSE),0)</f>
        <v>1300</v>
      </c>
      <c r="AE20" s="129">
        <f>IFERROR(VLOOKUP($D20,Alimentos!$D$2:$AZ$153,28,FALSE),0)</f>
        <v>3.9</v>
      </c>
      <c r="AF20" s="129">
        <f>IFERROR(VLOOKUP($D20,Alimentos!$D$2:$AZ$153,29,FALSE),0)</f>
        <v>1580</v>
      </c>
      <c r="AG20" s="129">
        <f>IFERROR(VLOOKUP($D20,Alimentos!$D$2:$AZ$153,30,FALSE),0)</f>
        <v>7323</v>
      </c>
      <c r="AH20" s="129">
        <f>IFERROR(VLOOKUP($D20,Alimentos!$D$2:$AZ$153,31,FALSE),0)</f>
        <v>28216</v>
      </c>
      <c r="AI20" s="129">
        <f>IFERROR(VLOOKUP($D20,Alimentos!$D$2:$AZ$153,32,FALSE),0)</f>
        <v>3167</v>
      </c>
      <c r="AJ20" s="129">
        <f>IFERROR(VLOOKUP($D20,Alimentos!$D$2:$AZ$153,33,FALSE),0)</f>
        <v>0</v>
      </c>
      <c r="AK20" s="130">
        <f>IFERROR(VLOOKUP($D20,Alimentos!$D$2:$AZ$153,34,FALSE),0)</f>
        <v>0</v>
      </c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</row>
    <row r="21" spans="1:57" ht="15.75" customHeight="1">
      <c r="A21" s="15"/>
      <c r="B21" s="20"/>
      <c r="C21" s="15"/>
      <c r="D21" s="126"/>
      <c r="E21" s="127">
        <f>IFERROR(VLOOKUP($D21,Alimentos!$D$2:$AZ$153,2,FALSE),0)</f>
        <v>0</v>
      </c>
      <c r="F21" s="131">
        <f>IFERROR(VLOOKUP($D21,Alimentos!$D$2:$AZ$153,3,FALSE),0)</f>
        <v>0</v>
      </c>
      <c r="G21" s="128">
        <f>IFERROR(VLOOKUP($D21,Alimentos!$D$2:$AZ$153,4,FALSE),0)</f>
        <v>0</v>
      </c>
      <c r="H21" s="128">
        <f>IFERROR(VLOOKUP($D21,Alimentos!$D$2:$AZ$153,5,FALSE),0)</f>
        <v>0</v>
      </c>
      <c r="I21" s="128">
        <f>IFERROR(VLOOKUP($D21,Alimentos!$D$2:$AZ$153,6,FALSE),0)</f>
        <v>0</v>
      </c>
      <c r="J21" s="128">
        <f>IFERROR(VLOOKUP($D21,Alimentos!$D$2:$AZ$153,7,FALSE),0)</f>
        <v>0</v>
      </c>
      <c r="K21" s="128">
        <f>IFERROR(VLOOKUP($D21,Alimentos!$D$2:$AZ$153,8,FALSE),0)</f>
        <v>0</v>
      </c>
      <c r="L21" s="128">
        <f>IFERROR(VLOOKUP($D21,Alimentos!$D$2:$AZ$153,9,FALSE),0)</f>
        <v>0</v>
      </c>
      <c r="M21" s="128">
        <f>IFERROR(VLOOKUP($D21,Alimentos!$D$2:$AZ$153,10,FALSE),0)</f>
        <v>0</v>
      </c>
      <c r="N21" s="128">
        <f>IFERROR(VLOOKUP($D21,Alimentos!$D$2:$AZ$153,11,FALSE),0)</f>
        <v>0</v>
      </c>
      <c r="O21" s="128">
        <f>IFERROR(VLOOKUP($D21,Alimentos!$D$2:$AZ$153,12,FALSE),0)</f>
        <v>0</v>
      </c>
      <c r="P21" s="128">
        <f>IFERROR(VLOOKUP($D21,Alimentos!$D$2:$AZ$153,13,FALSE),0)</f>
        <v>0</v>
      </c>
      <c r="Q21" s="128">
        <f>IFERROR(VLOOKUP($D21,Alimentos!$D$2:$AZ$153,14,FALSE),0)</f>
        <v>0</v>
      </c>
      <c r="R21" s="128">
        <f>IFERROR(VLOOKUP($D21,Alimentos!$D$2:$AZ$153,15,FALSE),0)</f>
        <v>0</v>
      </c>
      <c r="S21" s="128">
        <f>IFERROR(VLOOKUP($D21,Alimentos!$D$2:$AZ$153,16,FALSE),0)</f>
        <v>0</v>
      </c>
      <c r="T21" s="128">
        <f>IFERROR(VLOOKUP($D21,Alimentos!$D$2:$AZ$153,17,FALSE),0)</f>
        <v>0</v>
      </c>
      <c r="U21" s="128">
        <f>IFERROR(VLOOKUP($D21,Alimentos!$D$2:$AZ$153,18,FALSE),0)</f>
        <v>0</v>
      </c>
      <c r="V21" s="128">
        <f>IFERROR(VLOOKUP($D21,Alimentos!$D$2:$AZ$153,19,FALSE),0)</f>
        <v>0</v>
      </c>
      <c r="W21" s="128">
        <f>IFERROR(VLOOKUP($D21,Alimentos!$D$2:$AZ$153,20,FALSE),0)</f>
        <v>0</v>
      </c>
      <c r="X21" s="128">
        <f>IFERROR(VLOOKUP($D21,Alimentos!$D$2:$AZ$153,21,FALSE),0)</f>
        <v>0</v>
      </c>
      <c r="Y21" s="128">
        <f>IFERROR(VLOOKUP($D21,Alimentos!$D$2:$AZ$153,22,FALSE),0)</f>
        <v>0</v>
      </c>
      <c r="Z21" s="128">
        <f>IFERROR(VLOOKUP($D21,Alimentos!$D$2:$AZ$153,23,FALSE),0)</f>
        <v>0</v>
      </c>
      <c r="AA21" s="128">
        <f>IFERROR(VLOOKUP($D21,Alimentos!$D$2:$AZ$153,24,FALSE),0)</f>
        <v>0</v>
      </c>
      <c r="AB21" s="129">
        <f>IFERROR(VLOOKUP($D21,Alimentos!$D$2:$AZ$153,25,FALSE),0)</f>
        <v>0</v>
      </c>
      <c r="AC21" s="129">
        <f>IFERROR(VLOOKUP($D21,Alimentos!$D$2:$AZ$153,26,FALSE),0)</f>
        <v>0</v>
      </c>
      <c r="AD21" s="129">
        <f>IFERROR(VLOOKUP($D21,Alimentos!$D$2:$AZ$153,27,FALSE),0)</f>
        <v>0</v>
      </c>
      <c r="AE21" s="129">
        <f>IFERROR(VLOOKUP($D21,Alimentos!$D$2:$AZ$153,28,FALSE),0)</f>
        <v>0</v>
      </c>
      <c r="AF21" s="129">
        <f>IFERROR(VLOOKUP($D21,Alimentos!$D$2:$AZ$153,29,FALSE),0)</f>
        <v>0</v>
      </c>
      <c r="AG21" s="129">
        <f>IFERROR(VLOOKUP($D21,Alimentos!$D$2:$AZ$153,30,FALSE),0)</f>
        <v>0</v>
      </c>
      <c r="AH21" s="129">
        <f>IFERROR(VLOOKUP($D21,Alimentos!$D$2:$AZ$153,31,FALSE),0)</f>
        <v>0</v>
      </c>
      <c r="AI21" s="129">
        <f>IFERROR(VLOOKUP($D21,Alimentos!$D$2:$AZ$153,32,FALSE),0)</f>
        <v>0</v>
      </c>
      <c r="AJ21" s="129">
        <f>IFERROR(VLOOKUP($D21,Alimentos!$D$2:$AZ$153,33,FALSE),0)</f>
        <v>0</v>
      </c>
      <c r="AK21" s="130">
        <f>IFERROR(VLOOKUP($D21,Alimentos!$D$2:$AZ$153,34,FALSE),0)</f>
        <v>0</v>
      </c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</row>
    <row r="22" spans="1:57" ht="15.75" customHeight="1">
      <c r="A22" s="15"/>
      <c r="B22" s="20"/>
      <c r="C22" s="15"/>
      <c r="D22" s="126"/>
      <c r="E22" s="127">
        <f>IFERROR(VLOOKUP($D22,Alimentos!$D$2:$AZ$153,2,FALSE),0)</f>
        <v>0</v>
      </c>
      <c r="F22" s="131">
        <f>IFERROR(VLOOKUP($D22,Alimentos!$D$2:$AZ$153,3,FALSE),0)</f>
        <v>0</v>
      </c>
      <c r="G22" s="128">
        <f>IFERROR(VLOOKUP($D22,Alimentos!$D$2:$AZ$153,4,FALSE),0)</f>
        <v>0</v>
      </c>
      <c r="H22" s="128">
        <f>IFERROR(VLOOKUP($D22,Alimentos!$D$2:$AZ$153,5,FALSE),0)</f>
        <v>0</v>
      </c>
      <c r="I22" s="128">
        <f>IFERROR(VLOOKUP($D22,Alimentos!$D$2:$AZ$153,6,FALSE),0)</f>
        <v>0</v>
      </c>
      <c r="J22" s="128">
        <f>IFERROR(VLOOKUP($D22,Alimentos!$D$2:$AZ$153,7,FALSE),0)</f>
        <v>0</v>
      </c>
      <c r="K22" s="128">
        <f>IFERROR(VLOOKUP($D22,Alimentos!$D$2:$AZ$153,8,FALSE),0)</f>
        <v>0</v>
      </c>
      <c r="L22" s="128">
        <f>IFERROR(VLOOKUP($D22,Alimentos!$D$2:$AZ$153,9,FALSE),0)</f>
        <v>0</v>
      </c>
      <c r="M22" s="128">
        <f>IFERROR(VLOOKUP($D22,Alimentos!$D$2:$AZ$153,10,FALSE),0)</f>
        <v>0</v>
      </c>
      <c r="N22" s="128">
        <f>IFERROR(VLOOKUP($D22,Alimentos!$D$2:$AZ$153,11,FALSE),0)</f>
        <v>0</v>
      </c>
      <c r="O22" s="128">
        <f>IFERROR(VLOOKUP($D22,Alimentos!$D$2:$AZ$153,12,FALSE),0)</f>
        <v>0</v>
      </c>
      <c r="P22" s="128">
        <f>IFERROR(VLOOKUP($D22,Alimentos!$D$2:$AZ$153,13,FALSE),0)</f>
        <v>0</v>
      </c>
      <c r="Q22" s="128">
        <f>IFERROR(VLOOKUP($D22,Alimentos!$D$2:$AZ$153,14,FALSE),0)</f>
        <v>0</v>
      </c>
      <c r="R22" s="128">
        <f>IFERROR(VLOOKUP($D22,Alimentos!$D$2:$AZ$153,15,FALSE),0)</f>
        <v>0</v>
      </c>
      <c r="S22" s="128">
        <f>IFERROR(VLOOKUP($D22,Alimentos!$D$2:$AZ$153,16,FALSE),0)</f>
        <v>0</v>
      </c>
      <c r="T22" s="128">
        <f>IFERROR(VLOOKUP($D22,Alimentos!$D$2:$AZ$153,17,FALSE),0)</f>
        <v>0</v>
      </c>
      <c r="U22" s="128">
        <f>IFERROR(VLOOKUP($D22,Alimentos!$D$2:$AZ$153,18,FALSE),0)</f>
        <v>0</v>
      </c>
      <c r="V22" s="128">
        <f>IFERROR(VLOOKUP($D22,Alimentos!$D$2:$AZ$153,19,FALSE),0)</f>
        <v>0</v>
      </c>
      <c r="W22" s="128">
        <f>IFERROR(VLOOKUP($D22,Alimentos!$D$2:$AZ$153,20,FALSE),0)</f>
        <v>0</v>
      </c>
      <c r="X22" s="128">
        <f>IFERROR(VLOOKUP($D22,Alimentos!$D$2:$AZ$153,21,FALSE),0)</f>
        <v>0</v>
      </c>
      <c r="Y22" s="128">
        <f>IFERROR(VLOOKUP($D22,Alimentos!$D$2:$AZ$153,22,FALSE),0)</f>
        <v>0</v>
      </c>
      <c r="Z22" s="128">
        <f>IFERROR(VLOOKUP($D22,Alimentos!$D$2:$AZ$153,23,FALSE),0)</f>
        <v>0</v>
      </c>
      <c r="AA22" s="128">
        <f>IFERROR(VLOOKUP($D22,Alimentos!$D$2:$AZ$153,24,FALSE),0)</f>
        <v>0</v>
      </c>
      <c r="AB22" s="129">
        <f>IFERROR(VLOOKUP($D22,Alimentos!$D$2:$AZ$153,25,FALSE),0)</f>
        <v>0</v>
      </c>
      <c r="AC22" s="129">
        <f>IFERROR(VLOOKUP($D22,Alimentos!$D$2:$AZ$153,26,FALSE),0)</f>
        <v>0</v>
      </c>
      <c r="AD22" s="129">
        <f>IFERROR(VLOOKUP($D22,Alimentos!$D$2:$AZ$153,27,FALSE),0)</f>
        <v>0</v>
      </c>
      <c r="AE22" s="129">
        <f>IFERROR(VLOOKUP($D22,Alimentos!$D$2:$AZ$153,28,FALSE),0)</f>
        <v>0</v>
      </c>
      <c r="AF22" s="129">
        <f>IFERROR(VLOOKUP($D22,Alimentos!$D$2:$AZ$153,29,FALSE),0)</f>
        <v>0</v>
      </c>
      <c r="AG22" s="129">
        <f>IFERROR(VLOOKUP($D22,Alimentos!$D$2:$AZ$153,30,FALSE),0)</f>
        <v>0</v>
      </c>
      <c r="AH22" s="129">
        <f>IFERROR(VLOOKUP($D22,Alimentos!$D$2:$AZ$153,31,FALSE),0)</f>
        <v>0</v>
      </c>
      <c r="AI22" s="129">
        <f>IFERROR(VLOOKUP($D22,Alimentos!$D$2:$AZ$153,32,FALSE),0)</f>
        <v>0</v>
      </c>
      <c r="AJ22" s="129">
        <f>IFERROR(VLOOKUP($D22,Alimentos!$D$2:$AZ$153,33,FALSE),0)</f>
        <v>0</v>
      </c>
      <c r="AK22" s="130">
        <f>IFERROR(VLOOKUP($D22,Alimentos!$D$2:$AZ$153,34,FALSE),0)</f>
        <v>0</v>
      </c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</row>
    <row r="23" spans="1:57" ht="15.75" customHeight="1">
      <c r="A23" s="15"/>
      <c r="B23" s="20"/>
      <c r="C23" s="15"/>
      <c r="D23" s="126"/>
      <c r="E23" s="127">
        <f>IFERROR(VLOOKUP($D23,Alimentos!$D$2:$AZ$153,2,FALSE),0)</f>
        <v>0</v>
      </c>
      <c r="F23" s="131">
        <f>IFERROR(VLOOKUP($D23,Alimentos!$D$2:$AZ$153,3,FALSE),0)</f>
        <v>0</v>
      </c>
      <c r="G23" s="128">
        <f>IFERROR(VLOOKUP($D23,Alimentos!$D$2:$AZ$153,4,FALSE),0)</f>
        <v>0</v>
      </c>
      <c r="H23" s="128">
        <f>IFERROR(VLOOKUP($D23,Alimentos!$D$2:$AZ$153,5,FALSE),0)</f>
        <v>0</v>
      </c>
      <c r="I23" s="128">
        <f>IFERROR(VLOOKUP($D23,Alimentos!$D$2:$AZ$153,6,FALSE),0)</f>
        <v>0</v>
      </c>
      <c r="J23" s="128">
        <f>IFERROR(VLOOKUP($D23,Alimentos!$D$2:$AZ$153,7,FALSE),0)</f>
        <v>0</v>
      </c>
      <c r="K23" s="128">
        <f>IFERROR(VLOOKUP($D23,Alimentos!$D$2:$AZ$153,8,FALSE),0)</f>
        <v>0</v>
      </c>
      <c r="L23" s="128">
        <f>IFERROR(VLOOKUP($D23,Alimentos!$D$2:$AZ$153,9,FALSE),0)</f>
        <v>0</v>
      </c>
      <c r="M23" s="128">
        <f>IFERROR(VLOOKUP($D23,Alimentos!$D$2:$AZ$153,10,FALSE),0)</f>
        <v>0</v>
      </c>
      <c r="N23" s="128">
        <f>IFERROR(VLOOKUP($D23,Alimentos!$D$2:$AZ$153,11,FALSE),0)</f>
        <v>0</v>
      </c>
      <c r="O23" s="128">
        <f>IFERROR(VLOOKUP($D23,Alimentos!$D$2:$AZ$153,12,FALSE),0)</f>
        <v>0</v>
      </c>
      <c r="P23" s="128">
        <f>IFERROR(VLOOKUP($D23,Alimentos!$D$2:$AZ$153,13,FALSE),0)</f>
        <v>0</v>
      </c>
      <c r="Q23" s="128">
        <f>IFERROR(VLOOKUP($D23,Alimentos!$D$2:$AZ$153,14,FALSE),0)</f>
        <v>0</v>
      </c>
      <c r="R23" s="128">
        <f>IFERROR(VLOOKUP($D23,Alimentos!$D$2:$AZ$153,15,FALSE),0)</f>
        <v>0</v>
      </c>
      <c r="S23" s="128">
        <f>IFERROR(VLOOKUP($D23,Alimentos!$D$2:$AZ$153,16,FALSE),0)</f>
        <v>0</v>
      </c>
      <c r="T23" s="128">
        <f>IFERROR(VLOOKUP($D23,Alimentos!$D$2:$AZ$153,17,FALSE),0)</f>
        <v>0</v>
      </c>
      <c r="U23" s="128">
        <f>IFERROR(VLOOKUP($D23,Alimentos!$D$2:$AZ$153,18,FALSE),0)</f>
        <v>0</v>
      </c>
      <c r="V23" s="128">
        <f>IFERROR(VLOOKUP($D23,Alimentos!$D$2:$AZ$153,19,FALSE),0)</f>
        <v>0</v>
      </c>
      <c r="W23" s="128">
        <f>IFERROR(VLOOKUP($D23,Alimentos!$D$2:$AZ$153,20,FALSE),0)</f>
        <v>0</v>
      </c>
      <c r="X23" s="128">
        <f>IFERROR(VLOOKUP($D23,Alimentos!$D$2:$AZ$153,21,FALSE),0)</f>
        <v>0</v>
      </c>
      <c r="Y23" s="128">
        <f>IFERROR(VLOOKUP($D23,Alimentos!$D$2:$AZ$153,22,FALSE),0)</f>
        <v>0</v>
      </c>
      <c r="Z23" s="128">
        <f>IFERROR(VLOOKUP($D23,Alimentos!$D$2:$AZ$153,23,FALSE),0)</f>
        <v>0</v>
      </c>
      <c r="AA23" s="128">
        <f>IFERROR(VLOOKUP($D23,Alimentos!$D$2:$AZ$153,24,FALSE),0)</f>
        <v>0</v>
      </c>
      <c r="AB23" s="129">
        <f>IFERROR(VLOOKUP($D23,Alimentos!$D$2:$AZ$153,25,FALSE),0)</f>
        <v>0</v>
      </c>
      <c r="AC23" s="129">
        <f>IFERROR(VLOOKUP($D23,Alimentos!$D$2:$AZ$153,26,FALSE),0)</f>
        <v>0</v>
      </c>
      <c r="AD23" s="129">
        <f>IFERROR(VLOOKUP($D23,Alimentos!$D$2:$AZ$153,27,FALSE),0)</f>
        <v>0</v>
      </c>
      <c r="AE23" s="129">
        <f>IFERROR(VLOOKUP($D23,Alimentos!$D$2:$AZ$153,28,FALSE),0)</f>
        <v>0</v>
      </c>
      <c r="AF23" s="129">
        <f>IFERROR(VLOOKUP($D23,Alimentos!$D$2:$AZ$153,29,FALSE),0)</f>
        <v>0</v>
      </c>
      <c r="AG23" s="129">
        <f>IFERROR(VLOOKUP($D23,Alimentos!$D$2:$AZ$153,30,FALSE),0)</f>
        <v>0</v>
      </c>
      <c r="AH23" s="129">
        <f>IFERROR(VLOOKUP($D23,Alimentos!$D$2:$AZ$153,31,FALSE),0)</f>
        <v>0</v>
      </c>
      <c r="AI23" s="129">
        <f>IFERROR(VLOOKUP($D23,Alimentos!$D$2:$AZ$153,32,FALSE),0)</f>
        <v>0</v>
      </c>
      <c r="AJ23" s="129">
        <f>IFERROR(VLOOKUP($D23,Alimentos!$D$2:$AZ$153,33,FALSE),0)</f>
        <v>0</v>
      </c>
      <c r="AK23" s="130">
        <f>IFERROR(VLOOKUP($D23,Alimentos!$D$2:$AZ$153,34,FALSE),0)</f>
        <v>0</v>
      </c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</row>
    <row r="24" spans="1:57" ht="15.75" customHeight="1">
      <c r="A24" s="15"/>
      <c r="B24" s="20"/>
      <c r="C24" s="15"/>
      <c r="D24" s="126"/>
      <c r="E24" s="127">
        <f>IFERROR(VLOOKUP($D24,Alimentos!$D$2:$AZ$153,2,FALSE),0)</f>
        <v>0</v>
      </c>
      <c r="F24" s="131">
        <f>IFERROR(VLOOKUP($D24,Alimentos!$D$2:$AZ$153,3,FALSE),0)</f>
        <v>0</v>
      </c>
      <c r="G24" s="128">
        <f>IFERROR(VLOOKUP($D24,Alimentos!$D$2:$AZ$153,4,FALSE),0)</f>
        <v>0</v>
      </c>
      <c r="H24" s="128">
        <f>IFERROR(VLOOKUP($D24,Alimentos!$D$2:$AZ$153,5,FALSE),0)</f>
        <v>0</v>
      </c>
      <c r="I24" s="128">
        <f>IFERROR(VLOOKUP($D24,Alimentos!$D$2:$AZ$153,6,FALSE),0)</f>
        <v>0</v>
      </c>
      <c r="J24" s="128">
        <f>IFERROR(VLOOKUP($D24,Alimentos!$D$2:$AZ$153,7,FALSE),0)</f>
        <v>0</v>
      </c>
      <c r="K24" s="128">
        <f>IFERROR(VLOOKUP($D24,Alimentos!$D$2:$AZ$153,8,FALSE),0)</f>
        <v>0</v>
      </c>
      <c r="L24" s="128">
        <f>IFERROR(VLOOKUP($D24,Alimentos!$D$2:$AZ$153,9,FALSE),0)</f>
        <v>0</v>
      </c>
      <c r="M24" s="128">
        <f>IFERROR(VLOOKUP($D24,Alimentos!$D$2:$AZ$153,10,FALSE),0)</f>
        <v>0</v>
      </c>
      <c r="N24" s="128">
        <f>IFERROR(VLOOKUP($D24,Alimentos!$D$2:$AZ$153,11,FALSE),0)</f>
        <v>0</v>
      </c>
      <c r="O24" s="128">
        <f>IFERROR(VLOOKUP($D24,Alimentos!$D$2:$AZ$153,12,FALSE),0)</f>
        <v>0</v>
      </c>
      <c r="P24" s="128">
        <f>IFERROR(VLOOKUP($D24,Alimentos!$D$2:$AZ$153,13,FALSE),0)</f>
        <v>0</v>
      </c>
      <c r="Q24" s="128">
        <f>IFERROR(VLOOKUP($D24,Alimentos!$D$2:$AZ$153,14,FALSE),0)</f>
        <v>0</v>
      </c>
      <c r="R24" s="128">
        <f>IFERROR(VLOOKUP($D24,Alimentos!$D$2:$AZ$153,15,FALSE),0)</f>
        <v>0</v>
      </c>
      <c r="S24" s="128">
        <f>IFERROR(VLOOKUP($D24,Alimentos!$D$2:$AZ$153,16,FALSE),0)</f>
        <v>0</v>
      </c>
      <c r="T24" s="128">
        <f>IFERROR(VLOOKUP($D24,Alimentos!$D$2:$AZ$153,17,FALSE),0)</f>
        <v>0</v>
      </c>
      <c r="U24" s="128">
        <f>IFERROR(VLOOKUP($D24,Alimentos!$D$2:$AZ$153,18,FALSE),0)</f>
        <v>0</v>
      </c>
      <c r="V24" s="128">
        <f>IFERROR(VLOOKUP($D24,Alimentos!$D$2:$AZ$153,19,FALSE),0)</f>
        <v>0</v>
      </c>
      <c r="W24" s="128">
        <f>IFERROR(VLOOKUP($D24,Alimentos!$D$2:$AZ$153,20,FALSE),0)</f>
        <v>0</v>
      </c>
      <c r="X24" s="128">
        <f>IFERROR(VLOOKUP($D24,Alimentos!$D$2:$AZ$153,21,FALSE),0)</f>
        <v>0</v>
      </c>
      <c r="Y24" s="128">
        <f>IFERROR(VLOOKUP($D24,Alimentos!$D$2:$AZ$153,22,FALSE),0)</f>
        <v>0</v>
      </c>
      <c r="Z24" s="128">
        <f>IFERROR(VLOOKUP($D24,Alimentos!$D$2:$AZ$153,23,FALSE),0)</f>
        <v>0</v>
      </c>
      <c r="AA24" s="128">
        <f>IFERROR(VLOOKUP($D24,Alimentos!$D$2:$AZ$153,24,FALSE),0)</f>
        <v>0</v>
      </c>
      <c r="AB24" s="129">
        <f>IFERROR(VLOOKUP($D24,Alimentos!$D$2:$AZ$153,25,FALSE),0)</f>
        <v>0</v>
      </c>
      <c r="AC24" s="129">
        <f>IFERROR(VLOOKUP($D24,Alimentos!$D$2:$AZ$153,26,FALSE),0)</f>
        <v>0</v>
      </c>
      <c r="AD24" s="129">
        <f>IFERROR(VLOOKUP($D24,Alimentos!$D$2:$AZ$153,27,FALSE),0)</f>
        <v>0</v>
      </c>
      <c r="AE24" s="129">
        <f>IFERROR(VLOOKUP($D24,Alimentos!$D$2:$AZ$153,28,FALSE),0)</f>
        <v>0</v>
      </c>
      <c r="AF24" s="129">
        <f>IFERROR(VLOOKUP($D24,Alimentos!$D$2:$AZ$153,29,FALSE),0)</f>
        <v>0</v>
      </c>
      <c r="AG24" s="129">
        <f>IFERROR(VLOOKUP($D24,Alimentos!$D$2:$AZ$153,30,FALSE),0)</f>
        <v>0</v>
      </c>
      <c r="AH24" s="129">
        <f>IFERROR(VLOOKUP($D24,Alimentos!$D$2:$AZ$153,31,FALSE),0)</f>
        <v>0</v>
      </c>
      <c r="AI24" s="129">
        <f>IFERROR(VLOOKUP($D24,Alimentos!$D$2:$AZ$153,32,FALSE),0)</f>
        <v>0</v>
      </c>
      <c r="AJ24" s="129">
        <f>IFERROR(VLOOKUP($D24,Alimentos!$D$2:$AZ$153,33,FALSE),0)</f>
        <v>0</v>
      </c>
      <c r="AK24" s="130">
        <f>IFERROR(VLOOKUP($D24,Alimentos!$D$2:$AZ$153,34,FALSE),0)</f>
        <v>0</v>
      </c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</row>
    <row r="25" spans="1:57" ht="15.75" customHeight="1">
      <c r="A25" s="15"/>
      <c r="B25" s="20"/>
      <c r="C25" s="15"/>
      <c r="D25" s="126"/>
      <c r="E25" s="127">
        <f>IFERROR(VLOOKUP($D25,Alimentos!$D$2:$AZ$153,2,FALSE),0)</f>
        <v>0</v>
      </c>
      <c r="F25" s="131">
        <f>IFERROR(VLOOKUP($D25,Alimentos!$D$2:$AZ$153,3,FALSE),0)</f>
        <v>0</v>
      </c>
      <c r="G25" s="128">
        <f>IFERROR(VLOOKUP($D25,Alimentos!$D$2:$AZ$153,4,FALSE),0)</f>
        <v>0</v>
      </c>
      <c r="H25" s="128">
        <f>IFERROR(VLOOKUP($D25,Alimentos!$D$2:$AZ$153,5,FALSE),0)</f>
        <v>0</v>
      </c>
      <c r="I25" s="128">
        <f>IFERROR(VLOOKUP($D25,Alimentos!$D$2:$AZ$153,6,FALSE),0)</f>
        <v>0</v>
      </c>
      <c r="J25" s="128">
        <f>IFERROR(VLOOKUP($D25,Alimentos!$D$2:$AZ$153,7,FALSE),0)</f>
        <v>0</v>
      </c>
      <c r="K25" s="128">
        <f>IFERROR(VLOOKUP($D25,Alimentos!$D$2:$AZ$153,8,FALSE),0)</f>
        <v>0</v>
      </c>
      <c r="L25" s="128">
        <f>IFERROR(VLOOKUP($D25,Alimentos!$D$2:$AZ$153,9,FALSE),0)</f>
        <v>0</v>
      </c>
      <c r="M25" s="128">
        <f>IFERROR(VLOOKUP($D25,Alimentos!$D$2:$AZ$153,10,FALSE),0)</f>
        <v>0</v>
      </c>
      <c r="N25" s="128">
        <f>IFERROR(VLOOKUP($D25,Alimentos!$D$2:$AZ$153,11,FALSE),0)</f>
        <v>0</v>
      </c>
      <c r="O25" s="128">
        <f>IFERROR(VLOOKUP($D25,Alimentos!$D$2:$AZ$153,12,FALSE),0)</f>
        <v>0</v>
      </c>
      <c r="P25" s="128">
        <f>IFERROR(VLOOKUP($D25,Alimentos!$D$2:$AZ$153,13,FALSE),0)</f>
        <v>0</v>
      </c>
      <c r="Q25" s="128">
        <f>IFERROR(VLOOKUP($D25,Alimentos!$D$2:$AZ$153,14,FALSE),0)</f>
        <v>0</v>
      </c>
      <c r="R25" s="128">
        <f>IFERROR(VLOOKUP($D25,Alimentos!$D$2:$AZ$153,15,FALSE),0)</f>
        <v>0</v>
      </c>
      <c r="S25" s="128">
        <f>IFERROR(VLOOKUP($D25,Alimentos!$D$2:$AZ$153,16,FALSE),0)</f>
        <v>0</v>
      </c>
      <c r="T25" s="128">
        <f>IFERROR(VLOOKUP($D25,Alimentos!$D$2:$AZ$153,17,FALSE),0)</f>
        <v>0</v>
      </c>
      <c r="U25" s="128">
        <f>IFERROR(VLOOKUP($D25,Alimentos!$D$2:$AZ$153,18,FALSE),0)</f>
        <v>0</v>
      </c>
      <c r="V25" s="128">
        <f>IFERROR(VLOOKUP($D25,Alimentos!$D$2:$AZ$153,19,FALSE),0)</f>
        <v>0</v>
      </c>
      <c r="W25" s="128">
        <f>IFERROR(VLOOKUP($D25,Alimentos!$D$2:$AZ$153,20,FALSE),0)</f>
        <v>0</v>
      </c>
      <c r="X25" s="128">
        <f>IFERROR(VLOOKUP($D25,Alimentos!$D$2:$AZ$153,21,FALSE),0)</f>
        <v>0</v>
      </c>
      <c r="Y25" s="128">
        <f>IFERROR(VLOOKUP($D25,Alimentos!$D$2:$AZ$153,22,FALSE),0)</f>
        <v>0</v>
      </c>
      <c r="Z25" s="128">
        <f>IFERROR(VLOOKUP($D25,Alimentos!$D$2:$AZ$153,23,FALSE),0)</f>
        <v>0</v>
      </c>
      <c r="AA25" s="128">
        <f>IFERROR(VLOOKUP($D25,Alimentos!$D$2:$AZ$153,24,FALSE),0)</f>
        <v>0</v>
      </c>
      <c r="AB25" s="129">
        <f>IFERROR(VLOOKUP($D25,Alimentos!$D$2:$AZ$153,25,FALSE),0)</f>
        <v>0</v>
      </c>
      <c r="AC25" s="129">
        <f>IFERROR(VLOOKUP($D25,Alimentos!$D$2:$AZ$153,26,FALSE),0)</f>
        <v>0</v>
      </c>
      <c r="AD25" s="129">
        <f>IFERROR(VLOOKUP($D25,Alimentos!$D$2:$AZ$153,27,FALSE),0)</f>
        <v>0</v>
      </c>
      <c r="AE25" s="129">
        <f>IFERROR(VLOOKUP($D25,Alimentos!$D$2:$AZ$153,28,FALSE),0)</f>
        <v>0</v>
      </c>
      <c r="AF25" s="129">
        <f>IFERROR(VLOOKUP($D25,Alimentos!$D$2:$AZ$153,29,FALSE),0)</f>
        <v>0</v>
      </c>
      <c r="AG25" s="129">
        <f>IFERROR(VLOOKUP($D25,Alimentos!$D$2:$AZ$153,30,FALSE),0)</f>
        <v>0</v>
      </c>
      <c r="AH25" s="129">
        <f>IFERROR(VLOOKUP($D25,Alimentos!$D$2:$AZ$153,31,FALSE),0)</f>
        <v>0</v>
      </c>
      <c r="AI25" s="129">
        <f>IFERROR(VLOOKUP($D25,Alimentos!$D$2:$AZ$153,32,FALSE),0)</f>
        <v>0</v>
      </c>
      <c r="AJ25" s="129">
        <f>IFERROR(VLOOKUP($D25,Alimentos!$D$2:$AZ$153,33,FALSE),0)</f>
        <v>0</v>
      </c>
      <c r="AK25" s="130">
        <f>IFERROR(VLOOKUP($D25,Alimentos!$D$2:$AZ$153,34,FALSE),0)</f>
        <v>0</v>
      </c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</row>
    <row r="26" spans="1:57" ht="15.75" customHeight="1">
      <c r="A26" s="15"/>
      <c r="B26" s="20"/>
      <c r="C26" s="15"/>
      <c r="D26" s="132"/>
      <c r="E26" s="133">
        <f>IFERROR(VLOOKUP($D26,Alimentos!$D$2:$AZ$153,2,FALSE),0)</f>
        <v>0</v>
      </c>
      <c r="F26" s="134">
        <f>IFERROR(VLOOKUP($D26,Alimentos!$D$2:$AZ$153,3,FALSE),0)</f>
        <v>0</v>
      </c>
      <c r="G26" s="135">
        <f>IFERROR(VLOOKUP($D26,Alimentos!$D$2:$AZ$153,4,FALSE),0)</f>
        <v>0</v>
      </c>
      <c r="H26" s="135">
        <f>IFERROR(VLOOKUP($D26,Alimentos!$D$2:$AZ$153,5,FALSE),0)</f>
        <v>0</v>
      </c>
      <c r="I26" s="135">
        <f>IFERROR(VLOOKUP($D26,Alimentos!$D$2:$AZ$153,6,FALSE),0)</f>
        <v>0</v>
      </c>
      <c r="J26" s="135">
        <f>IFERROR(VLOOKUP($D26,Alimentos!$D$2:$AZ$153,7,FALSE),0)</f>
        <v>0</v>
      </c>
      <c r="K26" s="135">
        <f>IFERROR(VLOOKUP($D26,Alimentos!$D$2:$AZ$153,8,FALSE),0)</f>
        <v>0</v>
      </c>
      <c r="L26" s="135">
        <f>IFERROR(VLOOKUP($D26,Alimentos!$D$2:$AZ$153,9,FALSE),0)</f>
        <v>0</v>
      </c>
      <c r="M26" s="135">
        <f>IFERROR(VLOOKUP($D26,Alimentos!$D$2:$AZ$153,10,FALSE),0)</f>
        <v>0</v>
      </c>
      <c r="N26" s="135">
        <f>IFERROR(VLOOKUP($D26,Alimentos!$D$2:$AZ$153,11,FALSE),0)</f>
        <v>0</v>
      </c>
      <c r="O26" s="135">
        <f>IFERROR(VLOOKUP($D26,Alimentos!$D$2:$AZ$153,12,FALSE),0)</f>
        <v>0</v>
      </c>
      <c r="P26" s="135">
        <f>IFERROR(VLOOKUP($D26,Alimentos!$D$2:$AZ$153,13,FALSE),0)</f>
        <v>0</v>
      </c>
      <c r="Q26" s="135">
        <f>IFERROR(VLOOKUP($D26,Alimentos!$D$2:$AZ$153,14,FALSE),0)</f>
        <v>0</v>
      </c>
      <c r="R26" s="135">
        <f>IFERROR(VLOOKUP($D26,Alimentos!$D$2:$AZ$153,15,FALSE),0)</f>
        <v>0</v>
      </c>
      <c r="S26" s="135">
        <f>IFERROR(VLOOKUP($D26,Alimentos!$D$2:$AZ$153,16,FALSE),0)</f>
        <v>0</v>
      </c>
      <c r="T26" s="135">
        <f>IFERROR(VLOOKUP($D26,Alimentos!$D$2:$AZ$153,17,FALSE),0)</f>
        <v>0</v>
      </c>
      <c r="U26" s="135">
        <f>IFERROR(VLOOKUP($D26,Alimentos!$D$2:$AZ$153,18,FALSE),0)</f>
        <v>0</v>
      </c>
      <c r="V26" s="135">
        <f>IFERROR(VLOOKUP($D26,Alimentos!$D$2:$AZ$153,19,FALSE),0)</f>
        <v>0</v>
      </c>
      <c r="W26" s="135">
        <f>IFERROR(VLOOKUP($D26,Alimentos!$D$2:$AZ$153,20,FALSE),0)</f>
        <v>0</v>
      </c>
      <c r="X26" s="135">
        <f>IFERROR(VLOOKUP($D26,Alimentos!$D$2:$AZ$153,21,FALSE),0)</f>
        <v>0</v>
      </c>
      <c r="Y26" s="135">
        <f>IFERROR(VLOOKUP($D26,Alimentos!$D$2:$AZ$153,22,FALSE),0)</f>
        <v>0</v>
      </c>
      <c r="Z26" s="135">
        <f>IFERROR(VLOOKUP($D26,Alimentos!$D$2:$AZ$153,23,FALSE),0)</f>
        <v>0</v>
      </c>
      <c r="AA26" s="135">
        <f>IFERROR(VLOOKUP($D26,Alimentos!$D$2:$AZ$153,24,FALSE),0)</f>
        <v>0</v>
      </c>
      <c r="AB26" s="136">
        <f>IFERROR(VLOOKUP($D26,Alimentos!$D$2:$AZ$153,25,FALSE),0)</f>
        <v>0</v>
      </c>
      <c r="AC26" s="136">
        <f>IFERROR(VLOOKUP($D26,Alimentos!$D$2:$AZ$153,26,FALSE),0)</f>
        <v>0</v>
      </c>
      <c r="AD26" s="136">
        <f>IFERROR(VLOOKUP($D26,Alimentos!$D$2:$AZ$153,27,FALSE),0)</f>
        <v>0</v>
      </c>
      <c r="AE26" s="136">
        <f>IFERROR(VLOOKUP($D26,Alimentos!$D$2:$AZ$153,28,FALSE),0)</f>
        <v>0</v>
      </c>
      <c r="AF26" s="136">
        <f>IFERROR(VLOOKUP($D26,Alimentos!$D$2:$AZ$153,29,FALSE),0)</f>
        <v>0</v>
      </c>
      <c r="AG26" s="136">
        <f>IFERROR(VLOOKUP($D26,Alimentos!$D$2:$AZ$153,30,FALSE),0)</f>
        <v>0</v>
      </c>
      <c r="AH26" s="136">
        <f>IFERROR(VLOOKUP($D26,Alimentos!$D$2:$AZ$153,31,FALSE),0)</f>
        <v>0</v>
      </c>
      <c r="AI26" s="136">
        <f>IFERROR(VLOOKUP($D26,Alimentos!$D$2:$AZ$153,32,FALSE),0)</f>
        <v>0</v>
      </c>
      <c r="AJ26" s="136">
        <f>IFERROR(VLOOKUP($D26,Alimentos!$D$2:$AZ$153,33,FALSE),0)</f>
        <v>0</v>
      </c>
      <c r="AK26" s="137">
        <f>IFERROR(VLOOKUP($D26,Alimentos!$D$2:$AZ$153,34,FALSE),0)</f>
        <v>0</v>
      </c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</row>
    <row r="27" spans="1:57" ht="15.75" customHeight="1">
      <c r="A27" s="15"/>
      <c r="B27" s="20"/>
      <c r="C27" s="15"/>
      <c r="D27" s="109"/>
      <c r="E27" s="109"/>
      <c r="F27" s="138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</row>
    <row r="28" spans="1:57" ht="15.75" customHeight="1">
      <c r="A28" s="15"/>
      <c r="B28" s="20"/>
      <c r="C28" s="15"/>
      <c r="D28" s="111" t="s">
        <v>291</v>
      </c>
      <c r="E28" s="112"/>
      <c r="F28" s="112"/>
      <c r="G28" s="113"/>
      <c r="H28" s="114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</row>
    <row r="29" spans="1:57" ht="15.75" customHeight="1">
      <c r="A29" s="15"/>
      <c r="B29" s="20"/>
      <c r="C29" s="15"/>
      <c r="D29" s="139" t="s">
        <v>286</v>
      </c>
      <c r="E29" s="140" t="s">
        <v>292</v>
      </c>
      <c r="F29" s="141" t="s">
        <v>69</v>
      </c>
      <c r="G29" s="117" t="s">
        <v>293</v>
      </c>
      <c r="H29" s="101" t="s">
        <v>3</v>
      </c>
      <c r="I29" s="101" t="s">
        <v>4</v>
      </c>
      <c r="J29" s="101" t="s">
        <v>5</v>
      </c>
      <c r="K29" s="101" t="s">
        <v>6</v>
      </c>
      <c r="L29" s="101" t="s">
        <v>7</v>
      </c>
      <c r="M29" s="101" t="s">
        <v>8</v>
      </c>
      <c r="N29" s="101" t="s">
        <v>294</v>
      </c>
      <c r="O29" s="101" t="s">
        <v>10</v>
      </c>
      <c r="P29" s="101" t="s">
        <v>11</v>
      </c>
      <c r="Q29" s="101" t="s">
        <v>295</v>
      </c>
      <c r="R29" s="101" t="s">
        <v>13</v>
      </c>
      <c r="S29" s="101" t="s">
        <v>14</v>
      </c>
      <c r="T29" s="101" t="s">
        <v>15</v>
      </c>
      <c r="U29" s="101" t="s">
        <v>16</v>
      </c>
      <c r="V29" s="101" t="s">
        <v>17</v>
      </c>
      <c r="W29" s="101" t="s">
        <v>18</v>
      </c>
      <c r="X29" s="101" t="s">
        <v>19</v>
      </c>
      <c r="Y29" s="101" t="s">
        <v>20</v>
      </c>
      <c r="Z29" s="101" t="s">
        <v>88</v>
      </c>
      <c r="AA29" s="101" t="s">
        <v>22</v>
      </c>
      <c r="AB29" s="102" t="s">
        <v>23</v>
      </c>
      <c r="AC29" s="102" t="s">
        <v>24</v>
      </c>
      <c r="AD29" s="102" t="s">
        <v>25</v>
      </c>
      <c r="AE29" s="102" t="s">
        <v>26</v>
      </c>
      <c r="AF29" s="102" t="s">
        <v>27</v>
      </c>
      <c r="AG29" s="102" t="s">
        <v>28</v>
      </c>
      <c r="AH29" s="102" t="s">
        <v>29</v>
      </c>
      <c r="AI29" s="102" t="s">
        <v>30</v>
      </c>
      <c r="AJ29" s="102" t="s">
        <v>31</v>
      </c>
      <c r="AK29" s="103" t="s">
        <v>32</v>
      </c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</row>
    <row r="30" spans="1:57" ht="15.75" customHeight="1">
      <c r="A30" s="15"/>
      <c r="B30" s="20"/>
      <c r="C30" s="15"/>
      <c r="D30" s="142" t="str">
        <f>IFERROR(D15,"")</f>
        <v>Aveia, grãos</v>
      </c>
      <c r="E30" s="143">
        <v>25</v>
      </c>
      <c r="F30" s="144">
        <f t="shared" ref="F30:F41" si="0">E30*F15</f>
        <v>0</v>
      </c>
      <c r="G30" s="145">
        <f t="shared" ref="G30:G41" si="1">E30*G15%</f>
        <v>22.5</v>
      </c>
      <c r="H30" s="145">
        <f t="shared" ref="H30:H41" si="2">($G30*H15)</f>
        <v>73.575000000000003</v>
      </c>
      <c r="I30" s="145">
        <f t="shared" ref="I30:Y30" si="3">($G30%*I15)*1000</f>
        <v>2969.9999999999995</v>
      </c>
      <c r="J30" s="145">
        <f t="shared" si="3"/>
        <v>123.75000000000001</v>
      </c>
      <c r="K30" s="145">
        <f t="shared" si="3"/>
        <v>0</v>
      </c>
      <c r="L30" s="145">
        <f t="shared" si="3"/>
        <v>0</v>
      </c>
      <c r="M30" s="145">
        <f t="shared" si="3"/>
        <v>0</v>
      </c>
      <c r="N30" s="145">
        <f t="shared" si="3"/>
        <v>1147.5</v>
      </c>
      <c r="O30" s="145">
        <f t="shared" si="3"/>
        <v>6750</v>
      </c>
      <c r="P30" s="145">
        <f t="shared" si="3"/>
        <v>3285</v>
      </c>
      <c r="Q30" s="145">
        <f t="shared" si="3"/>
        <v>0</v>
      </c>
      <c r="R30" s="145">
        <f t="shared" si="3"/>
        <v>742.49999999999989</v>
      </c>
      <c r="S30" s="145">
        <f t="shared" si="3"/>
        <v>24.75</v>
      </c>
      <c r="T30" s="145">
        <f t="shared" si="3"/>
        <v>90.000000000000014</v>
      </c>
      <c r="U30" s="145">
        <f t="shared" si="3"/>
        <v>36.000000000000007</v>
      </c>
      <c r="V30" s="145">
        <f t="shared" si="3"/>
        <v>117</v>
      </c>
      <c r="W30" s="145">
        <f t="shared" si="3"/>
        <v>6.75</v>
      </c>
      <c r="X30" s="145">
        <f t="shared" si="3"/>
        <v>0</v>
      </c>
      <c r="Y30" s="145">
        <f t="shared" si="3"/>
        <v>42.75</v>
      </c>
      <c r="Z30" s="145">
        <f t="shared" ref="Z30:AK30" si="4">($G30*Z15)</f>
        <v>1.3499999999999999</v>
      </c>
      <c r="AA30" s="145">
        <f t="shared" si="4"/>
        <v>180</v>
      </c>
      <c r="AB30" s="146">
        <f t="shared" si="4"/>
        <v>0</v>
      </c>
      <c r="AC30" s="146">
        <f t="shared" si="4"/>
        <v>2385</v>
      </c>
      <c r="AD30" s="146">
        <f t="shared" si="4"/>
        <v>967.5</v>
      </c>
      <c r="AE30" s="146">
        <f t="shared" si="4"/>
        <v>10.799999999999999</v>
      </c>
      <c r="AF30" s="146">
        <f t="shared" si="4"/>
        <v>922.5</v>
      </c>
      <c r="AG30" s="146">
        <f t="shared" si="4"/>
        <v>0</v>
      </c>
      <c r="AH30" s="146">
        <f t="shared" si="4"/>
        <v>0</v>
      </c>
      <c r="AI30" s="146">
        <f t="shared" si="4"/>
        <v>0</v>
      </c>
      <c r="AJ30" s="146">
        <f t="shared" si="4"/>
        <v>0</v>
      </c>
      <c r="AK30" s="147">
        <f t="shared" si="4"/>
        <v>0</v>
      </c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</row>
    <row r="31" spans="1:57" ht="15.75" customHeight="1">
      <c r="A31" s="15"/>
      <c r="B31" s="20"/>
      <c r="C31" s="15"/>
      <c r="D31" s="148" t="str">
        <f t="shared" ref="D31:D41" si="5">IFERROR(D16,"")</f>
        <v>Guabi Beet</v>
      </c>
      <c r="E31" s="149">
        <v>2</v>
      </c>
      <c r="F31" s="150">
        <f t="shared" si="0"/>
        <v>0</v>
      </c>
      <c r="G31" s="123">
        <f t="shared" si="1"/>
        <v>1.96</v>
      </c>
      <c r="H31" s="128">
        <f t="shared" si="2"/>
        <v>8.2319999999999993</v>
      </c>
      <c r="I31" s="128">
        <f t="shared" ref="I31:Y31" si="6">($G31%*I16)*1000</f>
        <v>235.2</v>
      </c>
      <c r="J31" s="128">
        <f t="shared" si="6"/>
        <v>117.6</v>
      </c>
      <c r="K31" s="128">
        <f t="shared" si="6"/>
        <v>0</v>
      </c>
      <c r="L31" s="128">
        <f t="shared" si="6"/>
        <v>35.28</v>
      </c>
      <c r="M31" s="128">
        <f t="shared" si="6"/>
        <v>0</v>
      </c>
      <c r="N31" s="128">
        <f t="shared" si="6"/>
        <v>215.6</v>
      </c>
      <c r="O31" s="128">
        <f t="shared" si="6"/>
        <v>0</v>
      </c>
      <c r="P31" s="128">
        <f t="shared" si="6"/>
        <v>0</v>
      </c>
      <c r="Q31" s="128">
        <f t="shared" si="6"/>
        <v>0</v>
      </c>
      <c r="R31" s="128">
        <f t="shared" si="6"/>
        <v>0</v>
      </c>
      <c r="S31" s="128">
        <f t="shared" si="6"/>
        <v>274.39999999999998</v>
      </c>
      <c r="T31" s="128">
        <f t="shared" si="6"/>
        <v>117.6</v>
      </c>
      <c r="U31" s="128">
        <f t="shared" si="6"/>
        <v>0</v>
      </c>
      <c r="V31" s="128">
        <f t="shared" si="6"/>
        <v>0</v>
      </c>
      <c r="W31" s="128">
        <f t="shared" si="6"/>
        <v>0</v>
      </c>
      <c r="X31" s="128">
        <f t="shared" si="6"/>
        <v>0</v>
      </c>
      <c r="Y31" s="128">
        <f t="shared" si="6"/>
        <v>0</v>
      </c>
      <c r="Z31" s="128">
        <f t="shared" ref="Z31:AK31" si="7">($G31*Z16)</f>
        <v>0</v>
      </c>
      <c r="AA31" s="128">
        <f t="shared" si="7"/>
        <v>0</v>
      </c>
      <c r="AB31" s="129">
        <f t="shared" si="7"/>
        <v>0</v>
      </c>
      <c r="AC31" s="129">
        <f t="shared" si="7"/>
        <v>0</v>
      </c>
      <c r="AD31" s="129">
        <f t="shared" si="7"/>
        <v>0</v>
      </c>
      <c r="AE31" s="129">
        <f t="shared" si="7"/>
        <v>0</v>
      </c>
      <c r="AF31" s="129">
        <f t="shared" si="7"/>
        <v>0</v>
      </c>
      <c r="AG31" s="129">
        <f t="shared" si="7"/>
        <v>0</v>
      </c>
      <c r="AH31" s="129">
        <f t="shared" si="7"/>
        <v>0</v>
      </c>
      <c r="AI31" s="129">
        <f t="shared" si="7"/>
        <v>0</v>
      </c>
      <c r="AJ31" s="129">
        <f t="shared" si="7"/>
        <v>0</v>
      </c>
      <c r="AK31" s="130">
        <f t="shared" si="7"/>
        <v>0</v>
      </c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</row>
    <row r="32" spans="1:57" ht="15.75" customHeight="1">
      <c r="A32" s="18"/>
      <c r="B32" s="20"/>
      <c r="C32" s="18"/>
      <c r="D32" s="148" t="str">
        <f t="shared" si="5"/>
        <v>Guabi Fribra</v>
      </c>
      <c r="E32" s="149">
        <v>1</v>
      </c>
      <c r="F32" s="150">
        <f t="shared" si="0"/>
        <v>0</v>
      </c>
      <c r="G32" s="128">
        <f t="shared" si="1"/>
        <v>0.87</v>
      </c>
      <c r="H32" s="128">
        <f t="shared" si="2"/>
        <v>2.61</v>
      </c>
      <c r="I32" s="128">
        <f t="shared" ref="I32:Y32" si="8">($G32%*I17)*1000</f>
        <v>113.1</v>
      </c>
      <c r="J32" s="128">
        <f t="shared" si="8"/>
        <v>4.3499999999999996</v>
      </c>
      <c r="K32" s="128">
        <f t="shared" si="8"/>
        <v>0</v>
      </c>
      <c r="L32" s="128">
        <f t="shared" si="8"/>
        <v>1.4790000000000001</v>
      </c>
      <c r="M32" s="128">
        <f t="shared" si="8"/>
        <v>0</v>
      </c>
      <c r="N32" s="128">
        <f t="shared" si="8"/>
        <v>17.399999999999999</v>
      </c>
      <c r="O32" s="128">
        <f t="shared" si="8"/>
        <v>174</v>
      </c>
      <c r="P32" s="128">
        <f t="shared" si="8"/>
        <v>226.2</v>
      </c>
      <c r="Q32" s="128">
        <f t="shared" si="8"/>
        <v>391.49999999999994</v>
      </c>
      <c r="R32" s="128">
        <f t="shared" si="8"/>
        <v>104.39999999999999</v>
      </c>
      <c r="S32" s="128">
        <f t="shared" si="8"/>
        <v>8.6999999999999993</v>
      </c>
      <c r="T32" s="128">
        <f t="shared" si="8"/>
        <v>4.3499999999999996</v>
      </c>
      <c r="U32" s="128">
        <f t="shared" si="8"/>
        <v>0</v>
      </c>
      <c r="V32" s="128">
        <f t="shared" si="8"/>
        <v>0</v>
      </c>
      <c r="W32" s="128">
        <f t="shared" si="8"/>
        <v>0</v>
      </c>
      <c r="X32" s="128">
        <f t="shared" si="8"/>
        <v>0</v>
      </c>
      <c r="Y32" s="128">
        <f t="shared" si="8"/>
        <v>0</v>
      </c>
      <c r="Z32" s="128">
        <f t="shared" ref="Z32:AK32" si="9">($G32*Z17)</f>
        <v>0.10439999999999999</v>
      </c>
      <c r="AA32" s="128">
        <f t="shared" si="9"/>
        <v>20.88</v>
      </c>
      <c r="AB32" s="129">
        <f t="shared" si="9"/>
        <v>1.3049999999999999</v>
      </c>
      <c r="AC32" s="129">
        <f t="shared" si="9"/>
        <v>53.94</v>
      </c>
      <c r="AD32" s="129">
        <f t="shared" si="9"/>
        <v>53.94</v>
      </c>
      <c r="AE32" s="129">
        <f t="shared" si="9"/>
        <v>5.2199999999999996E-2</v>
      </c>
      <c r="AF32" s="129">
        <f t="shared" si="9"/>
        <v>64.38</v>
      </c>
      <c r="AG32" s="129">
        <f t="shared" si="9"/>
        <v>57.42</v>
      </c>
      <c r="AH32" s="129">
        <f t="shared" si="9"/>
        <v>574.20000000000005</v>
      </c>
      <c r="AI32" s="129">
        <f t="shared" si="9"/>
        <v>69.599999999999994</v>
      </c>
      <c r="AJ32" s="129">
        <f t="shared" si="9"/>
        <v>2.1749999999999998</v>
      </c>
      <c r="AK32" s="130">
        <f t="shared" si="9"/>
        <v>1.0874999999999999</v>
      </c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</row>
    <row r="33" spans="1:57" ht="15.75" customHeight="1">
      <c r="A33" s="15"/>
      <c r="B33" s="20"/>
      <c r="C33" s="15"/>
      <c r="D33" s="148" t="str">
        <f t="shared" si="5"/>
        <v>Guabi Proequi 15 Melaçada</v>
      </c>
      <c r="E33" s="149">
        <v>1</v>
      </c>
      <c r="F33" s="150">
        <f t="shared" si="0"/>
        <v>0</v>
      </c>
      <c r="G33" s="128">
        <f t="shared" si="1"/>
        <v>0.89</v>
      </c>
      <c r="H33" s="128">
        <f t="shared" si="2"/>
        <v>2.8480000000000003</v>
      </c>
      <c r="I33" s="128">
        <f t="shared" ref="I33:Y33" si="10">($G33%*I18)*1000</f>
        <v>133.5</v>
      </c>
      <c r="J33" s="128">
        <f t="shared" si="10"/>
        <v>0</v>
      </c>
      <c r="K33" s="128">
        <f t="shared" si="10"/>
        <v>0</v>
      </c>
      <c r="L33" s="128">
        <f t="shared" si="10"/>
        <v>0</v>
      </c>
      <c r="M33" s="128">
        <f t="shared" si="10"/>
        <v>0</v>
      </c>
      <c r="N33" s="128">
        <f t="shared" si="10"/>
        <v>26.700000000000003</v>
      </c>
      <c r="O33" s="128">
        <f t="shared" si="10"/>
        <v>178</v>
      </c>
      <c r="P33" s="128">
        <f t="shared" si="10"/>
        <v>0</v>
      </c>
      <c r="Q33" s="128">
        <f t="shared" si="10"/>
        <v>356</v>
      </c>
      <c r="R33" s="128">
        <f t="shared" si="10"/>
        <v>0</v>
      </c>
      <c r="S33" s="128">
        <f t="shared" si="10"/>
        <v>22.25</v>
      </c>
      <c r="T33" s="128">
        <f t="shared" si="10"/>
        <v>4.45</v>
      </c>
      <c r="U33" s="128">
        <f t="shared" si="10"/>
        <v>0</v>
      </c>
      <c r="V33" s="128">
        <f t="shared" si="10"/>
        <v>0</v>
      </c>
      <c r="W33" s="128">
        <f t="shared" si="10"/>
        <v>0</v>
      </c>
      <c r="X33" s="128">
        <f t="shared" si="10"/>
        <v>0</v>
      </c>
      <c r="Y33" s="128">
        <f t="shared" si="10"/>
        <v>0</v>
      </c>
      <c r="Z33" s="128">
        <f t="shared" ref="Z33:AK33" si="11">($G33*Z18)</f>
        <v>0</v>
      </c>
      <c r="AA33" s="128">
        <f t="shared" si="11"/>
        <v>0</v>
      </c>
      <c r="AB33" s="129">
        <f t="shared" si="11"/>
        <v>0</v>
      </c>
      <c r="AC33" s="129">
        <f t="shared" si="11"/>
        <v>0</v>
      </c>
      <c r="AD33" s="129">
        <f t="shared" si="11"/>
        <v>0</v>
      </c>
      <c r="AE33" s="129">
        <f t="shared" si="11"/>
        <v>0</v>
      </c>
      <c r="AF33" s="129">
        <f t="shared" si="11"/>
        <v>0</v>
      </c>
      <c r="AG33" s="129">
        <f t="shared" si="11"/>
        <v>0</v>
      </c>
      <c r="AH33" s="129">
        <f t="shared" si="11"/>
        <v>0</v>
      </c>
      <c r="AI33" s="129">
        <f t="shared" si="11"/>
        <v>0</v>
      </c>
      <c r="AJ33" s="129">
        <f t="shared" si="11"/>
        <v>0</v>
      </c>
      <c r="AK33" s="130">
        <f t="shared" si="11"/>
        <v>0</v>
      </c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</row>
    <row r="34" spans="1:57" ht="15.75" customHeight="1">
      <c r="A34" s="15"/>
      <c r="B34" s="20"/>
      <c r="C34" s="15"/>
      <c r="D34" s="148" t="str">
        <f t="shared" si="5"/>
        <v>Óleo vegetal</v>
      </c>
      <c r="E34" s="149">
        <v>0.3</v>
      </c>
      <c r="F34" s="150">
        <f t="shared" si="0"/>
        <v>0</v>
      </c>
      <c r="G34" s="128">
        <f t="shared" si="1"/>
        <v>0.3</v>
      </c>
      <c r="H34" s="128">
        <f t="shared" si="2"/>
        <v>2.7569999999999997</v>
      </c>
      <c r="I34" s="128">
        <f t="shared" ref="I34:Y34" si="12">($G34%*I19)*1000</f>
        <v>0</v>
      </c>
      <c r="J34" s="128">
        <f t="shared" si="12"/>
        <v>0</v>
      </c>
      <c r="K34" s="128">
        <f t="shared" si="12"/>
        <v>0</v>
      </c>
      <c r="L34" s="128">
        <f t="shared" si="12"/>
        <v>0</v>
      </c>
      <c r="M34" s="128">
        <f t="shared" si="12"/>
        <v>0</v>
      </c>
      <c r="N34" s="128">
        <f t="shared" si="12"/>
        <v>299.70000000000005</v>
      </c>
      <c r="O34" s="128">
        <f t="shared" si="12"/>
        <v>0</v>
      </c>
      <c r="P34" s="128">
        <f t="shared" si="12"/>
        <v>0</v>
      </c>
      <c r="Q34" s="128">
        <f t="shared" si="12"/>
        <v>0</v>
      </c>
      <c r="R34" s="128">
        <f t="shared" si="12"/>
        <v>0</v>
      </c>
      <c r="S34" s="128">
        <f t="shared" si="12"/>
        <v>0</v>
      </c>
      <c r="T34" s="128">
        <f t="shared" si="12"/>
        <v>0</v>
      </c>
      <c r="U34" s="128">
        <f t="shared" si="12"/>
        <v>0</v>
      </c>
      <c r="V34" s="128">
        <f t="shared" si="12"/>
        <v>0</v>
      </c>
      <c r="W34" s="128">
        <f t="shared" si="12"/>
        <v>0</v>
      </c>
      <c r="X34" s="128">
        <f t="shared" si="12"/>
        <v>0</v>
      </c>
      <c r="Y34" s="128">
        <f t="shared" si="12"/>
        <v>0</v>
      </c>
      <c r="Z34" s="128">
        <f t="shared" ref="Z34:AK34" si="13">($G34*Z19)</f>
        <v>0</v>
      </c>
      <c r="AA34" s="128">
        <f t="shared" si="13"/>
        <v>0</v>
      </c>
      <c r="AB34" s="129">
        <f t="shared" si="13"/>
        <v>0</v>
      </c>
      <c r="AC34" s="129">
        <f t="shared" si="13"/>
        <v>0</v>
      </c>
      <c r="AD34" s="129">
        <f t="shared" si="13"/>
        <v>0</v>
      </c>
      <c r="AE34" s="129">
        <f t="shared" si="13"/>
        <v>0</v>
      </c>
      <c r="AF34" s="129">
        <f t="shared" si="13"/>
        <v>0</v>
      </c>
      <c r="AG34" s="129">
        <f t="shared" si="13"/>
        <v>0</v>
      </c>
      <c r="AH34" s="129">
        <f t="shared" si="13"/>
        <v>0</v>
      </c>
      <c r="AI34" s="129">
        <f t="shared" si="13"/>
        <v>0</v>
      </c>
      <c r="AJ34" s="129">
        <f t="shared" si="13"/>
        <v>0</v>
      </c>
      <c r="AK34" s="130">
        <f t="shared" si="13"/>
        <v>0</v>
      </c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</row>
    <row r="35" spans="1:57" ht="15.75" customHeight="1">
      <c r="A35" s="15"/>
      <c r="B35" s="20"/>
      <c r="C35" s="15"/>
      <c r="D35" s="148" t="str">
        <f t="shared" si="5"/>
        <v>Connect Pro Evolution</v>
      </c>
      <c r="E35" s="149">
        <v>0.2</v>
      </c>
      <c r="F35" s="150">
        <f t="shared" si="0"/>
        <v>0</v>
      </c>
      <c r="G35" s="128">
        <f t="shared" si="1"/>
        <v>0.19800000000000001</v>
      </c>
      <c r="H35" s="128">
        <f t="shared" si="2"/>
        <v>0</v>
      </c>
      <c r="I35" s="128">
        <f t="shared" ref="I35:Y35" si="14">($G35%*I20)*1000</f>
        <v>39.599999999999994</v>
      </c>
      <c r="J35" s="128">
        <f t="shared" si="14"/>
        <v>20.869199999999996</v>
      </c>
      <c r="K35" s="128">
        <f t="shared" si="14"/>
        <v>12.5334</v>
      </c>
      <c r="L35" s="128">
        <f t="shared" si="14"/>
        <v>5.6627999999999998</v>
      </c>
      <c r="M35" s="128">
        <f t="shared" si="14"/>
        <v>4.1777999999999995</v>
      </c>
      <c r="N35" s="128">
        <f t="shared" si="14"/>
        <v>0</v>
      </c>
      <c r="O35" s="128">
        <f t="shared" si="14"/>
        <v>0</v>
      </c>
      <c r="P35" s="128">
        <f t="shared" si="14"/>
        <v>0</v>
      </c>
      <c r="Q35" s="128">
        <f t="shared" si="14"/>
        <v>0</v>
      </c>
      <c r="R35" s="128">
        <f t="shared" si="14"/>
        <v>196.02</v>
      </c>
      <c r="S35" s="128">
        <f t="shared" si="14"/>
        <v>22.77</v>
      </c>
      <c r="T35" s="128">
        <f t="shared" si="14"/>
        <v>11.4642</v>
      </c>
      <c r="U35" s="128">
        <f t="shared" si="14"/>
        <v>2.8313999999999999</v>
      </c>
      <c r="V35" s="128">
        <f t="shared" si="14"/>
        <v>0</v>
      </c>
      <c r="W35" s="128">
        <f t="shared" si="14"/>
        <v>2.0592000000000001</v>
      </c>
      <c r="X35" s="128">
        <f t="shared" si="14"/>
        <v>0</v>
      </c>
      <c r="Y35" s="128">
        <f t="shared" si="14"/>
        <v>3.9797999999999996</v>
      </c>
      <c r="Z35" s="128">
        <f t="shared" ref="Z35:AK35" si="15">($G35*Z20)</f>
        <v>0.39600000000000002</v>
      </c>
      <c r="AA35" s="128">
        <f t="shared" si="15"/>
        <v>77.548680000000004</v>
      </c>
      <c r="AB35" s="129">
        <f t="shared" si="15"/>
        <v>1.9839599999999999</v>
      </c>
      <c r="AC35" s="129">
        <f t="shared" si="15"/>
        <v>385.90200000000004</v>
      </c>
      <c r="AD35" s="129">
        <f t="shared" si="15"/>
        <v>257.40000000000003</v>
      </c>
      <c r="AE35" s="129">
        <f t="shared" si="15"/>
        <v>0.7722</v>
      </c>
      <c r="AF35" s="129">
        <f t="shared" si="15"/>
        <v>312.84000000000003</v>
      </c>
      <c r="AG35" s="129">
        <f t="shared" si="15"/>
        <v>1449.9540000000002</v>
      </c>
      <c r="AH35" s="129">
        <f t="shared" si="15"/>
        <v>5586.768</v>
      </c>
      <c r="AI35" s="129">
        <f t="shared" si="15"/>
        <v>627.06600000000003</v>
      </c>
      <c r="AJ35" s="129">
        <f t="shared" si="15"/>
        <v>0</v>
      </c>
      <c r="AK35" s="130">
        <f t="shared" si="15"/>
        <v>0</v>
      </c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</row>
    <row r="36" spans="1:57" ht="15.75" customHeight="1">
      <c r="A36" s="15"/>
      <c r="B36" s="20"/>
      <c r="C36" s="15"/>
      <c r="D36" s="148">
        <f t="shared" si="5"/>
        <v>0</v>
      </c>
      <c r="E36" s="149"/>
      <c r="F36" s="150">
        <f t="shared" si="0"/>
        <v>0</v>
      </c>
      <c r="G36" s="128">
        <f t="shared" si="1"/>
        <v>0</v>
      </c>
      <c r="H36" s="128">
        <f t="shared" si="2"/>
        <v>0</v>
      </c>
      <c r="I36" s="128">
        <f t="shared" ref="I36:Y36" si="16">($G36%*I21)*1000</f>
        <v>0</v>
      </c>
      <c r="J36" s="128">
        <f t="shared" si="16"/>
        <v>0</v>
      </c>
      <c r="K36" s="128">
        <f t="shared" si="16"/>
        <v>0</v>
      </c>
      <c r="L36" s="128">
        <f t="shared" si="16"/>
        <v>0</v>
      </c>
      <c r="M36" s="128">
        <f t="shared" si="16"/>
        <v>0</v>
      </c>
      <c r="N36" s="128">
        <f t="shared" si="16"/>
        <v>0</v>
      </c>
      <c r="O36" s="128">
        <f t="shared" si="16"/>
        <v>0</v>
      </c>
      <c r="P36" s="128">
        <f t="shared" si="16"/>
        <v>0</v>
      </c>
      <c r="Q36" s="128">
        <f t="shared" si="16"/>
        <v>0</v>
      </c>
      <c r="R36" s="128">
        <f t="shared" si="16"/>
        <v>0</v>
      </c>
      <c r="S36" s="128">
        <f t="shared" si="16"/>
        <v>0</v>
      </c>
      <c r="T36" s="128">
        <f t="shared" si="16"/>
        <v>0</v>
      </c>
      <c r="U36" s="128">
        <f t="shared" si="16"/>
        <v>0</v>
      </c>
      <c r="V36" s="128">
        <f t="shared" si="16"/>
        <v>0</v>
      </c>
      <c r="W36" s="128">
        <f t="shared" si="16"/>
        <v>0</v>
      </c>
      <c r="X36" s="128">
        <f t="shared" si="16"/>
        <v>0</v>
      </c>
      <c r="Y36" s="128">
        <f t="shared" si="16"/>
        <v>0</v>
      </c>
      <c r="Z36" s="128">
        <f t="shared" ref="Z36:AK36" si="17">($G36*Z21)</f>
        <v>0</v>
      </c>
      <c r="AA36" s="128">
        <f t="shared" si="17"/>
        <v>0</v>
      </c>
      <c r="AB36" s="129">
        <f t="shared" si="17"/>
        <v>0</v>
      </c>
      <c r="AC36" s="129">
        <f t="shared" si="17"/>
        <v>0</v>
      </c>
      <c r="AD36" s="129">
        <f t="shared" si="17"/>
        <v>0</v>
      </c>
      <c r="AE36" s="129">
        <f t="shared" si="17"/>
        <v>0</v>
      </c>
      <c r="AF36" s="129">
        <f t="shared" si="17"/>
        <v>0</v>
      </c>
      <c r="AG36" s="129">
        <f t="shared" si="17"/>
        <v>0</v>
      </c>
      <c r="AH36" s="129">
        <f t="shared" si="17"/>
        <v>0</v>
      </c>
      <c r="AI36" s="129">
        <f t="shared" si="17"/>
        <v>0</v>
      </c>
      <c r="AJ36" s="129">
        <f t="shared" si="17"/>
        <v>0</v>
      </c>
      <c r="AK36" s="130">
        <f t="shared" si="17"/>
        <v>0</v>
      </c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</row>
    <row r="37" spans="1:57" ht="15.75" customHeight="1">
      <c r="A37" s="15"/>
      <c r="B37" s="21"/>
      <c r="C37" s="15"/>
      <c r="D37" s="148">
        <f t="shared" si="5"/>
        <v>0</v>
      </c>
      <c r="E37" s="149"/>
      <c r="F37" s="150">
        <f t="shared" si="0"/>
        <v>0</v>
      </c>
      <c r="G37" s="128">
        <f t="shared" si="1"/>
        <v>0</v>
      </c>
      <c r="H37" s="128">
        <f t="shared" si="2"/>
        <v>0</v>
      </c>
      <c r="I37" s="128">
        <f t="shared" ref="I37:Y37" si="18">($G37%*I22)*1000</f>
        <v>0</v>
      </c>
      <c r="J37" s="128">
        <f t="shared" si="18"/>
        <v>0</v>
      </c>
      <c r="K37" s="128">
        <f t="shared" si="18"/>
        <v>0</v>
      </c>
      <c r="L37" s="128">
        <f t="shared" si="18"/>
        <v>0</v>
      </c>
      <c r="M37" s="128">
        <f t="shared" si="18"/>
        <v>0</v>
      </c>
      <c r="N37" s="128">
        <f t="shared" si="18"/>
        <v>0</v>
      </c>
      <c r="O37" s="128">
        <f t="shared" si="18"/>
        <v>0</v>
      </c>
      <c r="P37" s="128">
        <f t="shared" si="18"/>
        <v>0</v>
      </c>
      <c r="Q37" s="128">
        <f t="shared" si="18"/>
        <v>0</v>
      </c>
      <c r="R37" s="128">
        <f t="shared" si="18"/>
        <v>0</v>
      </c>
      <c r="S37" s="128">
        <f t="shared" si="18"/>
        <v>0</v>
      </c>
      <c r="T37" s="128">
        <f t="shared" si="18"/>
        <v>0</v>
      </c>
      <c r="U37" s="128">
        <f t="shared" si="18"/>
        <v>0</v>
      </c>
      <c r="V37" s="128">
        <f t="shared" si="18"/>
        <v>0</v>
      </c>
      <c r="W37" s="128">
        <f t="shared" si="18"/>
        <v>0</v>
      </c>
      <c r="X37" s="128">
        <f t="shared" si="18"/>
        <v>0</v>
      </c>
      <c r="Y37" s="128">
        <f t="shared" si="18"/>
        <v>0</v>
      </c>
      <c r="Z37" s="128">
        <f t="shared" ref="Z37:AK37" si="19">($G37*Z22)</f>
        <v>0</v>
      </c>
      <c r="AA37" s="128">
        <f t="shared" si="19"/>
        <v>0</v>
      </c>
      <c r="AB37" s="129">
        <f t="shared" si="19"/>
        <v>0</v>
      </c>
      <c r="AC37" s="129">
        <f t="shared" si="19"/>
        <v>0</v>
      </c>
      <c r="AD37" s="129">
        <f t="shared" si="19"/>
        <v>0</v>
      </c>
      <c r="AE37" s="129">
        <f t="shared" si="19"/>
        <v>0</v>
      </c>
      <c r="AF37" s="129">
        <f t="shared" si="19"/>
        <v>0</v>
      </c>
      <c r="AG37" s="129">
        <f t="shared" si="19"/>
        <v>0</v>
      </c>
      <c r="AH37" s="129">
        <f t="shared" si="19"/>
        <v>0</v>
      </c>
      <c r="AI37" s="129">
        <f t="shared" si="19"/>
        <v>0</v>
      </c>
      <c r="AJ37" s="129">
        <f t="shared" si="19"/>
        <v>0</v>
      </c>
      <c r="AK37" s="130">
        <f t="shared" si="19"/>
        <v>0</v>
      </c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</row>
    <row r="38" spans="1:57" ht="15.75" customHeight="1">
      <c r="A38" s="15"/>
      <c r="B38" s="21"/>
      <c r="C38" s="15"/>
      <c r="D38" s="148">
        <f t="shared" si="5"/>
        <v>0</v>
      </c>
      <c r="E38" s="149"/>
      <c r="F38" s="150">
        <f t="shared" si="0"/>
        <v>0</v>
      </c>
      <c r="G38" s="128">
        <f t="shared" si="1"/>
        <v>0</v>
      </c>
      <c r="H38" s="128">
        <f t="shared" si="2"/>
        <v>0</v>
      </c>
      <c r="I38" s="128">
        <f t="shared" ref="I38:Y38" si="20">($G38%*I23)*1000</f>
        <v>0</v>
      </c>
      <c r="J38" s="128">
        <f t="shared" si="20"/>
        <v>0</v>
      </c>
      <c r="K38" s="128">
        <f t="shared" si="20"/>
        <v>0</v>
      </c>
      <c r="L38" s="128">
        <f t="shared" si="20"/>
        <v>0</v>
      </c>
      <c r="M38" s="128">
        <f t="shared" si="20"/>
        <v>0</v>
      </c>
      <c r="N38" s="128">
        <f t="shared" si="20"/>
        <v>0</v>
      </c>
      <c r="O38" s="128">
        <f t="shared" si="20"/>
        <v>0</v>
      </c>
      <c r="P38" s="128">
        <f t="shared" si="20"/>
        <v>0</v>
      </c>
      <c r="Q38" s="128">
        <f t="shared" si="20"/>
        <v>0</v>
      </c>
      <c r="R38" s="128">
        <f t="shared" si="20"/>
        <v>0</v>
      </c>
      <c r="S38" s="128">
        <f t="shared" si="20"/>
        <v>0</v>
      </c>
      <c r="T38" s="128">
        <f t="shared" si="20"/>
        <v>0</v>
      </c>
      <c r="U38" s="128">
        <f t="shared" si="20"/>
        <v>0</v>
      </c>
      <c r="V38" s="128">
        <f t="shared" si="20"/>
        <v>0</v>
      </c>
      <c r="W38" s="128">
        <f t="shared" si="20"/>
        <v>0</v>
      </c>
      <c r="X38" s="128">
        <f t="shared" si="20"/>
        <v>0</v>
      </c>
      <c r="Y38" s="128">
        <f t="shared" si="20"/>
        <v>0</v>
      </c>
      <c r="Z38" s="128">
        <f t="shared" ref="Z38:AK38" si="21">($G38*Z23)</f>
        <v>0</v>
      </c>
      <c r="AA38" s="128">
        <f t="shared" si="21"/>
        <v>0</v>
      </c>
      <c r="AB38" s="129">
        <f t="shared" si="21"/>
        <v>0</v>
      </c>
      <c r="AC38" s="129">
        <f t="shared" si="21"/>
        <v>0</v>
      </c>
      <c r="AD38" s="129">
        <f t="shared" si="21"/>
        <v>0</v>
      </c>
      <c r="AE38" s="129">
        <f t="shared" si="21"/>
        <v>0</v>
      </c>
      <c r="AF38" s="129">
        <f t="shared" si="21"/>
        <v>0</v>
      </c>
      <c r="AG38" s="129">
        <f t="shared" si="21"/>
        <v>0</v>
      </c>
      <c r="AH38" s="129">
        <f t="shared" si="21"/>
        <v>0</v>
      </c>
      <c r="AI38" s="129">
        <f t="shared" si="21"/>
        <v>0</v>
      </c>
      <c r="AJ38" s="129">
        <f t="shared" si="21"/>
        <v>0</v>
      </c>
      <c r="AK38" s="130">
        <f t="shared" si="21"/>
        <v>0</v>
      </c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</row>
    <row r="39" spans="1:57" ht="15.75" customHeight="1">
      <c r="A39" s="15"/>
      <c r="B39" s="21"/>
      <c r="C39" s="15"/>
      <c r="D39" s="148">
        <f t="shared" si="5"/>
        <v>0</v>
      </c>
      <c r="E39" s="149"/>
      <c r="F39" s="150">
        <f t="shared" si="0"/>
        <v>0</v>
      </c>
      <c r="G39" s="128">
        <f t="shared" si="1"/>
        <v>0</v>
      </c>
      <c r="H39" s="128">
        <f t="shared" si="2"/>
        <v>0</v>
      </c>
      <c r="I39" s="128">
        <f t="shared" ref="I39:Y39" si="22">($G39%*I24)*1000</f>
        <v>0</v>
      </c>
      <c r="J39" s="128">
        <f t="shared" si="22"/>
        <v>0</v>
      </c>
      <c r="K39" s="128">
        <f t="shared" si="22"/>
        <v>0</v>
      </c>
      <c r="L39" s="128">
        <f t="shared" si="22"/>
        <v>0</v>
      </c>
      <c r="M39" s="128">
        <f t="shared" si="22"/>
        <v>0</v>
      </c>
      <c r="N39" s="128">
        <f t="shared" si="22"/>
        <v>0</v>
      </c>
      <c r="O39" s="128">
        <f t="shared" si="22"/>
        <v>0</v>
      </c>
      <c r="P39" s="128">
        <f t="shared" si="22"/>
        <v>0</v>
      </c>
      <c r="Q39" s="128">
        <f t="shared" si="22"/>
        <v>0</v>
      </c>
      <c r="R39" s="128">
        <f t="shared" si="22"/>
        <v>0</v>
      </c>
      <c r="S39" s="128">
        <f t="shared" si="22"/>
        <v>0</v>
      </c>
      <c r="T39" s="128">
        <f t="shared" si="22"/>
        <v>0</v>
      </c>
      <c r="U39" s="128">
        <f t="shared" si="22"/>
        <v>0</v>
      </c>
      <c r="V39" s="128">
        <f t="shared" si="22"/>
        <v>0</v>
      </c>
      <c r="W39" s="128">
        <f t="shared" si="22"/>
        <v>0</v>
      </c>
      <c r="X39" s="128">
        <f t="shared" si="22"/>
        <v>0</v>
      </c>
      <c r="Y39" s="128">
        <f t="shared" si="22"/>
        <v>0</v>
      </c>
      <c r="Z39" s="128">
        <f t="shared" ref="Z39:AK39" si="23">($G39*Z24)</f>
        <v>0</v>
      </c>
      <c r="AA39" s="128">
        <f t="shared" si="23"/>
        <v>0</v>
      </c>
      <c r="AB39" s="129">
        <f t="shared" si="23"/>
        <v>0</v>
      </c>
      <c r="AC39" s="129">
        <f t="shared" si="23"/>
        <v>0</v>
      </c>
      <c r="AD39" s="129">
        <f t="shared" si="23"/>
        <v>0</v>
      </c>
      <c r="AE39" s="129">
        <f t="shared" si="23"/>
        <v>0</v>
      </c>
      <c r="AF39" s="129">
        <f t="shared" si="23"/>
        <v>0</v>
      </c>
      <c r="AG39" s="129">
        <f t="shared" si="23"/>
        <v>0</v>
      </c>
      <c r="AH39" s="129">
        <f t="shared" si="23"/>
        <v>0</v>
      </c>
      <c r="AI39" s="129">
        <f t="shared" si="23"/>
        <v>0</v>
      </c>
      <c r="AJ39" s="129">
        <f t="shared" si="23"/>
        <v>0</v>
      </c>
      <c r="AK39" s="130">
        <f t="shared" si="23"/>
        <v>0</v>
      </c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</row>
    <row r="40" spans="1:57" ht="15.75" customHeight="1">
      <c r="A40" s="15"/>
      <c r="B40" s="21"/>
      <c r="C40" s="15"/>
      <c r="D40" s="151">
        <f t="shared" si="5"/>
        <v>0</v>
      </c>
      <c r="E40" s="152"/>
      <c r="F40" s="153">
        <f t="shared" si="0"/>
        <v>0</v>
      </c>
      <c r="G40" s="154">
        <f t="shared" si="1"/>
        <v>0</v>
      </c>
      <c r="H40" s="154">
        <f t="shared" si="2"/>
        <v>0</v>
      </c>
      <c r="I40" s="154">
        <f t="shared" ref="I40:Y40" si="24">($G40%*I25)*1000</f>
        <v>0</v>
      </c>
      <c r="J40" s="154">
        <f t="shared" si="24"/>
        <v>0</v>
      </c>
      <c r="K40" s="154">
        <f t="shared" si="24"/>
        <v>0</v>
      </c>
      <c r="L40" s="154">
        <f t="shared" si="24"/>
        <v>0</v>
      </c>
      <c r="M40" s="154">
        <f t="shared" si="24"/>
        <v>0</v>
      </c>
      <c r="N40" s="154">
        <f t="shared" si="24"/>
        <v>0</v>
      </c>
      <c r="O40" s="154">
        <f t="shared" si="24"/>
        <v>0</v>
      </c>
      <c r="P40" s="154">
        <f t="shared" si="24"/>
        <v>0</v>
      </c>
      <c r="Q40" s="154">
        <f t="shared" si="24"/>
        <v>0</v>
      </c>
      <c r="R40" s="154">
        <f t="shared" si="24"/>
        <v>0</v>
      </c>
      <c r="S40" s="154">
        <f t="shared" si="24"/>
        <v>0</v>
      </c>
      <c r="T40" s="154">
        <f t="shared" si="24"/>
        <v>0</v>
      </c>
      <c r="U40" s="154">
        <f t="shared" si="24"/>
        <v>0</v>
      </c>
      <c r="V40" s="154">
        <f t="shared" si="24"/>
        <v>0</v>
      </c>
      <c r="W40" s="154">
        <f t="shared" si="24"/>
        <v>0</v>
      </c>
      <c r="X40" s="154">
        <f t="shared" si="24"/>
        <v>0</v>
      </c>
      <c r="Y40" s="154">
        <f t="shared" si="24"/>
        <v>0</v>
      </c>
      <c r="Z40" s="154">
        <f t="shared" ref="Z40:AK40" si="25">($G40*Z25)</f>
        <v>0</v>
      </c>
      <c r="AA40" s="154">
        <f t="shared" si="25"/>
        <v>0</v>
      </c>
      <c r="AB40" s="155">
        <f t="shared" si="25"/>
        <v>0</v>
      </c>
      <c r="AC40" s="155">
        <f t="shared" si="25"/>
        <v>0</v>
      </c>
      <c r="AD40" s="155">
        <f t="shared" si="25"/>
        <v>0</v>
      </c>
      <c r="AE40" s="155">
        <f t="shared" si="25"/>
        <v>0</v>
      </c>
      <c r="AF40" s="155">
        <f t="shared" si="25"/>
        <v>0</v>
      </c>
      <c r="AG40" s="155">
        <f t="shared" si="25"/>
        <v>0</v>
      </c>
      <c r="AH40" s="155">
        <f t="shared" si="25"/>
        <v>0</v>
      </c>
      <c r="AI40" s="155">
        <f t="shared" si="25"/>
        <v>0</v>
      </c>
      <c r="AJ40" s="155">
        <f t="shared" si="25"/>
        <v>0</v>
      </c>
      <c r="AK40" s="156">
        <f t="shared" si="25"/>
        <v>0</v>
      </c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</row>
    <row r="41" spans="1:57" ht="15.75" customHeight="1">
      <c r="A41" s="15"/>
      <c r="B41" s="22"/>
      <c r="C41" s="15"/>
      <c r="D41" s="157">
        <f t="shared" si="5"/>
        <v>0</v>
      </c>
      <c r="E41" s="158"/>
      <c r="F41" s="159">
        <f t="shared" si="0"/>
        <v>0</v>
      </c>
      <c r="G41" s="135">
        <f t="shared" si="1"/>
        <v>0</v>
      </c>
      <c r="H41" s="135">
        <f t="shared" si="2"/>
        <v>0</v>
      </c>
      <c r="I41" s="135">
        <f t="shared" ref="I41:Y41" si="26">($G41%*I26)*1000</f>
        <v>0</v>
      </c>
      <c r="J41" s="135">
        <f t="shared" si="26"/>
        <v>0</v>
      </c>
      <c r="K41" s="135">
        <f t="shared" si="26"/>
        <v>0</v>
      </c>
      <c r="L41" s="135">
        <f t="shared" si="26"/>
        <v>0</v>
      </c>
      <c r="M41" s="135">
        <f t="shared" si="26"/>
        <v>0</v>
      </c>
      <c r="N41" s="135">
        <f t="shared" si="26"/>
        <v>0</v>
      </c>
      <c r="O41" s="135">
        <f t="shared" si="26"/>
        <v>0</v>
      </c>
      <c r="P41" s="135">
        <f t="shared" si="26"/>
        <v>0</v>
      </c>
      <c r="Q41" s="135">
        <f t="shared" si="26"/>
        <v>0</v>
      </c>
      <c r="R41" s="135">
        <f t="shared" si="26"/>
        <v>0</v>
      </c>
      <c r="S41" s="135">
        <f t="shared" si="26"/>
        <v>0</v>
      </c>
      <c r="T41" s="135">
        <f t="shared" si="26"/>
        <v>0</v>
      </c>
      <c r="U41" s="135">
        <f t="shared" si="26"/>
        <v>0</v>
      </c>
      <c r="V41" s="135">
        <f t="shared" si="26"/>
        <v>0</v>
      </c>
      <c r="W41" s="135">
        <f t="shared" si="26"/>
        <v>0</v>
      </c>
      <c r="X41" s="135">
        <f t="shared" si="26"/>
        <v>0</v>
      </c>
      <c r="Y41" s="135">
        <f t="shared" si="26"/>
        <v>0</v>
      </c>
      <c r="Z41" s="135">
        <f t="shared" ref="Z41:AK41" si="27">($G41*Z26)</f>
        <v>0</v>
      </c>
      <c r="AA41" s="135">
        <f t="shared" si="27"/>
        <v>0</v>
      </c>
      <c r="AB41" s="136">
        <f t="shared" si="27"/>
        <v>0</v>
      </c>
      <c r="AC41" s="136">
        <f t="shared" si="27"/>
        <v>0</v>
      </c>
      <c r="AD41" s="136">
        <f t="shared" si="27"/>
        <v>0</v>
      </c>
      <c r="AE41" s="136">
        <f t="shared" si="27"/>
        <v>0</v>
      </c>
      <c r="AF41" s="136">
        <f t="shared" si="27"/>
        <v>0</v>
      </c>
      <c r="AG41" s="136">
        <f t="shared" si="27"/>
        <v>0</v>
      </c>
      <c r="AH41" s="136">
        <f t="shared" si="27"/>
        <v>0</v>
      </c>
      <c r="AI41" s="136">
        <f t="shared" si="27"/>
        <v>0</v>
      </c>
      <c r="AJ41" s="136">
        <f t="shared" si="27"/>
        <v>0</v>
      </c>
      <c r="AK41" s="137">
        <f t="shared" si="27"/>
        <v>0</v>
      </c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</row>
    <row r="42" spans="1:57" ht="15.75" customHeight="1">
      <c r="A42" s="15"/>
      <c r="B42" s="15"/>
      <c r="C42" s="15"/>
      <c r="D42" s="160" t="s">
        <v>296</v>
      </c>
      <c r="E42" s="161"/>
      <c r="F42" s="162">
        <f t="shared" ref="F42:AK42" si="28">SUM(F30:F41)</f>
        <v>0</v>
      </c>
      <c r="G42" s="163">
        <f t="shared" si="28"/>
        <v>26.718000000000004</v>
      </c>
      <c r="H42" s="163">
        <f t="shared" si="28"/>
        <v>90.022000000000006</v>
      </c>
      <c r="I42" s="163">
        <f t="shared" si="28"/>
        <v>3491.3999999999992</v>
      </c>
      <c r="J42" s="163">
        <f t="shared" si="28"/>
        <v>266.56920000000002</v>
      </c>
      <c r="K42" s="163">
        <f t="shared" si="28"/>
        <v>12.5334</v>
      </c>
      <c r="L42" s="163">
        <f t="shared" si="28"/>
        <v>42.421799999999998</v>
      </c>
      <c r="M42" s="163">
        <f t="shared" si="28"/>
        <v>4.1777999999999995</v>
      </c>
      <c r="N42" s="163">
        <f t="shared" si="28"/>
        <v>1706.9</v>
      </c>
      <c r="O42" s="163">
        <f t="shared" si="28"/>
        <v>7102</v>
      </c>
      <c r="P42" s="163">
        <f t="shared" si="28"/>
        <v>3511.2</v>
      </c>
      <c r="Q42" s="164">
        <f t="shared" si="28"/>
        <v>747.5</v>
      </c>
      <c r="R42" s="163">
        <f t="shared" si="28"/>
        <v>1042.9199999999998</v>
      </c>
      <c r="S42" s="163">
        <f t="shared" si="28"/>
        <v>352.86999999999995</v>
      </c>
      <c r="T42" s="163">
        <f t="shared" si="28"/>
        <v>227.86420000000001</v>
      </c>
      <c r="U42" s="163">
        <f t="shared" si="28"/>
        <v>38.831400000000009</v>
      </c>
      <c r="V42" s="163">
        <f t="shared" si="28"/>
        <v>117</v>
      </c>
      <c r="W42" s="163">
        <f t="shared" si="28"/>
        <v>8.8092000000000006</v>
      </c>
      <c r="X42" s="163">
        <f t="shared" si="28"/>
        <v>0</v>
      </c>
      <c r="Y42" s="163">
        <f t="shared" si="28"/>
        <v>46.729799999999997</v>
      </c>
      <c r="Z42" s="163">
        <f t="shared" si="28"/>
        <v>1.8504</v>
      </c>
      <c r="AA42" s="163">
        <f t="shared" si="28"/>
        <v>278.42867999999999</v>
      </c>
      <c r="AB42" s="165">
        <f t="shared" si="28"/>
        <v>3.2889599999999999</v>
      </c>
      <c r="AC42" s="165">
        <f t="shared" si="28"/>
        <v>2824.8420000000001</v>
      </c>
      <c r="AD42" s="165">
        <f t="shared" si="28"/>
        <v>1278.8400000000001</v>
      </c>
      <c r="AE42" s="165">
        <f t="shared" si="28"/>
        <v>11.624399999999998</v>
      </c>
      <c r="AF42" s="165">
        <f t="shared" si="28"/>
        <v>1299.72</v>
      </c>
      <c r="AG42" s="165">
        <f t="shared" si="28"/>
        <v>1507.3740000000003</v>
      </c>
      <c r="AH42" s="165">
        <f t="shared" si="28"/>
        <v>6160.9679999999998</v>
      </c>
      <c r="AI42" s="165">
        <f t="shared" si="28"/>
        <v>696.66600000000005</v>
      </c>
      <c r="AJ42" s="165">
        <f t="shared" si="28"/>
        <v>2.1749999999999998</v>
      </c>
      <c r="AK42" s="166">
        <f t="shared" si="28"/>
        <v>1.0874999999999999</v>
      </c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7"/>
      <c r="AX42" s="167"/>
      <c r="AY42" s="167"/>
      <c r="AZ42" s="167"/>
      <c r="BA42" s="167"/>
      <c r="BB42" s="167"/>
      <c r="BC42" s="167"/>
      <c r="BD42" s="167"/>
      <c r="BE42" s="167"/>
    </row>
    <row r="43" spans="1:57" ht="15.75" customHeight="1">
      <c r="A43" s="15"/>
      <c r="B43" s="15"/>
      <c r="C43" s="15"/>
      <c r="D43" s="168" t="s">
        <v>297</v>
      </c>
      <c r="E43" s="168"/>
      <c r="F43" s="169"/>
      <c r="G43" s="170">
        <f t="shared" ref="G43:AK43" si="29">G11</f>
        <v>8.625</v>
      </c>
      <c r="H43" s="170">
        <f>H12</f>
        <v>0</v>
      </c>
      <c r="I43" s="170">
        <f t="shared" si="29"/>
        <v>291</v>
      </c>
      <c r="J43" s="170">
        <f t="shared" si="29"/>
        <v>12.5</v>
      </c>
      <c r="K43" s="170">
        <f t="shared" si="29"/>
        <v>7.625</v>
      </c>
      <c r="L43" s="170">
        <f t="shared" si="29"/>
        <v>3.375</v>
      </c>
      <c r="M43" s="170">
        <f t="shared" si="29"/>
        <v>2.5</v>
      </c>
      <c r="N43" s="170">
        <f t="shared" si="29"/>
        <v>144.19999999999999</v>
      </c>
      <c r="O43" s="170">
        <f t="shared" si="29"/>
        <v>0</v>
      </c>
      <c r="P43" s="170">
        <f t="shared" si="29"/>
        <v>0</v>
      </c>
      <c r="Q43" s="171">
        <f t="shared" si="29"/>
        <v>206.00000000000003</v>
      </c>
      <c r="R43" s="170">
        <f t="shared" si="29"/>
        <v>0</v>
      </c>
      <c r="S43" s="170">
        <f t="shared" si="29"/>
        <v>11.2</v>
      </c>
      <c r="T43" s="170">
        <f t="shared" si="29"/>
        <v>8</v>
      </c>
      <c r="U43" s="170">
        <f t="shared" si="29"/>
        <v>0</v>
      </c>
      <c r="V43" s="170">
        <f t="shared" si="29"/>
        <v>0</v>
      </c>
      <c r="W43" s="170">
        <f t="shared" si="29"/>
        <v>0</v>
      </c>
      <c r="X43" s="170">
        <f t="shared" si="29"/>
        <v>0</v>
      </c>
      <c r="Y43" s="170">
        <f t="shared" si="29"/>
        <v>0</v>
      </c>
      <c r="Z43" s="170">
        <f t="shared" si="29"/>
        <v>0</v>
      </c>
      <c r="AA43" s="170">
        <f t="shared" si="29"/>
        <v>0</v>
      </c>
      <c r="AB43" s="172">
        <f t="shared" si="29"/>
        <v>0</v>
      </c>
      <c r="AC43" s="172">
        <f t="shared" si="29"/>
        <v>0</v>
      </c>
      <c r="AD43" s="172">
        <f t="shared" si="29"/>
        <v>0</v>
      </c>
      <c r="AE43" s="172">
        <f t="shared" si="29"/>
        <v>0</v>
      </c>
      <c r="AF43" s="172">
        <f t="shared" si="29"/>
        <v>0</v>
      </c>
      <c r="AG43" s="172">
        <f t="shared" si="29"/>
        <v>0</v>
      </c>
      <c r="AH43" s="172">
        <f t="shared" si="29"/>
        <v>0</v>
      </c>
      <c r="AI43" s="172">
        <f t="shared" si="29"/>
        <v>0</v>
      </c>
      <c r="AJ43" s="172">
        <f t="shared" si="29"/>
        <v>0</v>
      </c>
      <c r="AK43" s="173">
        <f t="shared" si="29"/>
        <v>0</v>
      </c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7"/>
      <c r="AY43" s="167"/>
      <c r="AZ43" s="167"/>
      <c r="BA43" s="167"/>
      <c r="BB43" s="167"/>
      <c r="BC43" s="167"/>
      <c r="BD43" s="167"/>
      <c r="BE43" s="167"/>
    </row>
    <row r="44" spans="1:57" ht="15.75" customHeight="1">
      <c r="A44" s="15"/>
      <c r="B44" s="15"/>
      <c r="C44" s="15"/>
      <c r="D44" s="174" t="s">
        <v>298</v>
      </c>
      <c r="E44" s="174"/>
      <c r="F44" s="175"/>
      <c r="G44" s="176">
        <f t="shared" ref="G44:P44" si="30">G42-G43</f>
        <v>18.093000000000004</v>
      </c>
      <c r="H44" s="176">
        <f t="shared" si="30"/>
        <v>90.022000000000006</v>
      </c>
      <c r="I44" s="176">
        <f t="shared" si="30"/>
        <v>3200.3999999999992</v>
      </c>
      <c r="J44" s="176">
        <f t="shared" si="30"/>
        <v>254.06920000000002</v>
      </c>
      <c r="K44" s="176">
        <f t="shared" si="30"/>
        <v>4.9084000000000003</v>
      </c>
      <c r="L44" s="176">
        <f t="shared" si="30"/>
        <v>39.046799999999998</v>
      </c>
      <c r="M44" s="176">
        <f t="shared" si="30"/>
        <v>1.6777999999999995</v>
      </c>
      <c r="N44" s="176">
        <f t="shared" si="30"/>
        <v>1562.7</v>
      </c>
      <c r="O44" s="176">
        <f t="shared" si="30"/>
        <v>7102</v>
      </c>
      <c r="P44" s="176">
        <f t="shared" si="30"/>
        <v>3511.2</v>
      </c>
      <c r="Q44" s="176">
        <f>Q42/Q43</f>
        <v>3.6286407766990285</v>
      </c>
      <c r="R44" s="176">
        <f t="shared" ref="R44:AK44" si="31">R42-R43</f>
        <v>1042.9199999999998</v>
      </c>
      <c r="S44" s="176">
        <f t="shared" si="31"/>
        <v>341.66999999999996</v>
      </c>
      <c r="T44" s="176">
        <f t="shared" si="31"/>
        <v>219.86420000000001</v>
      </c>
      <c r="U44" s="176">
        <f t="shared" si="31"/>
        <v>38.831400000000009</v>
      </c>
      <c r="V44" s="176">
        <f t="shared" si="31"/>
        <v>117</v>
      </c>
      <c r="W44" s="176">
        <f t="shared" si="31"/>
        <v>8.8092000000000006</v>
      </c>
      <c r="X44" s="176">
        <f t="shared" si="31"/>
        <v>0</v>
      </c>
      <c r="Y44" s="176">
        <f t="shared" si="31"/>
        <v>46.729799999999997</v>
      </c>
      <c r="Z44" s="176">
        <f t="shared" si="31"/>
        <v>1.8504</v>
      </c>
      <c r="AA44" s="176">
        <f t="shared" si="31"/>
        <v>278.42867999999999</v>
      </c>
      <c r="AB44" s="177">
        <f t="shared" si="31"/>
        <v>3.2889599999999999</v>
      </c>
      <c r="AC44" s="177">
        <f t="shared" si="31"/>
        <v>2824.8420000000001</v>
      </c>
      <c r="AD44" s="177">
        <f t="shared" si="31"/>
        <v>1278.8400000000001</v>
      </c>
      <c r="AE44" s="177">
        <f t="shared" si="31"/>
        <v>11.624399999999998</v>
      </c>
      <c r="AF44" s="177">
        <f t="shared" si="31"/>
        <v>1299.72</v>
      </c>
      <c r="AG44" s="177">
        <f t="shared" si="31"/>
        <v>1507.3740000000003</v>
      </c>
      <c r="AH44" s="177">
        <f t="shared" si="31"/>
        <v>6160.9679999999998</v>
      </c>
      <c r="AI44" s="177">
        <f t="shared" si="31"/>
        <v>696.66600000000005</v>
      </c>
      <c r="AJ44" s="177">
        <f t="shared" si="31"/>
        <v>2.1749999999999998</v>
      </c>
      <c r="AK44" s="177">
        <f t="shared" si="31"/>
        <v>1.0874999999999999</v>
      </c>
      <c r="AL44" s="167"/>
      <c r="AM44" s="167"/>
      <c r="AN44" s="167"/>
      <c r="AO44" s="167"/>
      <c r="AP44" s="167"/>
      <c r="AQ44" s="167"/>
      <c r="AR44" s="167"/>
      <c r="AS44" s="167"/>
      <c r="AT44" s="167"/>
      <c r="AU44" s="167"/>
      <c r="AV44" s="167"/>
      <c r="AW44" s="167"/>
      <c r="AX44" s="167"/>
      <c r="AY44" s="167"/>
      <c r="AZ44" s="167"/>
      <c r="BA44" s="167"/>
      <c r="BB44" s="167"/>
      <c r="BC44" s="167"/>
      <c r="BD44" s="167"/>
      <c r="BE44" s="167"/>
    </row>
    <row r="45" spans="1:57" ht="15.75" customHeight="1">
      <c r="A45" s="167"/>
      <c r="B45" s="15"/>
      <c r="C45" s="167"/>
      <c r="D45" s="178"/>
      <c r="E45" s="178"/>
      <c r="F45" s="179"/>
      <c r="G45" s="180" t="s">
        <v>293</v>
      </c>
      <c r="H45" s="181" t="s">
        <v>3</v>
      </c>
      <c r="I45" s="181" t="s">
        <v>4</v>
      </c>
      <c r="J45" s="181" t="s">
        <v>5</v>
      </c>
      <c r="K45" s="181" t="s">
        <v>6</v>
      </c>
      <c r="L45" s="181" t="s">
        <v>7</v>
      </c>
      <c r="M45" s="181" t="s">
        <v>8</v>
      </c>
      <c r="N45" s="181" t="s">
        <v>294</v>
      </c>
      <c r="O45" s="181" t="s">
        <v>10</v>
      </c>
      <c r="P45" s="181" t="s">
        <v>11</v>
      </c>
      <c r="Q45" s="181" t="s">
        <v>299</v>
      </c>
      <c r="R45" s="181" t="s">
        <v>13</v>
      </c>
      <c r="S45" s="181" t="s">
        <v>14</v>
      </c>
      <c r="T45" s="181" t="s">
        <v>15</v>
      </c>
      <c r="U45" s="181" t="s">
        <v>16</v>
      </c>
      <c r="V45" s="181" t="s">
        <v>17</v>
      </c>
      <c r="W45" s="181" t="s">
        <v>18</v>
      </c>
      <c r="X45" s="181" t="s">
        <v>19</v>
      </c>
      <c r="Y45" s="181" t="s">
        <v>20</v>
      </c>
      <c r="Z45" s="181" t="s">
        <v>88</v>
      </c>
      <c r="AA45" s="181" t="s">
        <v>22</v>
      </c>
      <c r="AB45" s="182" t="s">
        <v>23</v>
      </c>
      <c r="AC45" s="182" t="s">
        <v>24</v>
      </c>
      <c r="AD45" s="182" t="s">
        <v>25</v>
      </c>
      <c r="AE45" s="182" t="s">
        <v>26</v>
      </c>
      <c r="AF45" s="182" t="s">
        <v>27</v>
      </c>
      <c r="AG45" s="182" t="s">
        <v>28</v>
      </c>
      <c r="AH45" s="182" t="s">
        <v>29</v>
      </c>
      <c r="AI45" s="182" t="s">
        <v>30</v>
      </c>
      <c r="AJ45" s="182" t="s">
        <v>31</v>
      </c>
      <c r="AK45" s="183" t="s">
        <v>32</v>
      </c>
      <c r="AL45" s="184"/>
      <c r="AM45" s="184"/>
      <c r="AN45" s="184"/>
      <c r="AO45" s="184"/>
      <c r="AP45" s="184"/>
      <c r="AQ45" s="184"/>
      <c r="AR45" s="184"/>
      <c r="AS45" s="184"/>
      <c r="AT45" s="184"/>
      <c r="AU45" s="184"/>
      <c r="AV45" s="184"/>
      <c r="AW45" s="184"/>
      <c r="AX45" s="184"/>
      <c r="AY45" s="184"/>
      <c r="AZ45" s="184"/>
      <c r="BA45" s="184"/>
      <c r="BB45" s="184"/>
      <c r="BC45" s="184"/>
      <c r="BD45" s="184"/>
      <c r="BE45" s="184"/>
    </row>
    <row r="46" spans="1:57" ht="15.75" customHeight="1">
      <c r="A46" s="167"/>
      <c r="B46" s="15"/>
      <c r="C46" s="167"/>
      <c r="D46" s="185"/>
      <c r="E46" s="185"/>
      <c r="F46" s="185"/>
      <c r="G46" s="186"/>
      <c r="H46" s="187"/>
      <c r="I46" s="187"/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87"/>
      <c r="W46" s="187"/>
      <c r="X46" s="187"/>
      <c r="Y46" s="187"/>
      <c r="Z46" s="187"/>
      <c r="AA46" s="187"/>
      <c r="AB46" s="188"/>
      <c r="AC46" s="188"/>
      <c r="AD46" s="188"/>
      <c r="AE46" s="188"/>
      <c r="AF46" s="188"/>
      <c r="AG46" s="188"/>
      <c r="AH46" s="188"/>
      <c r="AI46" s="188"/>
      <c r="AJ46" s="188"/>
      <c r="AK46" s="188"/>
      <c r="AL46" s="184"/>
      <c r="AM46" s="184"/>
      <c r="AN46" s="184"/>
      <c r="AO46" s="184"/>
      <c r="AP46" s="184"/>
      <c r="AQ46" s="184"/>
      <c r="AR46" s="184"/>
      <c r="AS46" s="184"/>
      <c r="AT46" s="184"/>
      <c r="AU46" s="184"/>
      <c r="AV46" s="184"/>
      <c r="AW46" s="184"/>
      <c r="AX46" s="184"/>
      <c r="AY46" s="184"/>
      <c r="AZ46" s="184"/>
      <c r="BA46" s="184"/>
      <c r="BB46" s="184"/>
      <c r="BC46" s="184"/>
      <c r="BD46" s="184"/>
      <c r="BE46" s="184"/>
    </row>
    <row r="47" spans="1:57" ht="16.5" customHeight="1">
      <c r="A47" s="167"/>
      <c r="B47" s="15"/>
      <c r="C47" s="167"/>
      <c r="D47" s="111" t="s">
        <v>300</v>
      </c>
      <c r="E47" s="113"/>
      <c r="F47" s="189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50"/>
      <c r="AC47" s="50"/>
      <c r="AD47" s="50"/>
      <c r="AE47" s="50"/>
      <c r="AF47" s="50"/>
      <c r="AG47" s="50"/>
      <c r="AH47" s="50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</row>
    <row r="48" spans="1:57" ht="15.75" customHeight="1">
      <c r="A48" s="184"/>
      <c r="B48" s="15"/>
      <c r="C48" s="184"/>
      <c r="D48" s="190" t="s">
        <v>301</v>
      </c>
      <c r="E48" s="190" t="s">
        <v>302</v>
      </c>
      <c r="F48" s="191" t="s">
        <v>303</v>
      </c>
      <c r="G48" s="110"/>
      <c r="H48" s="29"/>
      <c r="I48" s="111" t="s">
        <v>304</v>
      </c>
      <c r="J48" s="114"/>
      <c r="K48" s="192" t="s">
        <v>105</v>
      </c>
      <c r="L48" s="68"/>
      <c r="M48" s="114"/>
      <c r="N48" s="29"/>
      <c r="O48" s="29"/>
      <c r="P48" s="29"/>
      <c r="Q48" s="29"/>
      <c r="R48" s="29"/>
      <c r="S48" s="29"/>
      <c r="T48" s="138"/>
      <c r="U48" s="138"/>
      <c r="V48" s="138"/>
      <c r="W48" s="138"/>
      <c r="X48" s="138"/>
      <c r="Y48" s="138"/>
      <c r="Z48" s="138"/>
      <c r="AA48" s="138"/>
      <c r="AB48" s="50"/>
      <c r="AC48" s="50"/>
      <c r="AD48" s="50"/>
      <c r="AE48" s="50"/>
      <c r="AF48" s="50"/>
      <c r="AG48" s="50"/>
      <c r="AH48" s="50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</row>
    <row r="49" spans="1:57" ht="15.75" customHeight="1">
      <c r="A49" s="184"/>
      <c r="B49" s="15"/>
      <c r="C49" s="184"/>
      <c r="D49" s="193" t="s">
        <v>70</v>
      </c>
      <c r="E49" s="194">
        <f>G44</f>
        <v>18.093000000000004</v>
      </c>
      <c r="F49" s="195">
        <f>IFERROR(E49/G43,"")</f>
        <v>2.0977391304347832</v>
      </c>
      <c r="G49" s="110"/>
      <c r="H49" s="29"/>
      <c r="I49" s="196" t="s">
        <v>305</v>
      </c>
      <c r="J49" s="197"/>
      <c r="K49" s="198"/>
      <c r="L49" s="199" t="s">
        <v>306</v>
      </c>
      <c r="M49" s="200" t="s">
        <v>307</v>
      </c>
      <c r="N49" s="29"/>
      <c r="O49" s="29"/>
      <c r="P49" s="29"/>
      <c r="Q49" s="29"/>
      <c r="R49" s="29"/>
      <c r="S49" s="29"/>
      <c r="T49" s="138"/>
      <c r="U49" s="138"/>
      <c r="V49" s="138"/>
      <c r="W49" s="138"/>
      <c r="X49" s="138"/>
      <c r="Y49" s="138"/>
      <c r="Z49" s="138"/>
      <c r="AA49" s="138"/>
      <c r="AB49" s="50"/>
      <c r="AC49" s="50"/>
      <c r="AD49" s="50"/>
      <c r="AE49" s="50"/>
      <c r="AF49" s="50"/>
      <c r="AG49" s="50"/>
      <c r="AH49" s="50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</row>
    <row r="50" spans="1:57" ht="15.75" customHeight="1">
      <c r="A50" s="29"/>
      <c r="B50" s="15"/>
      <c r="C50" s="29"/>
      <c r="D50" s="201" t="s">
        <v>10</v>
      </c>
      <c r="E50" s="202">
        <f>O44</f>
        <v>7102</v>
      </c>
      <c r="F50" s="203"/>
      <c r="G50" s="138"/>
      <c r="H50" s="29"/>
      <c r="I50" s="204" t="s">
        <v>308</v>
      </c>
      <c r="J50" s="205"/>
      <c r="K50" s="206"/>
      <c r="L50" s="207" t="s">
        <v>309</v>
      </c>
      <c r="M50" s="202">
        <f>IFERROR(I42/H42,0)</f>
        <v>38.78385283597342</v>
      </c>
      <c r="N50" s="29"/>
      <c r="O50" s="29"/>
      <c r="P50" s="29"/>
      <c r="Q50" s="29"/>
      <c r="R50" s="29"/>
      <c r="S50" s="29"/>
      <c r="T50" s="138"/>
      <c r="U50" s="138"/>
      <c r="V50" s="138"/>
      <c r="W50" s="138"/>
      <c r="X50" s="138"/>
      <c r="Y50" s="138"/>
      <c r="Z50" s="138"/>
      <c r="AA50" s="138"/>
      <c r="AB50" s="50"/>
      <c r="AC50" s="50"/>
      <c r="AD50" s="50"/>
      <c r="AE50" s="50"/>
      <c r="AF50" s="50"/>
      <c r="AG50" s="50"/>
      <c r="AH50" s="50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</row>
    <row r="51" spans="1:57" ht="15.75" customHeight="1">
      <c r="A51" s="29"/>
      <c r="B51" s="15"/>
      <c r="C51" s="29"/>
      <c r="D51" s="208" t="s">
        <v>11</v>
      </c>
      <c r="E51" s="209">
        <f>P44</f>
        <v>3511.2</v>
      </c>
      <c r="F51" s="210"/>
      <c r="G51" s="138"/>
      <c r="H51" s="29"/>
      <c r="I51" s="201" t="s">
        <v>310</v>
      </c>
      <c r="J51" s="211"/>
      <c r="K51" s="206"/>
      <c r="L51" s="202">
        <v>2</v>
      </c>
      <c r="M51" s="202">
        <f>IFERROR(S42/T42,0)</f>
        <v>1.5485978051839646</v>
      </c>
      <c r="N51" s="29"/>
      <c r="O51" s="29"/>
      <c r="P51" s="29"/>
      <c r="Q51" s="29"/>
      <c r="R51" s="29"/>
      <c r="S51" s="29"/>
      <c r="T51" s="138"/>
      <c r="U51" s="138"/>
      <c r="V51" s="138"/>
      <c r="W51" s="138"/>
      <c r="X51" s="138"/>
      <c r="Y51" s="138"/>
      <c r="Z51" s="138"/>
      <c r="AA51" s="138"/>
      <c r="AB51" s="50"/>
      <c r="AC51" s="50"/>
      <c r="AD51" s="50"/>
      <c r="AE51" s="50"/>
      <c r="AF51" s="50"/>
      <c r="AG51" s="50"/>
      <c r="AH51" s="50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</row>
    <row r="52" spans="1:57" ht="15.75" customHeight="1">
      <c r="A52" s="29"/>
      <c r="B52" s="15"/>
      <c r="C52" s="29"/>
      <c r="D52" s="212"/>
      <c r="E52" s="212"/>
      <c r="F52" s="213"/>
      <c r="G52" s="138"/>
      <c r="H52" s="29"/>
      <c r="I52" s="201" t="s">
        <v>311</v>
      </c>
      <c r="J52" s="214"/>
      <c r="K52" s="206"/>
      <c r="L52" s="202">
        <v>0.61</v>
      </c>
      <c r="M52" s="202">
        <f>IFERROR(K42/J42,0)</f>
        <v>4.7017434872445876E-2</v>
      </c>
      <c r="N52" s="29"/>
      <c r="O52" s="29"/>
      <c r="P52" s="29"/>
      <c r="Q52" s="29"/>
      <c r="R52" s="29"/>
      <c r="S52" s="29"/>
      <c r="T52" s="138"/>
      <c r="U52" s="138"/>
      <c r="V52" s="138"/>
      <c r="W52" s="138"/>
      <c r="X52" s="138"/>
      <c r="Y52" s="138"/>
      <c r="Z52" s="138"/>
      <c r="AA52" s="138"/>
      <c r="AB52" s="50"/>
      <c r="AC52" s="50"/>
      <c r="AD52" s="50"/>
      <c r="AE52" s="50"/>
      <c r="AF52" s="50"/>
      <c r="AG52" s="50"/>
      <c r="AH52" s="50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</row>
    <row r="53" spans="1:57" ht="15.75" customHeight="1">
      <c r="A53" s="29"/>
      <c r="B53" s="15"/>
      <c r="C53" s="29"/>
      <c r="D53" s="215" t="s">
        <v>312</v>
      </c>
      <c r="E53" s="216" t="s">
        <v>302</v>
      </c>
      <c r="F53" s="217" t="s">
        <v>303</v>
      </c>
      <c r="G53" s="138"/>
      <c r="H53" s="29"/>
      <c r="I53" s="201" t="s">
        <v>313</v>
      </c>
      <c r="J53" s="214"/>
      <c r="K53" s="206"/>
      <c r="L53" s="202">
        <v>0.27</v>
      </c>
      <c r="M53" s="202">
        <f>IFERROR(L42/J42,0)</f>
        <v>0.1591399156391661</v>
      </c>
      <c r="N53" s="29"/>
      <c r="O53" s="29"/>
      <c r="P53" s="29"/>
      <c r="Q53" s="29"/>
      <c r="R53" s="29"/>
      <c r="S53" s="29"/>
      <c r="T53" s="138"/>
      <c r="U53" s="138"/>
      <c r="V53" s="138"/>
      <c r="W53" s="138"/>
      <c r="X53" s="138"/>
      <c r="Y53" s="138"/>
      <c r="Z53" s="138"/>
      <c r="AA53" s="138"/>
      <c r="AB53" s="50"/>
      <c r="AC53" s="50"/>
      <c r="AD53" s="50"/>
      <c r="AE53" s="50"/>
      <c r="AF53" s="50"/>
      <c r="AG53" s="50"/>
      <c r="AH53" s="50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</row>
    <row r="54" spans="1:57" ht="15.75" customHeight="1">
      <c r="A54" s="29"/>
      <c r="B54" s="15"/>
      <c r="C54" s="29"/>
      <c r="D54" s="218" t="s">
        <v>314</v>
      </c>
      <c r="E54" s="219">
        <f>H44</f>
        <v>90.022000000000006</v>
      </c>
      <c r="F54" s="195" t="str">
        <f>IFERROR(E54/H43,"")</f>
        <v/>
      </c>
      <c r="G54" s="138"/>
      <c r="H54" s="29"/>
      <c r="I54" s="201" t="s">
        <v>315</v>
      </c>
      <c r="J54" s="214"/>
      <c r="K54" s="206"/>
      <c r="L54" s="202">
        <v>0.2</v>
      </c>
      <c r="M54" s="202">
        <f>IFERROR(M42/J42,0)</f>
        <v>1.5672478290815289E-2</v>
      </c>
      <c r="N54" s="29"/>
      <c r="O54" s="29"/>
      <c r="P54" s="29"/>
      <c r="Q54" s="29"/>
      <c r="R54" s="29"/>
      <c r="S54" s="29"/>
      <c r="T54" s="138"/>
      <c r="U54" s="138"/>
      <c r="V54" s="138"/>
      <c r="W54" s="138"/>
      <c r="X54" s="138"/>
      <c r="Y54" s="138"/>
      <c r="Z54" s="138"/>
      <c r="AA54" s="138"/>
      <c r="AB54" s="50"/>
      <c r="AC54" s="50"/>
      <c r="AD54" s="50"/>
      <c r="AE54" s="50"/>
      <c r="AF54" s="50"/>
      <c r="AG54" s="50"/>
      <c r="AH54" s="50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</row>
    <row r="55" spans="1:57" ht="15.75" customHeight="1">
      <c r="A55" s="29"/>
      <c r="B55" s="15"/>
      <c r="C55" s="29"/>
      <c r="D55" s="220" t="s">
        <v>9</v>
      </c>
      <c r="E55" s="221">
        <f>N44</f>
        <v>1562.7</v>
      </c>
      <c r="F55" s="195">
        <f>IFERROR(E55/N43,"")</f>
        <v>10.837031900138697</v>
      </c>
      <c r="G55" s="138"/>
      <c r="H55" s="29"/>
      <c r="I55" s="201" t="s">
        <v>316</v>
      </c>
      <c r="J55" s="214"/>
      <c r="K55" s="206"/>
      <c r="L55" s="202" t="s">
        <v>317</v>
      </c>
      <c r="M55" s="203">
        <f>SUMIFS(G30:G41,E15:E26,K48)/E6</f>
        <v>0</v>
      </c>
      <c r="N55" s="29"/>
      <c r="O55" s="29"/>
      <c r="P55" s="29"/>
      <c r="Q55" s="29"/>
      <c r="R55" s="29"/>
      <c r="S55" s="29"/>
      <c r="T55" s="138"/>
      <c r="U55" s="138"/>
      <c r="V55" s="138"/>
      <c r="W55" s="138"/>
      <c r="X55" s="138"/>
      <c r="Y55" s="138"/>
      <c r="Z55" s="138"/>
      <c r="AA55" s="138"/>
      <c r="AB55" s="50"/>
      <c r="AC55" s="50"/>
      <c r="AD55" s="50"/>
      <c r="AE55" s="50"/>
      <c r="AF55" s="50"/>
      <c r="AG55" s="50"/>
      <c r="AH55" s="50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</row>
    <row r="56" spans="1:57" ht="15.75" customHeight="1">
      <c r="A56" s="29"/>
      <c r="B56" s="15"/>
      <c r="C56" s="29"/>
      <c r="D56" s="222" t="s">
        <v>318</v>
      </c>
      <c r="E56" s="223">
        <f>Q44</f>
        <v>3.6286407766990285</v>
      </c>
      <c r="F56" s="223" t="s">
        <v>319</v>
      </c>
      <c r="G56" s="138"/>
      <c r="H56" s="29"/>
      <c r="I56" s="201" t="s">
        <v>320</v>
      </c>
      <c r="J56" s="214"/>
      <c r="K56" s="224"/>
      <c r="L56" s="225">
        <f>E56</f>
        <v>3.6286407766990285</v>
      </c>
      <c r="M56" s="226"/>
      <c r="N56" s="29"/>
      <c r="O56" s="29"/>
      <c r="P56" s="29"/>
      <c r="Q56" s="29"/>
      <c r="R56" s="29"/>
      <c r="S56" s="29"/>
      <c r="T56" s="138"/>
      <c r="U56" s="138"/>
      <c r="V56" s="138"/>
      <c r="W56" s="138"/>
      <c r="X56" s="138"/>
      <c r="Y56" s="138"/>
      <c r="Z56" s="138"/>
      <c r="AA56" s="138"/>
      <c r="AB56" s="50"/>
      <c r="AC56" s="50"/>
      <c r="AD56" s="50"/>
      <c r="AE56" s="50"/>
      <c r="AF56" s="50"/>
      <c r="AG56" s="50"/>
      <c r="AH56" s="50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</row>
    <row r="57" spans="1:57" ht="15.75" customHeight="1">
      <c r="A57" s="29"/>
      <c r="B57" s="15"/>
      <c r="C57" s="29"/>
      <c r="D57" s="227"/>
      <c r="E57" s="227"/>
      <c r="F57" s="29"/>
      <c r="G57" s="138"/>
      <c r="H57" s="29"/>
      <c r="I57" s="201" t="s">
        <v>321</v>
      </c>
      <c r="J57" s="214"/>
      <c r="K57" s="228"/>
      <c r="L57" s="202" t="s">
        <v>322</v>
      </c>
      <c r="M57" s="203">
        <f>G42/E6</f>
        <v>7.7443478260869572E-2</v>
      </c>
      <c r="N57" s="29"/>
      <c r="O57" s="29"/>
      <c r="P57" s="29"/>
      <c r="Q57" s="29"/>
      <c r="R57" s="29"/>
      <c r="S57" s="29"/>
      <c r="T57" s="138"/>
      <c r="U57" s="138"/>
      <c r="V57" s="138"/>
      <c r="W57" s="138"/>
      <c r="X57" s="138"/>
      <c r="Y57" s="138"/>
      <c r="Z57" s="138"/>
      <c r="AA57" s="138"/>
      <c r="AB57" s="50"/>
      <c r="AC57" s="50"/>
      <c r="AD57" s="50"/>
      <c r="AE57" s="50"/>
      <c r="AF57" s="50"/>
      <c r="AG57" s="50"/>
      <c r="AH57" s="50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</row>
    <row r="58" spans="1:57" ht="15.75" customHeight="1">
      <c r="A58" s="29"/>
      <c r="B58" s="15"/>
      <c r="C58" s="29"/>
      <c r="D58" s="229" t="s">
        <v>323</v>
      </c>
      <c r="E58" s="230" t="s">
        <v>302</v>
      </c>
      <c r="F58" s="231" t="s">
        <v>303</v>
      </c>
      <c r="G58" s="138"/>
      <c r="H58" s="29"/>
      <c r="I58" s="201" t="s">
        <v>324</v>
      </c>
      <c r="J58" s="214"/>
      <c r="K58" s="206"/>
      <c r="L58" s="202">
        <f>N11</f>
        <v>144.19999999999999</v>
      </c>
      <c r="M58" s="202">
        <f>N42</f>
        <v>1706.9</v>
      </c>
      <c r="N58" s="29"/>
      <c r="O58" s="29"/>
      <c r="P58" s="29"/>
      <c r="Q58" s="29"/>
      <c r="R58" s="29"/>
      <c r="S58" s="29"/>
      <c r="T58" s="138"/>
      <c r="U58" s="138"/>
      <c r="V58" s="138"/>
      <c r="W58" s="138"/>
      <c r="X58" s="138"/>
      <c r="Y58" s="138"/>
      <c r="Z58" s="138"/>
      <c r="AA58" s="138"/>
      <c r="AB58" s="50"/>
      <c r="AC58" s="50"/>
      <c r="AD58" s="50"/>
      <c r="AE58" s="50"/>
      <c r="AF58" s="50"/>
      <c r="AG58" s="50"/>
      <c r="AH58" s="50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</row>
    <row r="59" spans="1:57" ht="15.75" customHeight="1">
      <c r="A59" s="29"/>
      <c r="B59" s="15"/>
      <c r="C59" s="29"/>
      <c r="D59" s="218" t="s">
        <v>4</v>
      </c>
      <c r="E59" s="194">
        <f>I44</f>
        <v>3200.3999999999992</v>
      </c>
      <c r="F59" s="195">
        <f>IFERROR(E59/I43,"")</f>
        <v>10.997938144329893</v>
      </c>
      <c r="G59" s="138"/>
      <c r="H59" s="29"/>
      <c r="I59" s="232" t="s">
        <v>325</v>
      </c>
      <c r="J59" s="214"/>
      <c r="K59" s="206"/>
      <c r="L59" s="233" t="s">
        <v>326</v>
      </c>
      <c r="M59" s="202">
        <f>IFERROR(S42/T42,0)</f>
        <v>1.5485978051839646</v>
      </c>
      <c r="N59" s="29"/>
      <c r="O59" s="29"/>
      <c r="P59" s="29"/>
      <c r="Q59" s="29"/>
      <c r="R59" s="29"/>
      <c r="S59" s="29"/>
      <c r="T59" s="138"/>
      <c r="U59" s="138"/>
      <c r="V59" s="138"/>
      <c r="W59" s="138"/>
      <c r="X59" s="138"/>
      <c r="Y59" s="138"/>
      <c r="Z59" s="138"/>
      <c r="AA59" s="138"/>
      <c r="AB59" s="50"/>
      <c r="AC59" s="50"/>
      <c r="AD59" s="50"/>
      <c r="AE59" s="50"/>
      <c r="AF59" s="50"/>
      <c r="AG59" s="50"/>
      <c r="AH59" s="50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</row>
    <row r="60" spans="1:57" ht="15.75" customHeight="1">
      <c r="A60" s="29"/>
      <c r="B60" s="15"/>
      <c r="C60" s="29"/>
      <c r="D60" s="220" t="s">
        <v>5</v>
      </c>
      <c r="E60" s="202">
        <f>J44</f>
        <v>254.06920000000002</v>
      </c>
      <c r="F60" s="195">
        <f>IFERROR(E60/J43,"")</f>
        <v>20.325536000000003</v>
      </c>
      <c r="G60" s="138"/>
      <c r="H60" s="29"/>
      <c r="I60" s="232" t="s">
        <v>327</v>
      </c>
      <c r="J60" s="214"/>
      <c r="K60" s="206"/>
      <c r="L60" s="233" t="s">
        <v>328</v>
      </c>
      <c r="M60" s="202">
        <f>IFERROR(S42/U42,0)</f>
        <v>9.0872335275060863</v>
      </c>
      <c r="N60" s="29"/>
      <c r="O60" s="29"/>
      <c r="P60" s="29"/>
      <c r="Q60" s="29"/>
      <c r="R60" s="29"/>
      <c r="S60" s="29"/>
      <c r="T60" s="138"/>
      <c r="U60" s="138"/>
      <c r="V60" s="138"/>
      <c r="W60" s="138"/>
      <c r="X60" s="138"/>
      <c r="Y60" s="138"/>
      <c r="Z60" s="138"/>
      <c r="AA60" s="138"/>
      <c r="AB60" s="50"/>
      <c r="AC60" s="50"/>
      <c r="AD60" s="50"/>
      <c r="AE60" s="50"/>
      <c r="AF60" s="50"/>
      <c r="AG60" s="50"/>
      <c r="AH60" s="50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</row>
    <row r="61" spans="1:57" ht="15.75" customHeight="1">
      <c r="A61" s="29"/>
      <c r="B61" s="15"/>
      <c r="C61" s="29"/>
      <c r="D61" s="220" t="s">
        <v>6</v>
      </c>
      <c r="E61" s="202">
        <f>K44</f>
        <v>4.9084000000000003</v>
      </c>
      <c r="F61" s="195">
        <f>IFERROR(E61/K43,"")</f>
        <v>0.64372459016393446</v>
      </c>
      <c r="G61" s="138"/>
      <c r="H61" s="51"/>
      <c r="I61" s="232" t="s">
        <v>329</v>
      </c>
      <c r="J61" s="214"/>
      <c r="K61" s="206"/>
      <c r="L61" s="233" t="s">
        <v>330</v>
      </c>
      <c r="M61" s="202">
        <f>IFERROR(AF42/AA42,0)</f>
        <v>4.6680535927548847</v>
      </c>
      <c r="N61" s="51"/>
      <c r="O61" s="51"/>
      <c r="P61" s="51"/>
      <c r="Q61" s="51"/>
      <c r="R61" s="51"/>
      <c r="S61" s="138"/>
      <c r="T61" s="138"/>
      <c r="U61" s="138"/>
      <c r="V61" s="138"/>
      <c r="W61" s="138"/>
      <c r="X61" s="138"/>
      <c r="Y61" s="138"/>
      <c r="Z61" s="138"/>
      <c r="AA61" s="138"/>
      <c r="AB61" s="50"/>
      <c r="AC61" s="50"/>
      <c r="AD61" s="50"/>
      <c r="AE61" s="50"/>
      <c r="AF61" s="50"/>
      <c r="AG61" s="50"/>
      <c r="AH61" s="50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</row>
    <row r="62" spans="1:57" ht="15.75" customHeight="1">
      <c r="A62" s="29"/>
      <c r="B62" s="15"/>
      <c r="C62" s="29"/>
      <c r="D62" s="220" t="s">
        <v>7</v>
      </c>
      <c r="E62" s="202">
        <f>L44</f>
        <v>39.046799999999998</v>
      </c>
      <c r="F62" s="195">
        <f>IFERROR(E62/L43,"")</f>
        <v>11.569422222222222</v>
      </c>
      <c r="G62" s="51"/>
      <c r="H62" s="51"/>
      <c r="I62" s="232" t="s">
        <v>329</v>
      </c>
      <c r="J62" s="214"/>
      <c r="K62" s="206"/>
      <c r="L62" s="233" t="s">
        <v>331</v>
      </c>
      <c r="M62" s="202">
        <f>IFERROR(AF42/AA42,0)</f>
        <v>4.6680535927548847</v>
      </c>
      <c r="N62" s="51"/>
      <c r="O62" s="51"/>
      <c r="P62" s="51"/>
      <c r="Q62" s="138"/>
      <c r="R62" s="138"/>
      <c r="S62" s="138"/>
      <c r="T62" s="138"/>
      <c r="U62" s="138"/>
      <c r="V62" s="138"/>
      <c r="W62" s="138"/>
      <c r="X62" s="138"/>
      <c r="Y62" s="138"/>
      <c r="Z62" s="50"/>
      <c r="AA62" s="50"/>
      <c r="AB62" s="50"/>
      <c r="AC62" s="50"/>
      <c r="AD62" s="50"/>
      <c r="AE62" s="50"/>
      <c r="AF62" s="50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</row>
    <row r="63" spans="1:57" ht="15.75" customHeight="1">
      <c r="A63" s="29"/>
      <c r="B63" s="15"/>
      <c r="C63" s="29"/>
      <c r="D63" s="222" t="s">
        <v>8</v>
      </c>
      <c r="E63" s="209">
        <f>M44</f>
        <v>1.6777999999999995</v>
      </c>
      <c r="F63" s="210">
        <f>IFERROR(E63/M43,"")</f>
        <v>0.67111999999999983</v>
      </c>
      <c r="G63" s="138"/>
      <c r="H63" s="138"/>
      <c r="I63" s="232" t="s">
        <v>332</v>
      </c>
      <c r="J63" s="214"/>
      <c r="K63" s="206"/>
      <c r="L63" s="233" t="s">
        <v>333</v>
      </c>
      <c r="M63" s="202">
        <f>IFERROR(AD42/AF42,0)</f>
        <v>0.98393500138491374</v>
      </c>
      <c r="N63" s="51"/>
      <c r="O63" s="51"/>
      <c r="P63" s="51"/>
      <c r="Q63" s="138"/>
      <c r="R63" s="138"/>
      <c r="S63" s="138"/>
      <c r="T63" s="138"/>
      <c r="U63" s="138"/>
      <c r="V63" s="138"/>
      <c r="W63" s="138"/>
      <c r="X63" s="138"/>
      <c r="Y63" s="138"/>
      <c r="Z63" s="50"/>
      <c r="AA63" s="50"/>
      <c r="AB63" s="50"/>
      <c r="AC63" s="50"/>
      <c r="AD63" s="50"/>
      <c r="AE63" s="50"/>
      <c r="AF63" s="50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</row>
    <row r="64" spans="1:57" ht="15.75" customHeight="1">
      <c r="A64" s="29"/>
      <c r="B64" s="15"/>
      <c r="C64" s="29"/>
      <c r="D64" s="227"/>
      <c r="E64" s="227"/>
      <c r="F64" s="68"/>
      <c r="G64" s="138"/>
      <c r="H64" s="138"/>
      <c r="I64" s="232" t="s">
        <v>334</v>
      </c>
      <c r="J64" s="214"/>
      <c r="K64" s="206"/>
      <c r="L64" s="233" t="s">
        <v>335</v>
      </c>
      <c r="M64" s="202">
        <f>IFERROR(AD42/AA42,0)</f>
        <v>4.5930613182521292</v>
      </c>
      <c r="N64" s="51"/>
      <c r="O64" s="51"/>
      <c r="P64" s="51"/>
      <c r="Q64" s="138"/>
      <c r="R64" s="138"/>
      <c r="S64" s="138"/>
      <c r="T64" s="138"/>
      <c r="U64" s="138"/>
      <c r="V64" s="138"/>
      <c r="W64" s="138"/>
      <c r="X64" s="138"/>
      <c r="Y64" s="138"/>
      <c r="Z64" s="50"/>
      <c r="AA64" s="50"/>
      <c r="AB64" s="50"/>
      <c r="AC64" s="50"/>
      <c r="AD64" s="50"/>
      <c r="AE64" s="50"/>
      <c r="AF64" s="50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</row>
    <row r="65" spans="1:57" ht="15.75" customHeight="1">
      <c r="A65" s="29"/>
      <c r="B65" s="15"/>
      <c r="C65" s="29"/>
      <c r="D65" s="190" t="s">
        <v>336</v>
      </c>
      <c r="E65" s="234" t="s">
        <v>302</v>
      </c>
      <c r="F65" s="191" t="s">
        <v>303</v>
      </c>
      <c r="G65" s="138"/>
      <c r="H65" s="138"/>
      <c r="I65" s="235" t="s">
        <v>337</v>
      </c>
      <c r="J65" s="236"/>
      <c r="K65" s="236"/>
      <c r="L65" s="237" t="s">
        <v>328</v>
      </c>
      <c r="M65" s="202">
        <f>IFERROR(V42/W42,0)</f>
        <v>13.28156926849203</v>
      </c>
      <c r="N65" s="51"/>
      <c r="O65" s="51"/>
      <c r="P65" s="51"/>
      <c r="Q65" s="138"/>
      <c r="R65" s="138"/>
      <c r="S65" s="138"/>
      <c r="T65" s="138"/>
      <c r="U65" s="138"/>
      <c r="V65" s="138"/>
      <c r="W65" s="138"/>
      <c r="X65" s="138"/>
      <c r="Y65" s="138"/>
      <c r="Z65" s="50"/>
      <c r="AA65" s="50"/>
      <c r="AB65" s="50"/>
      <c r="AC65" s="50"/>
      <c r="AD65" s="50"/>
      <c r="AE65" s="50"/>
      <c r="AF65" s="50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</row>
    <row r="66" spans="1:57" ht="15.75" customHeight="1">
      <c r="A66" s="29"/>
      <c r="B66" s="15"/>
      <c r="C66" s="29"/>
      <c r="D66" s="238" t="s">
        <v>14</v>
      </c>
      <c r="E66" s="194">
        <f>S44</f>
        <v>341.66999999999996</v>
      </c>
      <c r="F66" s="195">
        <f>IFERROR(E66/S43,"")</f>
        <v>30.506249999999998</v>
      </c>
      <c r="G66" s="138"/>
      <c r="H66" s="138"/>
      <c r="I66" s="29"/>
      <c r="J66" s="29"/>
      <c r="K66" s="29"/>
      <c r="L66" s="239"/>
      <c r="M66" s="239"/>
      <c r="N66" s="51"/>
      <c r="O66" s="51"/>
      <c r="P66" s="51"/>
      <c r="Q66" s="138"/>
      <c r="R66" s="138"/>
      <c r="S66" s="138"/>
      <c r="T66" s="138"/>
      <c r="U66" s="138"/>
      <c r="V66" s="138"/>
      <c r="W66" s="138"/>
      <c r="X66" s="138"/>
      <c r="Y66" s="138"/>
      <c r="Z66" s="50"/>
      <c r="AA66" s="50"/>
      <c r="AB66" s="50"/>
      <c r="AC66" s="50"/>
      <c r="AD66" s="50"/>
      <c r="AE66" s="50"/>
      <c r="AF66" s="50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</row>
    <row r="67" spans="1:57" ht="15.75" customHeight="1">
      <c r="A67" s="29"/>
      <c r="B67" s="15"/>
      <c r="C67" s="29"/>
      <c r="D67" s="201" t="s">
        <v>15</v>
      </c>
      <c r="E67" s="202">
        <f>T44</f>
        <v>219.86420000000001</v>
      </c>
      <c r="F67" s="195">
        <f>IFERROR(E67/T43,"")</f>
        <v>27.483025000000001</v>
      </c>
      <c r="G67" s="138"/>
      <c r="H67" s="138"/>
      <c r="I67" s="29"/>
      <c r="J67" s="29"/>
      <c r="K67" s="29"/>
      <c r="L67" s="51"/>
      <c r="M67" s="51"/>
      <c r="N67" s="51"/>
      <c r="O67" s="51"/>
      <c r="P67" s="51"/>
      <c r="Q67" s="138"/>
      <c r="R67" s="138"/>
      <c r="S67" s="138"/>
      <c r="T67" s="138"/>
      <c r="U67" s="138"/>
      <c r="V67" s="138"/>
      <c r="W67" s="138"/>
      <c r="X67" s="138"/>
      <c r="Y67" s="138"/>
      <c r="Z67" s="50"/>
      <c r="AA67" s="50"/>
      <c r="AB67" s="50"/>
      <c r="AC67" s="50"/>
      <c r="AD67" s="50"/>
      <c r="AE67" s="50"/>
      <c r="AF67" s="50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</row>
    <row r="68" spans="1:57" ht="15.75" customHeight="1">
      <c r="A68" s="29"/>
      <c r="B68" s="15"/>
      <c r="C68" s="29"/>
      <c r="D68" s="201" t="s">
        <v>16</v>
      </c>
      <c r="E68" s="202">
        <f>U44</f>
        <v>38.831400000000009</v>
      </c>
      <c r="F68" s="195" t="str">
        <f>IFERROR(E68/U43,"")</f>
        <v/>
      </c>
      <c r="G68" s="138"/>
      <c r="H68" s="138"/>
      <c r="I68" s="29"/>
      <c r="J68" s="29"/>
      <c r="K68" s="29"/>
      <c r="L68" s="51"/>
      <c r="M68" s="51"/>
      <c r="N68" s="51"/>
      <c r="O68" s="51"/>
      <c r="P68" s="51"/>
      <c r="Q68" s="138"/>
      <c r="R68" s="138"/>
      <c r="S68" s="138"/>
      <c r="T68" s="138"/>
      <c r="U68" s="138"/>
      <c r="V68" s="138"/>
      <c r="W68" s="138"/>
      <c r="X68" s="138"/>
      <c r="Y68" s="138"/>
      <c r="Z68" s="50"/>
      <c r="AA68" s="50"/>
      <c r="AB68" s="50"/>
      <c r="AC68" s="50"/>
      <c r="AD68" s="50"/>
      <c r="AE68" s="50"/>
      <c r="AF68" s="50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</row>
    <row r="69" spans="1:57" ht="15.75" customHeight="1">
      <c r="A69" s="29"/>
      <c r="B69" s="15"/>
      <c r="C69" s="29"/>
      <c r="D69" s="201" t="s">
        <v>17</v>
      </c>
      <c r="E69" s="202">
        <f>V44</f>
        <v>117</v>
      </c>
      <c r="F69" s="195" t="str">
        <f>IFERROR(E69/V43,"")</f>
        <v/>
      </c>
      <c r="G69" s="138"/>
      <c r="H69" s="138"/>
      <c r="I69" s="29"/>
      <c r="J69" s="29"/>
      <c r="K69" s="29"/>
      <c r="L69" s="51"/>
      <c r="M69" s="51"/>
      <c r="N69" s="51"/>
      <c r="O69" s="51"/>
      <c r="P69" s="51"/>
      <c r="Q69" s="138"/>
      <c r="R69" s="138"/>
      <c r="S69" s="138"/>
      <c r="T69" s="138"/>
      <c r="U69" s="138"/>
      <c r="V69" s="138"/>
      <c r="W69" s="138"/>
      <c r="X69" s="138"/>
      <c r="Y69" s="138"/>
      <c r="Z69" s="50"/>
      <c r="AA69" s="50"/>
      <c r="AB69" s="50"/>
      <c r="AC69" s="50"/>
      <c r="AD69" s="50"/>
      <c r="AE69" s="50"/>
      <c r="AF69" s="50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</row>
    <row r="70" spans="1:57" ht="15.75" customHeight="1">
      <c r="A70" s="29"/>
      <c r="B70" s="15"/>
      <c r="C70" s="29"/>
      <c r="D70" s="201" t="s">
        <v>18</v>
      </c>
      <c r="E70" s="202">
        <f>W44</f>
        <v>8.8092000000000006</v>
      </c>
      <c r="F70" s="195" t="str">
        <f>IFERROR(E70/W43,"")</f>
        <v/>
      </c>
      <c r="G70" s="138"/>
      <c r="H70" s="138"/>
      <c r="I70" s="29"/>
      <c r="J70" s="29"/>
      <c r="K70" s="29"/>
      <c r="L70" s="51"/>
      <c r="M70" s="51"/>
      <c r="N70" s="51"/>
      <c r="O70" s="51"/>
      <c r="P70" s="51"/>
      <c r="Q70" s="138"/>
      <c r="R70" s="138"/>
      <c r="S70" s="138"/>
      <c r="T70" s="138"/>
      <c r="U70" s="138"/>
      <c r="V70" s="138"/>
      <c r="W70" s="138"/>
      <c r="X70" s="138"/>
      <c r="Y70" s="138"/>
      <c r="Z70" s="50"/>
      <c r="AA70" s="50"/>
      <c r="AB70" s="50"/>
      <c r="AC70" s="50"/>
      <c r="AD70" s="50"/>
      <c r="AE70" s="50"/>
      <c r="AF70" s="50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</row>
    <row r="71" spans="1:57" ht="15.75" customHeight="1">
      <c r="A71" s="29"/>
      <c r="B71" s="15"/>
      <c r="C71" s="29"/>
      <c r="D71" s="201" t="s">
        <v>19</v>
      </c>
      <c r="E71" s="202">
        <f>X44</f>
        <v>0</v>
      </c>
      <c r="F71" s="203" t="str">
        <f>IFERROR(E71/X43,"")</f>
        <v/>
      </c>
      <c r="G71" s="138"/>
      <c r="H71" s="138"/>
      <c r="I71" s="29"/>
      <c r="J71" s="29"/>
      <c r="K71" s="29"/>
      <c r="L71" s="51"/>
      <c r="M71" s="51"/>
      <c r="N71" s="51"/>
      <c r="O71" s="51"/>
      <c r="P71" s="51"/>
      <c r="Q71" s="138"/>
      <c r="R71" s="138"/>
      <c r="S71" s="138"/>
      <c r="T71" s="138"/>
      <c r="U71" s="138"/>
      <c r="V71" s="138"/>
      <c r="W71" s="138"/>
      <c r="X71" s="138"/>
      <c r="Y71" s="138"/>
      <c r="Z71" s="50"/>
      <c r="AA71" s="50"/>
      <c r="AB71" s="50"/>
      <c r="AC71" s="50"/>
      <c r="AD71" s="50"/>
      <c r="AE71" s="50"/>
      <c r="AF71" s="50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</row>
    <row r="72" spans="1:57" ht="15.75" customHeight="1">
      <c r="A72" s="29"/>
      <c r="B72" s="15"/>
      <c r="C72" s="29"/>
      <c r="D72" s="208" t="s">
        <v>20</v>
      </c>
      <c r="E72" s="209">
        <f>Y44</f>
        <v>46.729799999999997</v>
      </c>
      <c r="F72" s="240" t="str">
        <f>IFERROR(E72/Y43,"")</f>
        <v/>
      </c>
      <c r="G72" s="138"/>
      <c r="H72" s="138"/>
      <c r="I72" s="29"/>
      <c r="J72" s="29"/>
      <c r="K72" s="29"/>
      <c r="L72" s="51"/>
      <c r="M72" s="51"/>
      <c r="N72" s="51"/>
      <c r="O72" s="51"/>
      <c r="P72" s="51"/>
      <c r="Q72" s="138"/>
      <c r="R72" s="138"/>
      <c r="S72" s="138"/>
      <c r="T72" s="138"/>
      <c r="U72" s="138"/>
      <c r="V72" s="138"/>
      <c r="W72" s="138"/>
      <c r="X72" s="138"/>
      <c r="Y72" s="138"/>
      <c r="Z72" s="50"/>
      <c r="AA72" s="50"/>
      <c r="AB72" s="50"/>
      <c r="AC72" s="50"/>
      <c r="AD72" s="50"/>
      <c r="AE72" s="50"/>
      <c r="AF72" s="50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</row>
    <row r="73" spans="1:57" ht="15.75" customHeight="1">
      <c r="A73" s="29"/>
      <c r="B73" s="15"/>
      <c r="C73" s="29"/>
      <c r="D73" s="113"/>
      <c r="E73" s="189"/>
      <c r="F73" s="213"/>
      <c r="G73" s="138"/>
      <c r="H73" s="138"/>
      <c r="I73" s="29"/>
      <c r="J73" s="29"/>
      <c r="K73" s="29"/>
      <c r="L73" s="29"/>
      <c r="M73" s="51"/>
      <c r="N73" s="51"/>
      <c r="O73" s="51"/>
      <c r="P73" s="51"/>
      <c r="Q73" s="138"/>
      <c r="R73" s="138"/>
      <c r="S73" s="138"/>
      <c r="T73" s="138"/>
      <c r="U73" s="138"/>
      <c r="V73" s="138"/>
      <c r="W73" s="138"/>
      <c r="X73" s="138"/>
      <c r="Y73" s="138"/>
      <c r="Z73" s="50"/>
      <c r="AA73" s="50"/>
      <c r="AB73" s="50"/>
      <c r="AC73" s="50"/>
      <c r="AD73" s="50"/>
      <c r="AE73" s="50"/>
      <c r="AF73" s="50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</row>
    <row r="74" spans="1:57" ht="15.75" customHeight="1">
      <c r="A74" s="29"/>
      <c r="B74" s="15"/>
      <c r="C74" s="29"/>
      <c r="D74" s="241" t="s">
        <v>338</v>
      </c>
      <c r="E74" s="230" t="s">
        <v>302</v>
      </c>
      <c r="F74" s="242" t="s">
        <v>303</v>
      </c>
      <c r="G74" s="138"/>
      <c r="H74" s="138"/>
      <c r="I74" s="29"/>
      <c r="J74" s="29"/>
      <c r="K74" s="29"/>
      <c r="L74" s="29"/>
      <c r="M74" s="51"/>
      <c r="N74" s="51"/>
      <c r="O74" s="51"/>
      <c r="P74" s="51"/>
      <c r="Q74" s="138"/>
      <c r="R74" s="138"/>
      <c r="S74" s="138"/>
      <c r="T74" s="138"/>
      <c r="U74" s="138"/>
      <c r="V74" s="138"/>
      <c r="W74" s="138"/>
      <c r="X74" s="138"/>
      <c r="Y74" s="138"/>
      <c r="Z74" s="50"/>
      <c r="AA74" s="50"/>
      <c r="AB74" s="50"/>
      <c r="AC74" s="50"/>
      <c r="AD74" s="50"/>
      <c r="AE74" s="50"/>
      <c r="AF74" s="50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</row>
    <row r="75" spans="1:57" ht="15.75" customHeight="1">
      <c r="A75" s="29"/>
      <c r="B75" s="15"/>
      <c r="C75" s="29"/>
      <c r="D75" s="218" t="s">
        <v>21</v>
      </c>
      <c r="E75" s="219">
        <f>Z44</f>
        <v>1.8504</v>
      </c>
      <c r="F75" s="195" t="str">
        <f>IFERROR(E75/Z43,"")</f>
        <v/>
      </c>
      <c r="I75" s="29"/>
      <c r="J75" s="29"/>
      <c r="K75" s="29"/>
      <c r="L75" s="29"/>
      <c r="M75" s="29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38"/>
      <c r="Y75" s="138"/>
      <c r="Z75" s="138"/>
      <c r="AA75" s="138"/>
      <c r="AB75" s="50"/>
      <c r="AC75" s="50"/>
      <c r="AD75" s="50"/>
      <c r="AE75" s="50"/>
      <c r="AF75" s="50"/>
      <c r="AG75" s="50"/>
      <c r="AH75" s="50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</row>
    <row r="76" spans="1:57" ht="15.75" customHeight="1">
      <c r="A76" s="29"/>
      <c r="B76" s="15"/>
      <c r="C76" s="29"/>
      <c r="D76" s="220" t="s">
        <v>22</v>
      </c>
      <c r="E76" s="221">
        <f>AA44</f>
        <v>278.42867999999999</v>
      </c>
      <c r="F76" s="195" t="str">
        <f>IFERROR(E76/AA43,"")</f>
        <v/>
      </c>
      <c r="G76" s="29"/>
      <c r="H76" s="29"/>
      <c r="I76" s="29"/>
      <c r="J76" s="29"/>
      <c r="K76" s="29"/>
      <c r="L76" s="29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50"/>
      <c r="Z76" s="50"/>
      <c r="AA76" s="50"/>
      <c r="AB76" s="50"/>
      <c r="AC76" s="50"/>
      <c r="AD76" s="50"/>
      <c r="AE76" s="50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</row>
    <row r="77" spans="1:57" ht="15.75" customHeight="1">
      <c r="A77" s="29"/>
      <c r="B77" s="15"/>
      <c r="C77" s="29"/>
      <c r="D77" s="220" t="s">
        <v>23</v>
      </c>
      <c r="E77" s="221">
        <f>AB44</f>
        <v>3.2889599999999999</v>
      </c>
      <c r="F77" s="195" t="str">
        <f>IFERROR(E77/AB43,"")</f>
        <v/>
      </c>
      <c r="G77" s="29"/>
      <c r="H77" s="29"/>
      <c r="I77" s="29"/>
      <c r="J77" s="29"/>
      <c r="K77" s="29"/>
      <c r="L77" s="29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8"/>
      <c r="X77" s="138"/>
      <c r="Y77" s="50"/>
      <c r="Z77" s="50"/>
      <c r="AA77" s="50"/>
      <c r="AB77" s="50"/>
      <c r="AC77" s="50"/>
      <c r="AD77" s="50"/>
      <c r="AE77" s="50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</row>
    <row r="78" spans="1:57" ht="15.75" customHeight="1">
      <c r="A78" s="29"/>
      <c r="B78" s="15"/>
      <c r="C78" s="29"/>
      <c r="D78" s="220" t="s">
        <v>24</v>
      </c>
      <c r="E78" s="221">
        <f>AC44</f>
        <v>2824.8420000000001</v>
      </c>
      <c r="F78" s="195" t="str">
        <f>IFERROR(E78/AC43,"")</f>
        <v/>
      </c>
      <c r="G78" s="29"/>
      <c r="H78" s="29"/>
      <c r="I78" s="29"/>
      <c r="J78" s="29"/>
      <c r="K78" s="29"/>
      <c r="L78" s="29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38"/>
      <c r="Y78" s="50"/>
      <c r="Z78" s="50"/>
      <c r="AA78" s="50"/>
      <c r="AB78" s="50"/>
      <c r="AC78" s="50"/>
      <c r="AD78" s="50"/>
      <c r="AE78" s="50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</row>
    <row r="79" spans="1:57" ht="15.75" customHeight="1">
      <c r="A79" s="29"/>
      <c r="B79" s="15"/>
      <c r="C79" s="29"/>
      <c r="D79" s="220" t="s">
        <v>25</v>
      </c>
      <c r="E79" s="221">
        <f>AD44</f>
        <v>1278.8400000000001</v>
      </c>
      <c r="F79" s="195" t="str">
        <f>IFERROR(E79/AD43,"")</f>
        <v/>
      </c>
      <c r="G79" s="29"/>
      <c r="H79" s="29"/>
      <c r="I79" s="29"/>
      <c r="J79" s="29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50"/>
      <c r="Z79" s="50"/>
      <c r="AA79" s="50"/>
      <c r="AB79" s="50"/>
      <c r="AC79" s="50"/>
      <c r="AD79" s="50"/>
      <c r="AE79" s="50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</row>
    <row r="80" spans="1:57" ht="15.75" customHeight="1">
      <c r="A80" s="29"/>
      <c r="B80" s="15"/>
      <c r="C80" s="29"/>
      <c r="D80" s="220" t="s">
        <v>26</v>
      </c>
      <c r="E80" s="221">
        <f>AE44</f>
        <v>11.624399999999998</v>
      </c>
      <c r="F80" s="243" t="str">
        <f>IFERROR(E80/AE43,"")</f>
        <v/>
      </c>
      <c r="G80" s="29"/>
      <c r="H80" s="29"/>
      <c r="I80" s="29"/>
      <c r="J80" s="29"/>
      <c r="K80" s="138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8"/>
      <c r="X80" s="138"/>
      <c r="Y80" s="50"/>
      <c r="Z80" s="50"/>
      <c r="AA80" s="50"/>
      <c r="AB80" s="50"/>
      <c r="AC80" s="50"/>
      <c r="AD80" s="50"/>
      <c r="AE80" s="50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</row>
    <row r="81" spans="1:57" ht="15.75" customHeight="1">
      <c r="A81" s="29"/>
      <c r="B81" s="29"/>
      <c r="C81" s="29"/>
      <c r="D81" s="222" t="s">
        <v>27</v>
      </c>
      <c r="E81" s="244">
        <f>AF44</f>
        <v>1299.72</v>
      </c>
      <c r="F81" s="245" t="str">
        <f>IFERROR(E81/AF43,"")</f>
        <v/>
      </c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50"/>
      <c r="Z81" s="50"/>
      <c r="AA81" s="50"/>
      <c r="AB81" s="50"/>
      <c r="AC81" s="50"/>
      <c r="AD81" s="50"/>
      <c r="AE81" s="50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</row>
    <row r="82" spans="1:57" ht="15.75" customHeight="1">
      <c r="A82" s="29"/>
      <c r="B82" s="29"/>
      <c r="C82" s="29"/>
      <c r="D82" s="213"/>
      <c r="E82" s="213"/>
      <c r="F82" s="213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50"/>
      <c r="Z82" s="50"/>
      <c r="AA82" s="50"/>
      <c r="AB82" s="50"/>
      <c r="AC82" s="50"/>
      <c r="AD82" s="50"/>
      <c r="AE82" s="50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</row>
    <row r="83" spans="1:57" ht="15.75" customHeight="1">
      <c r="A83" s="29"/>
      <c r="B83" s="29"/>
      <c r="C83" s="29"/>
      <c r="D83" s="241" t="s">
        <v>339</v>
      </c>
      <c r="E83" s="230" t="s">
        <v>302</v>
      </c>
      <c r="F83" s="242" t="s">
        <v>303</v>
      </c>
      <c r="G83" s="138"/>
      <c r="H83" s="138"/>
      <c r="I83" s="138"/>
      <c r="J83" s="138"/>
      <c r="K83" s="138"/>
      <c r="L83" s="138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38"/>
      <c r="Y83" s="50"/>
      <c r="Z83" s="50"/>
      <c r="AA83" s="50"/>
      <c r="AB83" s="50"/>
      <c r="AC83" s="50"/>
      <c r="AD83" s="50"/>
      <c r="AE83" s="50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</row>
    <row r="84" spans="1:57" ht="15.75" customHeight="1">
      <c r="A84" s="29"/>
      <c r="B84" s="29"/>
      <c r="C84" s="29"/>
      <c r="D84" s="246" t="s">
        <v>28</v>
      </c>
      <c r="E84" s="194">
        <f>AG44</f>
        <v>1507.3740000000003</v>
      </c>
      <c r="F84" s="195" t="str">
        <f>IFERROR(E84/AG43,"")</f>
        <v/>
      </c>
      <c r="G84" s="138"/>
      <c r="H84" s="138"/>
      <c r="I84" s="138"/>
      <c r="J84" s="138"/>
      <c r="K84" s="138"/>
      <c r="L84" s="138"/>
      <c r="M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38"/>
      <c r="Y84" s="50"/>
      <c r="Z84" s="50"/>
      <c r="AA84" s="50"/>
      <c r="AB84" s="50"/>
      <c r="AC84" s="50"/>
      <c r="AD84" s="50"/>
      <c r="AE84" s="50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</row>
    <row r="85" spans="1:57" ht="15.75" customHeight="1">
      <c r="A85" s="29"/>
      <c r="B85" s="29"/>
      <c r="C85" s="29"/>
      <c r="D85" s="232" t="s">
        <v>29</v>
      </c>
      <c r="E85" s="202">
        <f>AH44</f>
        <v>6160.9679999999998</v>
      </c>
      <c r="F85" s="195" t="str">
        <f>IFERROR(E85/AH43,"")</f>
        <v/>
      </c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50"/>
      <c r="Z85" s="50"/>
      <c r="AA85" s="50"/>
      <c r="AB85" s="50"/>
      <c r="AC85" s="50"/>
      <c r="AD85" s="50"/>
      <c r="AE85" s="50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</row>
    <row r="86" spans="1:57" ht="15.75" customHeight="1">
      <c r="A86" s="29"/>
      <c r="B86" s="29"/>
      <c r="C86" s="29"/>
      <c r="D86" s="232" t="s">
        <v>30</v>
      </c>
      <c r="E86" s="202">
        <f>AI44</f>
        <v>696.66600000000005</v>
      </c>
      <c r="F86" s="195" t="str">
        <f>IFERROR(E86/AI43,"")</f>
        <v/>
      </c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50"/>
      <c r="Z86" s="50"/>
      <c r="AA86" s="50"/>
      <c r="AB86" s="50"/>
      <c r="AC86" s="50"/>
      <c r="AD86" s="50"/>
      <c r="AE86" s="50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</row>
    <row r="87" spans="1:57" ht="15.75" customHeight="1">
      <c r="A87" s="29"/>
      <c r="B87" s="29"/>
      <c r="C87" s="29"/>
      <c r="D87" s="232" t="s">
        <v>31</v>
      </c>
      <c r="E87" s="202">
        <f>AJ44</f>
        <v>2.1749999999999998</v>
      </c>
      <c r="F87" s="243" t="str">
        <f>IFERROR(E87/AJ43,"")</f>
        <v/>
      </c>
      <c r="G87" s="138"/>
      <c r="H87" s="138"/>
      <c r="I87" s="138"/>
      <c r="J87" s="138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50"/>
      <c r="Z87" s="50"/>
      <c r="AA87" s="50"/>
      <c r="AB87" s="50"/>
      <c r="AC87" s="50"/>
      <c r="AD87" s="50"/>
      <c r="AE87" s="50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</row>
    <row r="88" spans="1:57" ht="15.75" customHeight="1">
      <c r="A88" s="29"/>
      <c r="B88" s="29"/>
      <c r="C88" s="29"/>
      <c r="D88" s="247" t="s">
        <v>32</v>
      </c>
      <c r="E88" s="209">
        <f>AK44</f>
        <v>1.0874999999999999</v>
      </c>
      <c r="F88" s="245" t="str">
        <f>IFERROR(E88/AK43,"")</f>
        <v/>
      </c>
      <c r="G88" s="138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38"/>
      <c r="Y88" s="50"/>
      <c r="Z88" s="50"/>
      <c r="AA88" s="50"/>
      <c r="AB88" s="50"/>
      <c r="AC88" s="50"/>
      <c r="AD88" s="50"/>
      <c r="AE88" s="50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</row>
    <row r="89" spans="1:57" ht="15.75" customHeight="1">
      <c r="A89" s="29"/>
      <c r="B89" s="29"/>
      <c r="C89" s="29"/>
      <c r="D89" s="110"/>
      <c r="E89" s="110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8"/>
      <c r="S89" s="138"/>
      <c r="T89" s="138"/>
      <c r="U89" s="138"/>
      <c r="V89" s="138"/>
      <c r="W89" s="138"/>
      <c r="X89" s="138"/>
      <c r="Y89" s="138"/>
      <c r="Z89" s="138"/>
      <c r="AA89" s="138"/>
      <c r="AB89" s="50"/>
      <c r="AC89" s="50"/>
      <c r="AD89" s="50"/>
      <c r="AE89" s="50"/>
      <c r="AF89" s="50"/>
      <c r="AG89" s="50"/>
      <c r="AH89" s="50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</row>
    <row r="90" spans="1:57" ht="15.75" customHeight="1">
      <c r="A90" s="29"/>
      <c r="B90" s="29"/>
      <c r="C90" s="29"/>
      <c r="D90" s="110"/>
      <c r="E90" s="110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50"/>
      <c r="AC90" s="50"/>
      <c r="AD90" s="50"/>
      <c r="AE90" s="50"/>
      <c r="AF90" s="50"/>
      <c r="AG90" s="50"/>
      <c r="AH90" s="50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</row>
    <row r="91" spans="1:57" ht="15.75" customHeight="1">
      <c r="A91" s="29"/>
      <c r="B91" s="29"/>
      <c r="C91" s="29"/>
      <c r="D91" s="110"/>
      <c r="E91" s="110"/>
      <c r="F91" s="138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50"/>
      <c r="AC91" s="50"/>
      <c r="AD91" s="50"/>
      <c r="AE91" s="50"/>
      <c r="AF91" s="50"/>
      <c r="AG91" s="50"/>
      <c r="AH91" s="50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</row>
    <row r="92" spans="1:57" ht="15.75" customHeight="1">
      <c r="A92" s="29"/>
      <c r="B92" s="29"/>
      <c r="C92" s="29"/>
      <c r="D92" s="110"/>
      <c r="E92" s="110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50"/>
      <c r="AC92" s="50"/>
      <c r="AD92" s="50"/>
      <c r="AE92" s="50"/>
      <c r="AF92" s="50"/>
      <c r="AG92" s="50"/>
      <c r="AH92" s="50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</row>
    <row r="93" spans="1:57" ht="15.75" customHeight="1">
      <c r="A93" s="29"/>
      <c r="B93" s="29"/>
      <c r="C93" s="29"/>
      <c r="D93" s="110"/>
      <c r="E93" s="110"/>
      <c r="F93" s="138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50"/>
      <c r="AC93" s="50"/>
      <c r="AD93" s="50"/>
      <c r="AE93" s="50"/>
      <c r="AF93" s="50"/>
      <c r="AG93" s="50"/>
      <c r="AH93" s="50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</row>
    <row r="94" spans="1:57" ht="15.75" customHeight="1">
      <c r="A94" s="29"/>
      <c r="B94" s="29"/>
      <c r="C94" s="29"/>
      <c r="D94" s="110"/>
      <c r="E94" s="110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  <c r="Z94" s="138"/>
      <c r="AA94" s="138"/>
      <c r="AB94" s="50"/>
      <c r="AC94" s="50"/>
      <c r="AD94" s="50"/>
      <c r="AE94" s="50"/>
      <c r="AF94" s="50"/>
      <c r="AG94" s="50"/>
      <c r="AH94" s="50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</row>
    <row r="95" spans="1:57" ht="15.75" customHeight="1">
      <c r="A95" s="29"/>
      <c r="B95" s="29"/>
      <c r="C95" s="29"/>
      <c r="D95" s="110"/>
      <c r="E95" s="110"/>
      <c r="F95" s="138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  <c r="Z95" s="138"/>
      <c r="AA95" s="138"/>
      <c r="AB95" s="50"/>
      <c r="AC95" s="50"/>
      <c r="AD95" s="50"/>
      <c r="AE95" s="50"/>
      <c r="AF95" s="50"/>
      <c r="AG95" s="50"/>
      <c r="AH95" s="50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  <c r="BD95" s="29"/>
      <c r="BE95" s="29"/>
    </row>
    <row r="96" spans="1:57" ht="15.75" customHeight="1">
      <c r="A96" s="29"/>
      <c r="B96" s="29"/>
      <c r="C96" s="29"/>
      <c r="D96" s="110"/>
      <c r="E96" s="110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50"/>
      <c r="AC96" s="50"/>
      <c r="AD96" s="50"/>
      <c r="AE96" s="50"/>
      <c r="AF96" s="50"/>
      <c r="AG96" s="50"/>
      <c r="AH96" s="50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C96" s="29"/>
      <c r="BD96" s="29"/>
      <c r="BE96" s="29"/>
    </row>
    <row r="97" spans="1:57" ht="15.75" customHeight="1">
      <c r="A97" s="29"/>
      <c r="B97" s="29"/>
      <c r="C97" s="29"/>
      <c r="D97" s="110"/>
      <c r="E97" s="110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50"/>
      <c r="AC97" s="50"/>
      <c r="AD97" s="50"/>
      <c r="AE97" s="50"/>
      <c r="AF97" s="50"/>
      <c r="AG97" s="50"/>
      <c r="AH97" s="50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29"/>
    </row>
    <row r="98" spans="1:57" ht="15.75" customHeight="1">
      <c r="A98" s="29"/>
      <c r="B98" s="29"/>
      <c r="C98" s="29"/>
      <c r="D98" s="110"/>
      <c r="E98" s="110"/>
      <c r="F98" s="138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50"/>
      <c r="AC98" s="50"/>
      <c r="AD98" s="50"/>
      <c r="AE98" s="50"/>
      <c r="AF98" s="50"/>
      <c r="AG98" s="50"/>
      <c r="AH98" s="50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29"/>
    </row>
    <row r="99" spans="1:57" ht="15.75" customHeight="1">
      <c r="A99" s="29"/>
      <c r="B99" s="29"/>
      <c r="C99" s="29"/>
      <c r="D99" s="110"/>
      <c r="E99" s="110"/>
      <c r="F99" s="138"/>
      <c r="G99" s="138"/>
      <c r="H99" s="138"/>
      <c r="I99" s="138"/>
      <c r="J99" s="138"/>
      <c r="K99" s="138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38"/>
      <c r="Y99" s="138"/>
      <c r="Z99" s="138"/>
      <c r="AA99" s="138"/>
      <c r="AB99" s="50"/>
      <c r="AC99" s="50"/>
      <c r="AD99" s="50"/>
      <c r="AE99" s="50"/>
      <c r="AF99" s="50"/>
      <c r="AG99" s="50"/>
      <c r="AH99" s="50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</row>
    <row r="100" spans="1:57" ht="15.75" customHeight="1">
      <c r="A100" s="29"/>
      <c r="B100" s="29"/>
      <c r="C100" s="29"/>
      <c r="D100" s="110"/>
      <c r="E100" s="110"/>
      <c r="F100" s="138"/>
      <c r="G100" s="138"/>
      <c r="H100" s="138"/>
      <c r="I100" s="138"/>
      <c r="J100" s="138"/>
      <c r="K100" s="138"/>
      <c r="L100" s="138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50"/>
      <c r="AC100" s="50"/>
      <c r="AD100" s="50"/>
      <c r="AE100" s="50"/>
      <c r="AF100" s="50"/>
      <c r="AG100" s="50"/>
      <c r="AH100" s="50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</row>
    <row r="101" spans="1:57" ht="15.75" customHeight="1">
      <c r="A101" s="29"/>
      <c r="B101" s="29"/>
      <c r="C101" s="29"/>
      <c r="D101" s="110"/>
      <c r="E101" s="110"/>
      <c r="F101" s="138"/>
      <c r="G101" s="138"/>
      <c r="H101" s="138"/>
      <c r="I101" s="138"/>
      <c r="J101" s="138"/>
      <c r="K101" s="138"/>
      <c r="L101" s="138"/>
      <c r="M101" s="138"/>
      <c r="N101" s="138"/>
      <c r="O101" s="138"/>
      <c r="P101" s="138"/>
      <c r="Q101" s="138"/>
      <c r="R101" s="138"/>
      <c r="S101" s="138"/>
      <c r="T101" s="138"/>
      <c r="U101" s="138"/>
      <c r="V101" s="138"/>
      <c r="W101" s="138"/>
      <c r="X101" s="138"/>
      <c r="Y101" s="138"/>
      <c r="Z101" s="138"/>
      <c r="AA101" s="138"/>
      <c r="AB101" s="50"/>
      <c r="AC101" s="50"/>
      <c r="AD101" s="50"/>
      <c r="AE101" s="50"/>
      <c r="AF101" s="50"/>
      <c r="AG101" s="50"/>
      <c r="AH101" s="50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</row>
    <row r="102" spans="1:57" ht="15.75" customHeight="1">
      <c r="A102" s="29"/>
      <c r="B102" s="29"/>
      <c r="C102" s="29"/>
      <c r="D102" s="110"/>
      <c r="E102" s="110"/>
      <c r="F102" s="138"/>
      <c r="G102" s="138"/>
      <c r="H102" s="138"/>
      <c r="I102" s="138"/>
      <c r="J102" s="138"/>
      <c r="K102" s="138"/>
      <c r="L102" s="138"/>
      <c r="M102" s="138"/>
      <c r="N102" s="138"/>
      <c r="O102" s="138"/>
      <c r="P102" s="138"/>
      <c r="Q102" s="138"/>
      <c r="R102" s="138"/>
      <c r="S102" s="138"/>
      <c r="T102" s="138"/>
      <c r="U102" s="138"/>
      <c r="V102" s="138"/>
      <c r="W102" s="138"/>
      <c r="X102" s="138"/>
      <c r="Y102" s="138"/>
      <c r="Z102" s="138"/>
      <c r="AA102" s="138"/>
      <c r="AB102" s="50"/>
      <c r="AC102" s="50"/>
      <c r="AD102" s="50"/>
      <c r="AE102" s="50"/>
      <c r="AF102" s="50"/>
      <c r="AG102" s="50"/>
      <c r="AH102" s="50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</row>
    <row r="103" spans="1:57" ht="15.75" customHeight="1">
      <c r="A103" s="29"/>
      <c r="B103" s="29"/>
      <c r="C103" s="29"/>
      <c r="D103" s="110"/>
      <c r="E103" s="110"/>
      <c r="F103" s="138"/>
      <c r="G103" s="138"/>
      <c r="H103" s="138"/>
      <c r="I103" s="138"/>
      <c r="J103" s="138"/>
      <c r="K103" s="138"/>
      <c r="L103" s="138"/>
      <c r="M103" s="138"/>
      <c r="N103" s="138"/>
      <c r="O103" s="138"/>
      <c r="P103" s="138"/>
      <c r="Q103" s="138"/>
      <c r="R103" s="138"/>
      <c r="S103" s="138"/>
      <c r="T103" s="138"/>
      <c r="U103" s="138"/>
      <c r="V103" s="138"/>
      <c r="W103" s="138"/>
      <c r="X103" s="138"/>
      <c r="Y103" s="138"/>
      <c r="Z103" s="138"/>
      <c r="AA103" s="138"/>
      <c r="AB103" s="50"/>
      <c r="AC103" s="50"/>
      <c r="AD103" s="50"/>
      <c r="AE103" s="50"/>
      <c r="AF103" s="50"/>
      <c r="AG103" s="50"/>
      <c r="AH103" s="50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</row>
    <row r="104" spans="1:57" ht="15.75" customHeight="1">
      <c r="A104" s="29"/>
      <c r="B104" s="29"/>
      <c r="C104" s="29"/>
      <c r="D104" s="110"/>
      <c r="E104" s="110"/>
      <c r="F104" s="138"/>
      <c r="G104" s="138"/>
      <c r="H104" s="138"/>
      <c r="I104" s="138"/>
      <c r="J104" s="138"/>
      <c r="K104" s="138"/>
      <c r="L104" s="138"/>
      <c r="M104" s="138"/>
      <c r="N104" s="138"/>
      <c r="O104" s="138"/>
      <c r="P104" s="138"/>
      <c r="Q104" s="138"/>
      <c r="R104" s="138"/>
      <c r="S104" s="138"/>
      <c r="T104" s="138"/>
      <c r="U104" s="138"/>
      <c r="V104" s="138"/>
      <c r="W104" s="138"/>
      <c r="X104" s="138"/>
      <c r="Y104" s="138"/>
      <c r="Z104" s="138"/>
      <c r="AA104" s="138"/>
      <c r="AB104" s="50"/>
      <c r="AC104" s="50"/>
      <c r="AD104" s="50"/>
      <c r="AE104" s="50"/>
      <c r="AF104" s="50"/>
      <c r="AG104" s="50"/>
      <c r="AH104" s="50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</row>
    <row r="105" spans="1:57" ht="15.75" customHeight="1">
      <c r="A105" s="29"/>
      <c r="B105" s="29"/>
      <c r="C105" s="29"/>
      <c r="D105" s="110"/>
      <c r="E105" s="110"/>
      <c r="F105" s="138"/>
      <c r="G105" s="138"/>
      <c r="H105" s="138"/>
      <c r="I105" s="138"/>
      <c r="J105" s="138"/>
      <c r="K105" s="138"/>
      <c r="L105" s="138"/>
      <c r="M105" s="138"/>
      <c r="N105" s="138"/>
      <c r="O105" s="138"/>
      <c r="P105" s="138"/>
      <c r="Q105" s="138"/>
      <c r="R105" s="138"/>
      <c r="S105" s="138"/>
      <c r="T105" s="138"/>
      <c r="U105" s="138"/>
      <c r="V105" s="138"/>
      <c r="W105" s="138"/>
      <c r="X105" s="138"/>
      <c r="Y105" s="138"/>
      <c r="Z105" s="138"/>
      <c r="AA105" s="138"/>
      <c r="AB105" s="50"/>
      <c r="AC105" s="50"/>
      <c r="AD105" s="50"/>
      <c r="AE105" s="50"/>
      <c r="AF105" s="50"/>
      <c r="AG105" s="50"/>
      <c r="AH105" s="50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</row>
    <row r="106" spans="1:57" ht="15.75" customHeight="1">
      <c r="A106" s="29"/>
      <c r="B106" s="29"/>
      <c r="C106" s="29"/>
      <c r="D106" s="110"/>
      <c r="E106" s="110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  <c r="W106" s="138"/>
      <c r="X106" s="138"/>
      <c r="Y106" s="138"/>
      <c r="Z106" s="138"/>
      <c r="AA106" s="138"/>
      <c r="AB106" s="50"/>
      <c r="AC106" s="50"/>
      <c r="AD106" s="50"/>
      <c r="AE106" s="50"/>
      <c r="AF106" s="50"/>
      <c r="AG106" s="50"/>
      <c r="AH106" s="50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</row>
    <row r="107" spans="1:57" ht="15.75" customHeight="1">
      <c r="A107" s="29"/>
      <c r="B107" s="29"/>
      <c r="C107" s="29"/>
      <c r="D107" s="110"/>
      <c r="E107" s="110"/>
      <c r="F107" s="138"/>
      <c r="G107" s="138"/>
      <c r="H107" s="138"/>
      <c r="I107" s="138"/>
      <c r="J107" s="138"/>
      <c r="K107" s="138"/>
      <c r="L107" s="138"/>
      <c r="M107" s="138"/>
      <c r="N107" s="138"/>
      <c r="O107" s="138"/>
      <c r="P107" s="138"/>
      <c r="Q107" s="138"/>
      <c r="R107" s="138"/>
      <c r="S107" s="138"/>
      <c r="T107" s="138"/>
      <c r="U107" s="138"/>
      <c r="V107" s="138"/>
      <c r="W107" s="138"/>
      <c r="X107" s="138"/>
      <c r="Y107" s="138"/>
      <c r="Z107" s="138"/>
      <c r="AA107" s="138"/>
      <c r="AB107" s="50"/>
      <c r="AC107" s="50"/>
      <c r="AD107" s="50"/>
      <c r="AE107" s="50"/>
      <c r="AF107" s="50"/>
      <c r="AG107" s="50"/>
      <c r="AH107" s="50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</row>
    <row r="108" spans="1:57" ht="15.75" customHeight="1">
      <c r="A108" s="29"/>
      <c r="B108" s="29"/>
      <c r="C108" s="29"/>
      <c r="D108" s="110"/>
      <c r="E108" s="110"/>
      <c r="F108" s="138"/>
      <c r="G108" s="138"/>
      <c r="H108" s="138"/>
      <c r="I108" s="138"/>
      <c r="J108" s="138"/>
      <c r="K108" s="138"/>
      <c r="L108" s="138"/>
      <c r="M108" s="138"/>
      <c r="N108" s="138"/>
      <c r="O108" s="138"/>
      <c r="P108" s="138"/>
      <c r="Q108" s="138"/>
      <c r="R108" s="138"/>
      <c r="S108" s="138"/>
      <c r="T108" s="138"/>
      <c r="U108" s="138"/>
      <c r="V108" s="138"/>
      <c r="W108" s="138"/>
      <c r="X108" s="138"/>
      <c r="Y108" s="138"/>
      <c r="Z108" s="138"/>
      <c r="AA108" s="138"/>
      <c r="AB108" s="50"/>
      <c r="AC108" s="50"/>
      <c r="AD108" s="50"/>
      <c r="AE108" s="50"/>
      <c r="AF108" s="50"/>
      <c r="AG108" s="50"/>
      <c r="AH108" s="50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</row>
    <row r="109" spans="1:57" ht="15.75" customHeight="1">
      <c r="A109" s="29"/>
      <c r="B109" s="29"/>
      <c r="C109" s="29"/>
      <c r="D109" s="110"/>
      <c r="E109" s="110"/>
      <c r="F109" s="138"/>
      <c r="G109" s="138"/>
      <c r="H109" s="138"/>
      <c r="I109" s="138"/>
      <c r="J109" s="138"/>
      <c r="K109" s="138"/>
      <c r="L109" s="138"/>
      <c r="M109" s="138"/>
      <c r="N109" s="138"/>
      <c r="O109" s="138"/>
      <c r="P109" s="138"/>
      <c r="Q109" s="138"/>
      <c r="R109" s="138"/>
      <c r="S109" s="138"/>
      <c r="T109" s="138"/>
      <c r="U109" s="138"/>
      <c r="V109" s="138"/>
      <c r="W109" s="138"/>
      <c r="X109" s="138"/>
      <c r="Y109" s="138"/>
      <c r="Z109" s="138"/>
      <c r="AA109" s="138"/>
      <c r="AB109" s="50"/>
      <c r="AC109" s="50"/>
      <c r="AD109" s="50"/>
      <c r="AE109" s="50"/>
      <c r="AF109" s="50"/>
      <c r="AG109" s="50"/>
      <c r="AH109" s="50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</row>
    <row r="110" spans="1:57" ht="15.75" customHeight="1">
      <c r="A110" s="29"/>
      <c r="B110" s="29"/>
      <c r="C110" s="29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</row>
    <row r="111" spans="1:57" ht="15.75" customHeight="1">
      <c r="A111" s="29"/>
      <c r="B111" s="29"/>
      <c r="C111" s="29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</row>
    <row r="112" spans="1:57" ht="15.75" customHeight="1">
      <c r="A112" s="29"/>
      <c r="B112" s="29"/>
      <c r="C112" s="29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</row>
    <row r="113" spans="1:57" ht="15.75" customHeight="1">
      <c r="A113" s="29"/>
      <c r="B113" s="29"/>
      <c r="C113" s="29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</row>
    <row r="114" spans="1:57" ht="15.75" customHeight="1">
      <c r="A114" s="14"/>
      <c r="B114" s="29"/>
      <c r="C114" s="14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</row>
    <row r="115" spans="1:57" ht="15.75" customHeight="1">
      <c r="A115" s="14"/>
      <c r="B115" s="29"/>
      <c r="C115" s="14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</row>
    <row r="116" spans="1:57" ht="15.75" customHeight="1">
      <c r="A116" s="14"/>
      <c r="B116" s="29"/>
      <c r="C116" s="14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</row>
    <row r="117" spans="1:57" ht="15.75" customHeight="1">
      <c r="A117" s="14"/>
      <c r="B117" s="29"/>
      <c r="C117" s="14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</row>
    <row r="118" spans="1:57" ht="15.75" customHeight="1">
      <c r="A118" s="14"/>
      <c r="B118" s="29"/>
      <c r="C118" s="14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</row>
    <row r="119" spans="1:57" ht="15.75" customHeight="1">
      <c r="A119" s="14"/>
      <c r="B119" s="29"/>
      <c r="C119" s="14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</row>
    <row r="120" spans="1:57" ht="15.75" customHeight="1">
      <c r="A120" s="14"/>
      <c r="B120" s="29"/>
      <c r="C120" s="14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</row>
    <row r="121" spans="1:57" ht="15.75" customHeight="1">
      <c r="A121" s="14"/>
      <c r="B121" s="29"/>
      <c r="C121" s="14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</row>
    <row r="122" spans="1:57" ht="15.75" customHeight="1">
      <c r="A122" s="14"/>
      <c r="B122" s="29"/>
      <c r="C122" s="14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</row>
    <row r="123" spans="1:57" ht="15.75" customHeight="1">
      <c r="A123" s="14"/>
      <c r="B123" s="29"/>
      <c r="C123" s="14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</row>
    <row r="124" spans="1:57" ht="15.75" customHeight="1">
      <c r="A124" s="14"/>
      <c r="B124" s="29"/>
      <c r="C124" s="14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</row>
    <row r="125" spans="1:57" ht="15.75" customHeight="1">
      <c r="A125" s="14"/>
      <c r="B125" s="29"/>
      <c r="C125" s="14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</row>
    <row r="126" spans="1:57" ht="15.75" customHeight="1">
      <c r="A126" s="14"/>
      <c r="B126" s="29"/>
      <c r="C126" s="14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</row>
    <row r="127" spans="1:57" ht="15.75" customHeight="1">
      <c r="A127" s="14"/>
      <c r="B127" s="29"/>
      <c r="C127" s="14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</row>
    <row r="128" spans="1:57" ht="15.75" customHeight="1">
      <c r="A128" s="14"/>
      <c r="B128" s="29"/>
      <c r="C128" s="14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</row>
    <row r="129" spans="1:57" ht="15.75" customHeight="1">
      <c r="A129" s="14"/>
      <c r="B129" s="29"/>
      <c r="C129" s="14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</row>
    <row r="130" spans="1:57" ht="15.75" customHeight="1">
      <c r="A130" s="14"/>
      <c r="B130" s="29"/>
      <c r="C130" s="14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</row>
    <row r="131" spans="1:57" ht="15.75" customHeight="1">
      <c r="A131" s="14"/>
      <c r="B131" s="29"/>
      <c r="C131" s="14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</row>
    <row r="132" spans="1:57" ht="15.75" customHeight="1">
      <c r="A132" s="14"/>
      <c r="B132" s="29"/>
      <c r="C132" s="14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</row>
    <row r="133" spans="1:57" ht="15.75" customHeight="1">
      <c r="A133" s="14"/>
      <c r="B133" s="29"/>
      <c r="C133" s="14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</row>
    <row r="134" spans="1:57" ht="15.75" customHeight="1">
      <c r="A134" s="14"/>
      <c r="B134" s="29"/>
      <c r="C134" s="1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</row>
    <row r="135" spans="1:57" ht="15.75" customHeight="1">
      <c r="A135" s="14"/>
      <c r="B135" s="29"/>
      <c r="C135" s="14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</row>
    <row r="136" spans="1:57" ht="15.75" customHeight="1">
      <c r="A136" s="14"/>
      <c r="B136" s="29"/>
      <c r="C136" s="14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</row>
    <row r="137" spans="1:57" ht="15.75" customHeight="1">
      <c r="A137" s="14"/>
      <c r="B137" s="29"/>
      <c r="C137" s="14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</row>
    <row r="138" spans="1:57" ht="15.75" customHeight="1">
      <c r="A138" s="14"/>
      <c r="B138" s="29"/>
      <c r="C138" s="14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</row>
    <row r="139" spans="1:57" ht="15.75" customHeight="1">
      <c r="A139" s="14"/>
      <c r="B139" s="29"/>
      <c r="C139" s="14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</row>
    <row r="140" spans="1:57" ht="15.75" customHeight="1">
      <c r="A140" s="14"/>
      <c r="B140" s="29"/>
      <c r="C140" s="14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</row>
    <row r="141" spans="1:57" ht="15.75" customHeight="1">
      <c r="A141" s="14"/>
      <c r="B141" s="29"/>
      <c r="C141" s="14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</row>
    <row r="142" spans="1:57" ht="15.75" customHeight="1">
      <c r="A142" s="14"/>
      <c r="B142" s="29"/>
      <c r="C142" s="14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</row>
    <row r="143" spans="1:57" ht="15.75" customHeight="1">
      <c r="A143" s="14"/>
      <c r="B143" s="29"/>
      <c r="C143" s="14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</row>
    <row r="144" spans="1:57" ht="15.75" customHeight="1">
      <c r="A144" s="14"/>
      <c r="B144" s="29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</row>
    <row r="145" spans="1:57" ht="15.75" customHeight="1">
      <c r="A145" s="14"/>
      <c r="B145" s="29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</row>
    <row r="146" spans="1:57" ht="15.75" customHeight="1">
      <c r="A146" s="14"/>
      <c r="B146" s="29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</row>
    <row r="147" spans="1:57" ht="15.75" customHeight="1">
      <c r="A147" s="14"/>
      <c r="B147" s="29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</row>
    <row r="148" spans="1:57" ht="15.75" customHeight="1">
      <c r="A148" s="14"/>
      <c r="B148" s="29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</row>
    <row r="149" spans="1:57" ht="15.75" customHeight="1">
      <c r="A149" s="14"/>
      <c r="B149" s="29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</row>
    <row r="150" spans="1:57" ht="15.75" customHeight="1">
      <c r="A150" s="14"/>
      <c r="B150" s="29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</row>
    <row r="151" spans="1:57" ht="15.75" customHeight="1">
      <c r="A151" s="14"/>
      <c r="B151" s="29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</row>
    <row r="152" spans="1:57" ht="15.75" customHeight="1">
      <c r="A152" s="14"/>
      <c r="B152" s="29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</row>
    <row r="153" spans="1:57" ht="15.75" customHeight="1">
      <c r="A153" s="14"/>
      <c r="B153" s="29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</row>
    <row r="154" spans="1:57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</row>
    <row r="155" spans="1:57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</row>
    <row r="156" spans="1:57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</row>
    <row r="157" spans="1:57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</row>
    <row r="158" spans="1:57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</row>
    <row r="159" spans="1:57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</row>
    <row r="160" spans="1:57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</row>
    <row r="161" spans="1:57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</row>
    <row r="162" spans="1:57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</row>
    <row r="163" spans="1:57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</row>
    <row r="164" spans="1:57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</row>
    <row r="165" spans="1:57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</row>
    <row r="166" spans="1:57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</row>
    <row r="167" spans="1:57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</row>
    <row r="168" spans="1:57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</row>
    <row r="169" spans="1:57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</row>
    <row r="170" spans="1:57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</row>
    <row r="171" spans="1:57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</row>
    <row r="172" spans="1:57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</row>
    <row r="173" spans="1:57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</row>
    <row r="174" spans="1:57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</row>
    <row r="175" spans="1:57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</row>
    <row r="176" spans="1:57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</row>
    <row r="177" spans="1:57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</row>
    <row r="178" spans="1:57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</row>
    <row r="179" spans="1:57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</row>
    <row r="180" spans="1:57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</row>
    <row r="181" spans="1:57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</row>
    <row r="182" spans="1:57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</row>
    <row r="183" spans="1:57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</row>
    <row r="184" spans="1:57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</row>
    <row r="185" spans="1:57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</row>
    <row r="186" spans="1:57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</row>
    <row r="187" spans="1:57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</row>
    <row r="188" spans="1:57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</row>
    <row r="189" spans="1:57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</row>
    <row r="190" spans="1:57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</row>
    <row r="191" spans="1:57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</row>
    <row r="192" spans="1:57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</row>
    <row r="193" spans="1:57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</row>
    <row r="194" spans="1:57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</row>
    <row r="195" spans="1:57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</row>
    <row r="196" spans="1:57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</row>
    <row r="197" spans="1:57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</row>
    <row r="198" spans="1:57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</row>
    <row r="199" spans="1:57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</row>
    <row r="200" spans="1:57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</row>
    <row r="201" spans="1:57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</row>
    <row r="202" spans="1:57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</row>
    <row r="203" spans="1:57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</row>
    <row r="204" spans="1:57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</row>
    <row r="205" spans="1:57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</row>
    <row r="206" spans="1:57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</row>
    <row r="207" spans="1:57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</row>
    <row r="208" spans="1:57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</row>
    <row r="209" spans="1:57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</row>
    <row r="210" spans="1:57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</row>
    <row r="211" spans="1:57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</row>
    <row r="212" spans="1:57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</row>
    <row r="213" spans="1:57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</row>
    <row r="214" spans="1:57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</row>
    <row r="215" spans="1:57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</row>
    <row r="216" spans="1:57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</row>
    <row r="217" spans="1:57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</row>
    <row r="218" spans="1:57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</row>
    <row r="219" spans="1:57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</row>
    <row r="220" spans="1:57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</row>
    <row r="221" spans="1:57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</row>
    <row r="222" spans="1:57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</row>
    <row r="223" spans="1:57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</row>
    <row r="224" spans="1:57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</row>
    <row r="225" spans="1:57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</row>
    <row r="226" spans="1:57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</row>
    <row r="227" spans="1:57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</row>
    <row r="228" spans="1:57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</row>
    <row r="229" spans="1:57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</row>
    <row r="230" spans="1:57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</row>
    <row r="231" spans="1:57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</row>
    <row r="232" spans="1:57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</row>
    <row r="233" spans="1:57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</row>
    <row r="234" spans="1:57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</row>
    <row r="235" spans="1:57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</row>
    <row r="236" spans="1:57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</row>
    <row r="237" spans="1:57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</row>
    <row r="238" spans="1:57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</row>
    <row r="239" spans="1:57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</row>
    <row r="240" spans="1:57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</row>
    <row r="241" spans="1:57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</row>
    <row r="242" spans="1:57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</row>
    <row r="243" spans="1:57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</row>
    <row r="244" spans="1:57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</row>
    <row r="245" spans="1:57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</row>
    <row r="246" spans="1:57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</row>
    <row r="247" spans="1:57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</row>
    <row r="248" spans="1:57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</row>
    <row r="249" spans="1:57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</row>
    <row r="250" spans="1:57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</row>
    <row r="251" spans="1:57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</row>
    <row r="252" spans="1:57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</row>
    <row r="253" spans="1:57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</row>
    <row r="254" spans="1:57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</row>
    <row r="255" spans="1:57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</row>
    <row r="256" spans="1:57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</row>
    <row r="257" spans="1:57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</row>
    <row r="258" spans="1:57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</row>
    <row r="259" spans="1:57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</row>
    <row r="260" spans="1:57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</row>
    <row r="261" spans="1:57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</row>
    <row r="262" spans="1:57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</row>
    <row r="263" spans="1:57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</row>
    <row r="264" spans="1:57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</row>
    <row r="265" spans="1:57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</row>
    <row r="266" spans="1:57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</row>
    <row r="267" spans="1:57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</row>
    <row r="268" spans="1:57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</row>
    <row r="269" spans="1:57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</row>
    <row r="270" spans="1:57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</row>
    <row r="271" spans="1:57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</row>
    <row r="272" spans="1:57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</row>
    <row r="273" spans="1:57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</row>
    <row r="274" spans="1:57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</row>
    <row r="275" spans="1:57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</row>
    <row r="276" spans="1:57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</row>
    <row r="277" spans="1:57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</row>
    <row r="278" spans="1:57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</row>
    <row r="279" spans="1:57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</row>
    <row r="280" spans="1:57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</row>
    <row r="281" spans="1:57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</row>
    <row r="282" spans="1:57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</row>
    <row r="283" spans="1:57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</row>
    <row r="284" spans="1:57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</row>
    <row r="285" spans="1:57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</row>
    <row r="286" spans="1:57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</row>
    <row r="287" spans="1:57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</row>
    <row r="288" spans="1:57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</row>
    <row r="289" spans="1:57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</row>
    <row r="290" spans="1:57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</row>
    <row r="291" spans="1:57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</row>
    <row r="292" spans="1:57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</row>
    <row r="293" spans="1:57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</row>
    <row r="294" spans="1:57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</row>
    <row r="295" spans="1:57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</row>
    <row r="296" spans="1:57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</row>
    <row r="297" spans="1:57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</row>
    <row r="298" spans="1:57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</row>
    <row r="299" spans="1:57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</row>
    <row r="300" spans="1:57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</row>
    <row r="301" spans="1:57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</row>
    <row r="302" spans="1:57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</row>
    <row r="303" spans="1:57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</row>
    <row r="304" spans="1:57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</row>
    <row r="305" spans="1:57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</row>
    <row r="306" spans="1:57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</row>
    <row r="307" spans="1:57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</row>
    <row r="308" spans="1:57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</row>
    <row r="309" spans="1:57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</row>
    <row r="310" spans="1:57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</row>
    <row r="311" spans="1:57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</row>
    <row r="312" spans="1:57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</row>
    <row r="313" spans="1:57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</row>
    <row r="314" spans="1:57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</row>
    <row r="315" spans="1:57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</row>
    <row r="316" spans="1:57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</row>
    <row r="317" spans="1:57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</row>
    <row r="318" spans="1:57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</row>
    <row r="319" spans="1:57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</row>
    <row r="320" spans="1:57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</row>
    <row r="321" spans="1:57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</row>
    <row r="322" spans="1:57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</row>
    <row r="323" spans="1:57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</row>
    <row r="324" spans="1:57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</row>
    <row r="325" spans="1:57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</row>
    <row r="326" spans="1:57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</row>
    <row r="327" spans="1:57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</row>
    <row r="328" spans="1:57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</row>
    <row r="329" spans="1:57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</row>
    <row r="330" spans="1:57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</row>
    <row r="331" spans="1:57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</row>
    <row r="332" spans="1:57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</row>
    <row r="333" spans="1:57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</row>
    <row r="334" spans="1:57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</row>
    <row r="335" spans="1:57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</row>
    <row r="336" spans="1:57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</row>
    <row r="337" spans="1:57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</row>
    <row r="338" spans="1:57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</row>
    <row r="339" spans="1:57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</row>
    <row r="340" spans="1:57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</row>
    <row r="341" spans="1:57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</row>
    <row r="342" spans="1:57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</row>
    <row r="343" spans="1:57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</row>
    <row r="344" spans="1:57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</row>
    <row r="345" spans="1:57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</row>
    <row r="346" spans="1:57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</row>
    <row r="347" spans="1:57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</row>
    <row r="348" spans="1:57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</row>
    <row r="349" spans="1:57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</row>
    <row r="350" spans="1:57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</row>
    <row r="351" spans="1:57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</row>
    <row r="352" spans="1:57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</row>
    <row r="353" spans="1:57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</row>
    <row r="354" spans="1:57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</row>
    <row r="355" spans="1:57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</row>
    <row r="356" spans="1:57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</row>
    <row r="357" spans="1:57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</row>
    <row r="358" spans="1:57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</row>
    <row r="359" spans="1:57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</row>
    <row r="360" spans="1:57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</row>
    <row r="361" spans="1:57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</row>
    <row r="362" spans="1:57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</row>
    <row r="363" spans="1:57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</row>
    <row r="364" spans="1:57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</row>
    <row r="365" spans="1:57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</row>
    <row r="366" spans="1:57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</row>
    <row r="367" spans="1:57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</row>
    <row r="368" spans="1:57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</row>
    <row r="369" spans="1:57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</row>
    <row r="370" spans="1:57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</row>
    <row r="371" spans="1:57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</row>
    <row r="372" spans="1:57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</row>
    <row r="373" spans="1:57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</row>
    <row r="374" spans="1:57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</row>
    <row r="375" spans="1:57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</row>
    <row r="376" spans="1:57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</row>
    <row r="377" spans="1:57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</row>
    <row r="378" spans="1:57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</row>
    <row r="379" spans="1:57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</row>
    <row r="380" spans="1:57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</row>
    <row r="381" spans="1:57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</row>
    <row r="382" spans="1:57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</row>
    <row r="383" spans="1:57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</row>
    <row r="384" spans="1:57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</row>
    <row r="385" spans="1:57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</row>
    <row r="386" spans="1:57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</row>
    <row r="387" spans="1:57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</row>
    <row r="388" spans="1:57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</row>
    <row r="389" spans="1:57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</row>
    <row r="390" spans="1:57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</row>
    <row r="391" spans="1:57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</row>
    <row r="392" spans="1:57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</row>
    <row r="393" spans="1:57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</row>
    <row r="394" spans="1:57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</row>
    <row r="395" spans="1:57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</row>
    <row r="396" spans="1:57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</row>
    <row r="397" spans="1:57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</row>
    <row r="398" spans="1:57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</row>
    <row r="399" spans="1:57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</row>
    <row r="400" spans="1:57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</row>
    <row r="401" spans="1:57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</row>
    <row r="402" spans="1:57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</row>
    <row r="403" spans="1:57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</row>
    <row r="404" spans="1:57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</row>
    <row r="405" spans="1:57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</row>
    <row r="406" spans="1:57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</row>
    <row r="407" spans="1:57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</row>
    <row r="408" spans="1:57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</row>
    <row r="409" spans="1:57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</row>
    <row r="410" spans="1:57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</row>
    <row r="411" spans="1:57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</row>
    <row r="412" spans="1:57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</row>
    <row r="413" spans="1:57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</row>
    <row r="414" spans="1:57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</row>
    <row r="415" spans="1:57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</row>
    <row r="416" spans="1:57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</row>
    <row r="417" spans="1:57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</row>
    <row r="418" spans="1:57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</row>
    <row r="419" spans="1:57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</row>
    <row r="420" spans="1:57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</row>
    <row r="421" spans="1:57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</row>
    <row r="422" spans="1:57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</row>
    <row r="423" spans="1:57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</row>
    <row r="424" spans="1:57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</row>
    <row r="425" spans="1:57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</row>
    <row r="426" spans="1:57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</row>
    <row r="427" spans="1:57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</row>
    <row r="428" spans="1:57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</row>
    <row r="429" spans="1:57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</row>
    <row r="430" spans="1:57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</row>
    <row r="431" spans="1:57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</row>
    <row r="432" spans="1:57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</row>
    <row r="433" spans="1:57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</row>
    <row r="434" spans="1:57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</row>
    <row r="435" spans="1:57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</row>
    <row r="436" spans="1:57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</row>
    <row r="437" spans="1:57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</row>
    <row r="438" spans="1:57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</row>
    <row r="439" spans="1:57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</row>
    <row r="440" spans="1:57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</row>
    <row r="441" spans="1:57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</row>
    <row r="442" spans="1:57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</row>
    <row r="443" spans="1:57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</row>
    <row r="444" spans="1:57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</row>
    <row r="445" spans="1:57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</row>
    <row r="446" spans="1:57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</row>
    <row r="447" spans="1:57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</row>
    <row r="448" spans="1:57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</row>
    <row r="449" spans="1:57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</row>
    <row r="450" spans="1:57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</row>
    <row r="451" spans="1:57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</row>
    <row r="452" spans="1:57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</row>
    <row r="453" spans="1:57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</row>
    <row r="454" spans="1:57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</row>
    <row r="455" spans="1:57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</row>
    <row r="456" spans="1:57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</row>
    <row r="457" spans="1:57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</row>
    <row r="458" spans="1:57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</row>
    <row r="459" spans="1:57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</row>
    <row r="460" spans="1:57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</row>
    <row r="461" spans="1:57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</row>
    <row r="462" spans="1:57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</row>
    <row r="463" spans="1:57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</row>
    <row r="464" spans="1:57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</row>
    <row r="465" spans="1:57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</row>
    <row r="466" spans="1:57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</row>
    <row r="467" spans="1:57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</row>
    <row r="468" spans="1:57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</row>
    <row r="469" spans="1:57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</row>
    <row r="470" spans="1:57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</row>
    <row r="471" spans="1:57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</row>
    <row r="472" spans="1:57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</row>
    <row r="473" spans="1:57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</row>
    <row r="474" spans="1:57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</row>
    <row r="475" spans="1:57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</row>
    <row r="476" spans="1:57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</row>
    <row r="477" spans="1:57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</row>
    <row r="478" spans="1:57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</row>
    <row r="479" spans="1:57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</row>
    <row r="480" spans="1:57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</row>
    <row r="481" spans="1:57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</row>
    <row r="482" spans="1:57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</row>
    <row r="483" spans="1:57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</row>
    <row r="484" spans="1:57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</row>
    <row r="485" spans="1:57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</row>
    <row r="486" spans="1:57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</row>
    <row r="487" spans="1:57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</row>
    <row r="488" spans="1:57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</row>
    <row r="489" spans="1:57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</row>
    <row r="490" spans="1:57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</row>
    <row r="491" spans="1:57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</row>
    <row r="492" spans="1:57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</row>
    <row r="493" spans="1:57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</row>
    <row r="494" spans="1:57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</row>
    <row r="495" spans="1:57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</row>
    <row r="496" spans="1:57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</row>
    <row r="497" spans="1:57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</row>
    <row r="498" spans="1:57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</row>
    <row r="499" spans="1:57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</row>
    <row r="500" spans="1:57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</row>
    <row r="501" spans="1:57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</row>
    <row r="502" spans="1:57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</row>
    <row r="503" spans="1:57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</row>
    <row r="504" spans="1:57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</row>
    <row r="505" spans="1:57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</row>
    <row r="506" spans="1:57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</row>
    <row r="507" spans="1:57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</row>
    <row r="508" spans="1:57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</row>
    <row r="509" spans="1:57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</row>
    <row r="510" spans="1:57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</row>
    <row r="511" spans="1:57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</row>
    <row r="512" spans="1:57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</row>
    <row r="513" spans="1:57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</row>
    <row r="514" spans="1:57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</row>
    <row r="515" spans="1:57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</row>
    <row r="516" spans="1:57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</row>
    <row r="517" spans="1:57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</row>
    <row r="518" spans="1:57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</row>
    <row r="519" spans="1:57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</row>
    <row r="520" spans="1:57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</row>
    <row r="521" spans="1:57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</row>
    <row r="522" spans="1:57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</row>
    <row r="523" spans="1:57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</row>
    <row r="524" spans="1:57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</row>
    <row r="525" spans="1:57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</row>
    <row r="526" spans="1:57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</row>
    <row r="527" spans="1:57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</row>
    <row r="528" spans="1:57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</row>
    <row r="529" spans="1:57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</row>
    <row r="530" spans="1:57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</row>
    <row r="531" spans="1:57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</row>
    <row r="532" spans="1:57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</row>
    <row r="533" spans="1:57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</row>
    <row r="534" spans="1:57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</row>
    <row r="535" spans="1:57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</row>
    <row r="536" spans="1:57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</row>
    <row r="537" spans="1:57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</row>
    <row r="538" spans="1:57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</row>
    <row r="539" spans="1:57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</row>
    <row r="540" spans="1:57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</row>
    <row r="541" spans="1:57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</row>
    <row r="542" spans="1:57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</row>
    <row r="543" spans="1:57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</row>
    <row r="544" spans="1:57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</row>
    <row r="545" spans="1:57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</row>
    <row r="546" spans="1:57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</row>
    <row r="547" spans="1:57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</row>
    <row r="548" spans="1:57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</row>
    <row r="549" spans="1:57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</row>
    <row r="550" spans="1:57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</row>
    <row r="551" spans="1:57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</row>
    <row r="552" spans="1:57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</row>
    <row r="553" spans="1:57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</row>
    <row r="554" spans="1:57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</row>
    <row r="555" spans="1:57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</row>
    <row r="556" spans="1:57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</row>
    <row r="557" spans="1:57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</row>
    <row r="558" spans="1:57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</row>
    <row r="559" spans="1:57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</row>
    <row r="560" spans="1:57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</row>
    <row r="561" spans="1:57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</row>
    <row r="562" spans="1:57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</row>
    <row r="563" spans="1:57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</row>
    <row r="564" spans="1:57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</row>
    <row r="565" spans="1:57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</row>
    <row r="566" spans="1:57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</row>
    <row r="567" spans="1:57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</row>
    <row r="568" spans="1:57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</row>
    <row r="569" spans="1:57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</row>
    <row r="570" spans="1:57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</row>
    <row r="571" spans="1:57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</row>
    <row r="572" spans="1:57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</row>
    <row r="573" spans="1:57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</row>
    <row r="574" spans="1:57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</row>
    <row r="575" spans="1:57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</row>
    <row r="576" spans="1:57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</row>
    <row r="577" spans="1:57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</row>
    <row r="578" spans="1:57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</row>
    <row r="579" spans="1:57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</row>
    <row r="580" spans="1:57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</row>
    <row r="581" spans="1:57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</row>
    <row r="582" spans="1:57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</row>
    <row r="583" spans="1:57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</row>
    <row r="584" spans="1:57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</row>
    <row r="585" spans="1:57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</row>
    <row r="586" spans="1:57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</row>
    <row r="587" spans="1:57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</row>
    <row r="588" spans="1:57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</row>
    <row r="589" spans="1:57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</row>
    <row r="590" spans="1:57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</row>
    <row r="591" spans="1:57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</row>
    <row r="592" spans="1:57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</row>
    <row r="593" spans="1:57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</row>
    <row r="594" spans="1:57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</row>
    <row r="595" spans="1:57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</row>
    <row r="596" spans="1:57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</row>
    <row r="597" spans="1:57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</row>
    <row r="598" spans="1:57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</row>
    <row r="599" spans="1:57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</row>
    <row r="600" spans="1:57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</row>
    <row r="601" spans="1:57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</row>
    <row r="602" spans="1:57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</row>
    <row r="603" spans="1:57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</row>
    <row r="604" spans="1:57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</row>
    <row r="605" spans="1:57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</row>
    <row r="606" spans="1:57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</row>
    <row r="607" spans="1:57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</row>
    <row r="608" spans="1:57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</row>
    <row r="609" spans="1:57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</row>
    <row r="610" spans="1:57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</row>
    <row r="611" spans="1:57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</row>
    <row r="612" spans="1:57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</row>
    <row r="613" spans="1:57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</row>
    <row r="614" spans="1:57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</row>
    <row r="615" spans="1:57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</row>
    <row r="616" spans="1:57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</row>
    <row r="617" spans="1:57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</row>
    <row r="618" spans="1:57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</row>
    <row r="619" spans="1:57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</row>
    <row r="620" spans="1:57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</row>
    <row r="621" spans="1:57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</row>
    <row r="622" spans="1:57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</row>
    <row r="623" spans="1:57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</row>
    <row r="624" spans="1:57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</row>
    <row r="625" spans="1:57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</row>
    <row r="626" spans="1:57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</row>
    <row r="627" spans="1:57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</row>
    <row r="628" spans="1:57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</row>
    <row r="629" spans="1:57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</row>
    <row r="630" spans="1:57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</row>
    <row r="631" spans="1:57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</row>
    <row r="632" spans="1:57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</row>
    <row r="633" spans="1:57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</row>
    <row r="634" spans="1:57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</row>
    <row r="635" spans="1:57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</row>
    <row r="636" spans="1:57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</row>
    <row r="637" spans="1:57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</row>
    <row r="638" spans="1:57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</row>
    <row r="639" spans="1:57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</row>
    <row r="640" spans="1:57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  <c r="AY640" s="14"/>
      <c r="AZ640" s="14"/>
      <c r="BA640" s="14"/>
      <c r="BB640" s="14"/>
      <c r="BC640" s="14"/>
      <c r="BD640" s="14"/>
      <c r="BE640" s="14"/>
    </row>
    <row r="641" spans="1:57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  <c r="AY641" s="14"/>
      <c r="AZ641" s="14"/>
      <c r="BA641" s="14"/>
      <c r="BB641" s="14"/>
      <c r="BC641" s="14"/>
      <c r="BD641" s="14"/>
      <c r="BE641" s="14"/>
    </row>
    <row r="642" spans="1:57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  <c r="AY642" s="14"/>
      <c r="AZ642" s="14"/>
      <c r="BA642" s="14"/>
      <c r="BB642" s="14"/>
      <c r="BC642" s="14"/>
      <c r="BD642" s="14"/>
      <c r="BE642" s="14"/>
    </row>
    <row r="643" spans="1:57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  <c r="AY643" s="14"/>
      <c r="AZ643" s="14"/>
      <c r="BA643" s="14"/>
      <c r="BB643" s="14"/>
      <c r="BC643" s="14"/>
      <c r="BD643" s="14"/>
      <c r="BE643" s="14"/>
    </row>
    <row r="644" spans="1:57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  <c r="AY644" s="14"/>
      <c r="AZ644" s="14"/>
      <c r="BA644" s="14"/>
      <c r="BB644" s="14"/>
      <c r="BC644" s="14"/>
      <c r="BD644" s="14"/>
      <c r="BE644" s="14"/>
    </row>
    <row r="645" spans="1:57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  <c r="AY645" s="14"/>
      <c r="AZ645" s="14"/>
      <c r="BA645" s="14"/>
      <c r="BB645" s="14"/>
      <c r="BC645" s="14"/>
      <c r="BD645" s="14"/>
      <c r="BE645" s="14"/>
    </row>
    <row r="646" spans="1:57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  <c r="AY646" s="14"/>
      <c r="AZ646" s="14"/>
      <c r="BA646" s="14"/>
      <c r="BB646" s="14"/>
      <c r="BC646" s="14"/>
      <c r="BD646" s="14"/>
      <c r="BE646" s="14"/>
    </row>
    <row r="647" spans="1:57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  <c r="AY647" s="14"/>
      <c r="AZ647" s="14"/>
      <c r="BA647" s="14"/>
      <c r="BB647" s="14"/>
      <c r="BC647" s="14"/>
      <c r="BD647" s="14"/>
      <c r="BE647" s="14"/>
    </row>
    <row r="648" spans="1:57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  <c r="AY648" s="14"/>
      <c r="AZ648" s="14"/>
      <c r="BA648" s="14"/>
      <c r="BB648" s="14"/>
      <c r="BC648" s="14"/>
      <c r="BD648" s="14"/>
      <c r="BE648" s="14"/>
    </row>
    <row r="649" spans="1:57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  <c r="AY649" s="14"/>
      <c r="AZ649" s="14"/>
      <c r="BA649" s="14"/>
      <c r="BB649" s="14"/>
      <c r="BC649" s="14"/>
      <c r="BD649" s="14"/>
      <c r="BE649" s="14"/>
    </row>
    <row r="650" spans="1:57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  <c r="AY650" s="14"/>
      <c r="AZ650" s="14"/>
      <c r="BA650" s="14"/>
      <c r="BB650" s="14"/>
      <c r="BC650" s="14"/>
      <c r="BD650" s="14"/>
      <c r="BE650" s="14"/>
    </row>
    <row r="651" spans="1:57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  <c r="AY651" s="14"/>
      <c r="AZ651" s="14"/>
      <c r="BA651" s="14"/>
      <c r="BB651" s="14"/>
      <c r="BC651" s="14"/>
      <c r="BD651" s="14"/>
      <c r="BE651" s="14"/>
    </row>
    <row r="652" spans="1:57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  <c r="AY652" s="14"/>
      <c r="AZ652" s="14"/>
      <c r="BA652" s="14"/>
      <c r="BB652" s="14"/>
      <c r="BC652" s="14"/>
      <c r="BD652" s="14"/>
      <c r="BE652" s="14"/>
    </row>
    <row r="653" spans="1:57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  <c r="AY653" s="14"/>
      <c r="AZ653" s="14"/>
      <c r="BA653" s="14"/>
      <c r="BB653" s="14"/>
      <c r="BC653" s="14"/>
      <c r="BD653" s="14"/>
      <c r="BE653" s="14"/>
    </row>
    <row r="654" spans="1:57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  <c r="AY654" s="14"/>
      <c r="AZ654" s="14"/>
      <c r="BA654" s="14"/>
      <c r="BB654" s="14"/>
      <c r="BC654" s="14"/>
      <c r="BD654" s="14"/>
      <c r="BE654" s="14"/>
    </row>
    <row r="655" spans="1:57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  <c r="AY655" s="14"/>
      <c r="AZ655" s="14"/>
      <c r="BA655" s="14"/>
      <c r="BB655" s="14"/>
      <c r="BC655" s="14"/>
      <c r="BD655" s="14"/>
      <c r="BE655" s="14"/>
    </row>
    <row r="656" spans="1:57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  <c r="AY656" s="14"/>
      <c r="AZ656" s="14"/>
      <c r="BA656" s="14"/>
      <c r="BB656" s="14"/>
      <c r="BC656" s="14"/>
      <c r="BD656" s="14"/>
      <c r="BE656" s="14"/>
    </row>
    <row r="657" spans="1:57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  <c r="AY657" s="14"/>
      <c r="AZ657" s="14"/>
      <c r="BA657" s="14"/>
      <c r="BB657" s="14"/>
      <c r="BC657" s="14"/>
      <c r="BD657" s="14"/>
      <c r="BE657" s="14"/>
    </row>
    <row r="658" spans="1:57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  <c r="AY658" s="14"/>
      <c r="AZ658" s="14"/>
      <c r="BA658" s="14"/>
      <c r="BB658" s="14"/>
      <c r="BC658" s="14"/>
      <c r="BD658" s="14"/>
      <c r="BE658" s="14"/>
    </row>
    <row r="659" spans="1:57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  <c r="AY659" s="14"/>
      <c r="AZ659" s="14"/>
      <c r="BA659" s="14"/>
      <c r="BB659" s="14"/>
      <c r="BC659" s="14"/>
      <c r="BD659" s="14"/>
      <c r="BE659" s="14"/>
    </row>
    <row r="660" spans="1:57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  <c r="AY660" s="14"/>
      <c r="AZ660" s="14"/>
      <c r="BA660" s="14"/>
      <c r="BB660" s="14"/>
      <c r="BC660" s="14"/>
      <c r="BD660" s="14"/>
      <c r="BE660" s="14"/>
    </row>
    <row r="661" spans="1:57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  <c r="AY661" s="14"/>
      <c r="AZ661" s="14"/>
      <c r="BA661" s="14"/>
      <c r="BB661" s="14"/>
      <c r="BC661" s="14"/>
      <c r="BD661" s="14"/>
      <c r="BE661" s="14"/>
    </row>
    <row r="662" spans="1:57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  <c r="AY662" s="14"/>
      <c r="AZ662" s="14"/>
      <c r="BA662" s="14"/>
      <c r="BB662" s="14"/>
      <c r="BC662" s="14"/>
      <c r="BD662" s="14"/>
      <c r="BE662" s="14"/>
    </row>
    <row r="663" spans="1:57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  <c r="AY663" s="14"/>
      <c r="AZ663" s="14"/>
      <c r="BA663" s="14"/>
      <c r="BB663" s="14"/>
      <c r="BC663" s="14"/>
      <c r="BD663" s="14"/>
      <c r="BE663" s="14"/>
    </row>
    <row r="664" spans="1:57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  <c r="AY664" s="14"/>
      <c r="AZ664" s="14"/>
      <c r="BA664" s="14"/>
      <c r="BB664" s="14"/>
      <c r="BC664" s="14"/>
      <c r="BD664" s="14"/>
      <c r="BE664" s="14"/>
    </row>
    <row r="665" spans="1:57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  <c r="AY665" s="14"/>
      <c r="AZ665" s="14"/>
      <c r="BA665" s="14"/>
      <c r="BB665" s="14"/>
      <c r="BC665" s="14"/>
      <c r="BD665" s="14"/>
      <c r="BE665" s="14"/>
    </row>
    <row r="666" spans="1:57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  <c r="AY666" s="14"/>
      <c r="AZ666" s="14"/>
      <c r="BA666" s="14"/>
      <c r="BB666" s="14"/>
      <c r="BC666" s="14"/>
      <c r="BD666" s="14"/>
      <c r="BE666" s="14"/>
    </row>
    <row r="667" spans="1:57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  <c r="AY667" s="14"/>
      <c r="AZ667" s="14"/>
      <c r="BA667" s="14"/>
      <c r="BB667" s="14"/>
      <c r="BC667" s="14"/>
      <c r="BD667" s="14"/>
      <c r="BE667" s="14"/>
    </row>
    <row r="668" spans="1:57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  <c r="AY668" s="14"/>
      <c r="AZ668" s="14"/>
      <c r="BA668" s="14"/>
      <c r="BB668" s="14"/>
      <c r="BC668" s="14"/>
      <c r="BD668" s="14"/>
      <c r="BE668" s="14"/>
    </row>
    <row r="669" spans="1:57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  <c r="AY669" s="14"/>
      <c r="AZ669" s="14"/>
      <c r="BA669" s="14"/>
      <c r="BB669" s="14"/>
      <c r="BC669" s="14"/>
      <c r="BD669" s="14"/>
      <c r="BE669" s="14"/>
    </row>
    <row r="670" spans="1:57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  <c r="AY670" s="14"/>
      <c r="AZ670" s="14"/>
      <c r="BA670" s="14"/>
      <c r="BB670" s="14"/>
      <c r="BC670" s="14"/>
      <c r="BD670" s="14"/>
      <c r="BE670" s="14"/>
    </row>
    <row r="671" spans="1:57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  <c r="AY671" s="14"/>
      <c r="AZ671" s="14"/>
      <c r="BA671" s="14"/>
      <c r="BB671" s="14"/>
      <c r="BC671" s="14"/>
      <c r="BD671" s="14"/>
      <c r="BE671" s="14"/>
    </row>
    <row r="672" spans="1:57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  <c r="AY672" s="14"/>
      <c r="AZ672" s="14"/>
      <c r="BA672" s="14"/>
      <c r="BB672" s="14"/>
      <c r="BC672" s="14"/>
      <c r="BD672" s="14"/>
      <c r="BE672" s="14"/>
    </row>
    <row r="673" spans="1:57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  <c r="AY673" s="14"/>
      <c r="AZ673" s="14"/>
      <c r="BA673" s="14"/>
      <c r="BB673" s="14"/>
      <c r="BC673" s="14"/>
      <c r="BD673" s="14"/>
      <c r="BE673" s="14"/>
    </row>
    <row r="674" spans="1:57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  <c r="AY674" s="14"/>
      <c r="AZ674" s="14"/>
      <c r="BA674" s="14"/>
      <c r="BB674" s="14"/>
      <c r="BC674" s="14"/>
      <c r="BD674" s="14"/>
      <c r="BE674" s="14"/>
    </row>
    <row r="675" spans="1:57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  <c r="AY675" s="14"/>
      <c r="AZ675" s="14"/>
      <c r="BA675" s="14"/>
      <c r="BB675" s="14"/>
      <c r="BC675" s="14"/>
      <c r="BD675" s="14"/>
      <c r="BE675" s="14"/>
    </row>
    <row r="676" spans="1:57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  <c r="AY676" s="14"/>
      <c r="AZ676" s="14"/>
      <c r="BA676" s="14"/>
      <c r="BB676" s="14"/>
      <c r="BC676" s="14"/>
      <c r="BD676" s="14"/>
      <c r="BE676" s="14"/>
    </row>
    <row r="677" spans="1:57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  <c r="AY677" s="14"/>
      <c r="AZ677" s="14"/>
      <c r="BA677" s="14"/>
      <c r="BB677" s="14"/>
      <c r="BC677" s="14"/>
      <c r="BD677" s="14"/>
      <c r="BE677" s="14"/>
    </row>
    <row r="678" spans="1:57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  <c r="AY678" s="14"/>
      <c r="AZ678" s="14"/>
      <c r="BA678" s="14"/>
      <c r="BB678" s="14"/>
      <c r="BC678" s="14"/>
      <c r="BD678" s="14"/>
      <c r="BE678" s="14"/>
    </row>
    <row r="679" spans="1:57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  <c r="AY679" s="14"/>
      <c r="AZ679" s="14"/>
      <c r="BA679" s="14"/>
      <c r="BB679" s="14"/>
      <c r="BC679" s="14"/>
      <c r="BD679" s="14"/>
      <c r="BE679" s="14"/>
    </row>
    <row r="680" spans="1:57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  <c r="AY680" s="14"/>
      <c r="AZ680" s="14"/>
      <c r="BA680" s="14"/>
      <c r="BB680" s="14"/>
      <c r="BC680" s="14"/>
      <c r="BD680" s="14"/>
      <c r="BE680" s="14"/>
    </row>
    <row r="681" spans="1:57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  <c r="AY681" s="14"/>
      <c r="AZ681" s="14"/>
      <c r="BA681" s="14"/>
      <c r="BB681" s="14"/>
      <c r="BC681" s="14"/>
      <c r="BD681" s="14"/>
      <c r="BE681" s="14"/>
    </row>
    <row r="682" spans="1:57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  <c r="AY682" s="14"/>
      <c r="AZ682" s="14"/>
      <c r="BA682" s="14"/>
      <c r="BB682" s="14"/>
      <c r="BC682" s="14"/>
      <c r="BD682" s="14"/>
      <c r="BE682" s="14"/>
    </row>
    <row r="683" spans="1:57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  <c r="AY683" s="14"/>
      <c r="AZ683" s="14"/>
      <c r="BA683" s="14"/>
      <c r="BB683" s="14"/>
      <c r="BC683" s="14"/>
      <c r="BD683" s="14"/>
      <c r="BE683" s="14"/>
    </row>
    <row r="684" spans="1:57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  <c r="AY684" s="14"/>
      <c r="AZ684" s="14"/>
      <c r="BA684" s="14"/>
      <c r="BB684" s="14"/>
      <c r="BC684" s="14"/>
      <c r="BD684" s="14"/>
      <c r="BE684" s="14"/>
    </row>
    <row r="685" spans="1:57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  <c r="AY685" s="14"/>
      <c r="AZ685" s="14"/>
      <c r="BA685" s="14"/>
      <c r="BB685" s="14"/>
      <c r="BC685" s="14"/>
      <c r="BD685" s="14"/>
      <c r="BE685" s="14"/>
    </row>
    <row r="686" spans="1:57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  <c r="AY686" s="14"/>
      <c r="AZ686" s="14"/>
      <c r="BA686" s="14"/>
      <c r="BB686" s="14"/>
      <c r="BC686" s="14"/>
      <c r="BD686" s="14"/>
      <c r="BE686" s="14"/>
    </row>
    <row r="687" spans="1:57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  <c r="AY687" s="14"/>
      <c r="AZ687" s="14"/>
      <c r="BA687" s="14"/>
      <c r="BB687" s="14"/>
      <c r="BC687" s="14"/>
      <c r="BD687" s="14"/>
      <c r="BE687" s="14"/>
    </row>
    <row r="688" spans="1:57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  <c r="AY688" s="14"/>
      <c r="AZ688" s="14"/>
      <c r="BA688" s="14"/>
      <c r="BB688" s="14"/>
      <c r="BC688" s="14"/>
      <c r="BD688" s="14"/>
      <c r="BE688" s="14"/>
    </row>
    <row r="689" spans="1:57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  <c r="AY689" s="14"/>
      <c r="AZ689" s="14"/>
      <c r="BA689" s="14"/>
      <c r="BB689" s="14"/>
      <c r="BC689" s="14"/>
      <c r="BD689" s="14"/>
      <c r="BE689" s="14"/>
    </row>
    <row r="690" spans="1:57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  <c r="AY690" s="14"/>
      <c r="AZ690" s="14"/>
      <c r="BA690" s="14"/>
      <c r="BB690" s="14"/>
      <c r="BC690" s="14"/>
      <c r="BD690" s="14"/>
      <c r="BE690" s="14"/>
    </row>
    <row r="691" spans="1:57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  <c r="AY691" s="14"/>
      <c r="AZ691" s="14"/>
      <c r="BA691" s="14"/>
      <c r="BB691" s="14"/>
      <c r="BC691" s="14"/>
      <c r="BD691" s="14"/>
      <c r="BE691" s="14"/>
    </row>
    <row r="692" spans="1:57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14"/>
      <c r="BA692" s="14"/>
      <c r="BB692" s="14"/>
      <c r="BC692" s="14"/>
      <c r="BD692" s="14"/>
      <c r="BE692" s="14"/>
    </row>
    <row r="693" spans="1:57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  <c r="AY693" s="14"/>
      <c r="AZ693" s="14"/>
      <c r="BA693" s="14"/>
      <c r="BB693" s="14"/>
      <c r="BC693" s="14"/>
      <c r="BD693" s="14"/>
      <c r="BE693" s="14"/>
    </row>
    <row r="694" spans="1:57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  <c r="AY694" s="14"/>
      <c r="AZ694" s="14"/>
      <c r="BA694" s="14"/>
      <c r="BB694" s="14"/>
      <c r="BC694" s="14"/>
      <c r="BD694" s="14"/>
      <c r="BE694" s="14"/>
    </row>
    <row r="695" spans="1:57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  <c r="AY695" s="14"/>
      <c r="AZ695" s="14"/>
      <c r="BA695" s="14"/>
      <c r="BB695" s="14"/>
      <c r="BC695" s="14"/>
      <c r="BD695" s="14"/>
      <c r="BE695" s="14"/>
    </row>
    <row r="696" spans="1:57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  <c r="AY696" s="14"/>
      <c r="AZ696" s="14"/>
      <c r="BA696" s="14"/>
      <c r="BB696" s="14"/>
      <c r="BC696" s="14"/>
      <c r="BD696" s="14"/>
      <c r="BE696" s="14"/>
    </row>
    <row r="697" spans="1:57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  <c r="AY697" s="14"/>
      <c r="AZ697" s="14"/>
      <c r="BA697" s="14"/>
      <c r="BB697" s="14"/>
      <c r="BC697" s="14"/>
      <c r="BD697" s="14"/>
      <c r="BE697" s="14"/>
    </row>
    <row r="698" spans="1:57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  <c r="AY698" s="14"/>
      <c r="AZ698" s="14"/>
      <c r="BA698" s="14"/>
      <c r="BB698" s="14"/>
      <c r="BC698" s="14"/>
      <c r="BD698" s="14"/>
      <c r="BE698" s="14"/>
    </row>
    <row r="699" spans="1:57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  <c r="AY699" s="14"/>
      <c r="AZ699" s="14"/>
      <c r="BA699" s="14"/>
      <c r="BB699" s="14"/>
      <c r="BC699" s="14"/>
      <c r="BD699" s="14"/>
      <c r="BE699" s="14"/>
    </row>
    <row r="700" spans="1:57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  <c r="AY700" s="14"/>
      <c r="AZ700" s="14"/>
      <c r="BA700" s="14"/>
      <c r="BB700" s="14"/>
      <c r="BC700" s="14"/>
      <c r="BD700" s="14"/>
      <c r="BE700" s="14"/>
    </row>
    <row r="701" spans="1:57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  <c r="AY701" s="14"/>
      <c r="AZ701" s="14"/>
      <c r="BA701" s="14"/>
      <c r="BB701" s="14"/>
      <c r="BC701" s="14"/>
      <c r="BD701" s="14"/>
      <c r="BE701" s="14"/>
    </row>
    <row r="702" spans="1:57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  <c r="AY702" s="14"/>
      <c r="AZ702" s="14"/>
      <c r="BA702" s="14"/>
      <c r="BB702" s="14"/>
      <c r="BC702" s="14"/>
      <c r="BD702" s="14"/>
      <c r="BE702" s="14"/>
    </row>
    <row r="703" spans="1:57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  <c r="AY703" s="14"/>
      <c r="AZ703" s="14"/>
      <c r="BA703" s="14"/>
      <c r="BB703" s="14"/>
      <c r="BC703" s="14"/>
      <c r="BD703" s="14"/>
      <c r="BE703" s="14"/>
    </row>
    <row r="704" spans="1:57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  <c r="AY704" s="14"/>
      <c r="AZ704" s="14"/>
      <c r="BA704" s="14"/>
      <c r="BB704" s="14"/>
      <c r="BC704" s="14"/>
      <c r="BD704" s="14"/>
      <c r="BE704" s="14"/>
    </row>
    <row r="705" spans="1:57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  <c r="AY705" s="14"/>
      <c r="AZ705" s="14"/>
      <c r="BA705" s="14"/>
      <c r="BB705" s="14"/>
      <c r="BC705" s="14"/>
      <c r="BD705" s="14"/>
      <c r="BE705" s="14"/>
    </row>
    <row r="706" spans="1:57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  <c r="AY706" s="14"/>
      <c r="AZ706" s="14"/>
      <c r="BA706" s="14"/>
      <c r="BB706" s="14"/>
      <c r="BC706" s="14"/>
      <c r="BD706" s="14"/>
      <c r="BE706" s="14"/>
    </row>
    <row r="707" spans="1:57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  <c r="AY707" s="14"/>
      <c r="AZ707" s="14"/>
      <c r="BA707" s="14"/>
      <c r="BB707" s="14"/>
      <c r="BC707" s="14"/>
      <c r="BD707" s="14"/>
      <c r="BE707" s="14"/>
    </row>
    <row r="708" spans="1:57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  <c r="AY708" s="14"/>
      <c r="AZ708" s="14"/>
      <c r="BA708" s="14"/>
      <c r="BB708" s="14"/>
      <c r="BC708" s="14"/>
      <c r="BD708" s="14"/>
      <c r="BE708" s="14"/>
    </row>
    <row r="709" spans="1:57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  <c r="AY709" s="14"/>
      <c r="AZ709" s="14"/>
      <c r="BA709" s="14"/>
      <c r="BB709" s="14"/>
      <c r="BC709" s="14"/>
      <c r="BD709" s="14"/>
      <c r="BE709" s="14"/>
    </row>
    <row r="710" spans="1:57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  <c r="AY710" s="14"/>
      <c r="AZ710" s="14"/>
      <c r="BA710" s="14"/>
      <c r="BB710" s="14"/>
      <c r="BC710" s="14"/>
      <c r="BD710" s="14"/>
      <c r="BE710" s="14"/>
    </row>
    <row r="711" spans="1:57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14"/>
      <c r="BA711" s="14"/>
      <c r="BB711" s="14"/>
      <c r="BC711" s="14"/>
      <c r="BD711" s="14"/>
      <c r="BE711" s="14"/>
    </row>
    <row r="712" spans="1:57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  <c r="AY712" s="14"/>
      <c r="AZ712" s="14"/>
      <c r="BA712" s="14"/>
      <c r="BB712" s="14"/>
      <c r="BC712" s="14"/>
      <c r="BD712" s="14"/>
      <c r="BE712" s="14"/>
    </row>
    <row r="713" spans="1:57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  <c r="AY713" s="14"/>
      <c r="AZ713" s="14"/>
      <c r="BA713" s="14"/>
      <c r="BB713" s="14"/>
      <c r="BC713" s="14"/>
      <c r="BD713" s="14"/>
      <c r="BE713" s="14"/>
    </row>
    <row r="714" spans="1:57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14"/>
      <c r="BB714" s="14"/>
      <c r="BC714" s="14"/>
      <c r="BD714" s="14"/>
      <c r="BE714" s="14"/>
    </row>
    <row r="715" spans="1:57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  <c r="AY715" s="14"/>
      <c r="AZ715" s="14"/>
      <c r="BA715" s="14"/>
      <c r="BB715" s="14"/>
      <c r="BC715" s="14"/>
      <c r="BD715" s="14"/>
      <c r="BE715" s="14"/>
    </row>
    <row r="716" spans="1:57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  <c r="AY716" s="14"/>
      <c r="AZ716" s="14"/>
      <c r="BA716" s="14"/>
      <c r="BB716" s="14"/>
      <c r="BC716" s="14"/>
      <c r="BD716" s="14"/>
      <c r="BE716" s="14"/>
    </row>
    <row r="717" spans="1:57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  <c r="AY717" s="14"/>
      <c r="AZ717" s="14"/>
      <c r="BA717" s="14"/>
      <c r="BB717" s="14"/>
      <c r="BC717" s="14"/>
      <c r="BD717" s="14"/>
      <c r="BE717" s="14"/>
    </row>
    <row r="718" spans="1:57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  <c r="AY718" s="14"/>
      <c r="AZ718" s="14"/>
      <c r="BA718" s="14"/>
      <c r="BB718" s="14"/>
      <c r="BC718" s="14"/>
      <c r="BD718" s="14"/>
      <c r="BE718" s="14"/>
    </row>
    <row r="719" spans="1:57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  <c r="AY719" s="14"/>
      <c r="AZ719" s="14"/>
      <c r="BA719" s="14"/>
      <c r="BB719" s="14"/>
      <c r="BC719" s="14"/>
      <c r="BD719" s="14"/>
      <c r="BE719" s="14"/>
    </row>
    <row r="720" spans="1:57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  <c r="AY720" s="14"/>
      <c r="AZ720" s="14"/>
      <c r="BA720" s="14"/>
      <c r="BB720" s="14"/>
      <c r="BC720" s="14"/>
      <c r="BD720" s="14"/>
      <c r="BE720" s="14"/>
    </row>
    <row r="721" spans="1:57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  <c r="AY721" s="14"/>
      <c r="AZ721" s="14"/>
      <c r="BA721" s="14"/>
      <c r="BB721" s="14"/>
      <c r="BC721" s="14"/>
      <c r="BD721" s="14"/>
      <c r="BE721" s="14"/>
    </row>
    <row r="722" spans="1:57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  <c r="AY722" s="14"/>
      <c r="AZ722" s="14"/>
      <c r="BA722" s="14"/>
      <c r="BB722" s="14"/>
      <c r="BC722" s="14"/>
      <c r="BD722" s="14"/>
      <c r="BE722" s="14"/>
    </row>
    <row r="723" spans="1:57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  <c r="AY723" s="14"/>
      <c r="AZ723" s="14"/>
      <c r="BA723" s="14"/>
      <c r="BB723" s="14"/>
      <c r="BC723" s="14"/>
      <c r="BD723" s="14"/>
      <c r="BE723" s="14"/>
    </row>
    <row r="724" spans="1:57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  <c r="AY724" s="14"/>
      <c r="AZ724" s="14"/>
      <c r="BA724" s="14"/>
      <c r="BB724" s="14"/>
      <c r="BC724" s="14"/>
      <c r="BD724" s="14"/>
      <c r="BE724" s="14"/>
    </row>
    <row r="725" spans="1:57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  <c r="AY725" s="14"/>
      <c r="AZ725" s="14"/>
      <c r="BA725" s="14"/>
      <c r="BB725" s="14"/>
      <c r="BC725" s="14"/>
      <c r="BD725" s="14"/>
      <c r="BE725" s="14"/>
    </row>
    <row r="726" spans="1:57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  <c r="AY726" s="14"/>
      <c r="AZ726" s="14"/>
      <c r="BA726" s="14"/>
      <c r="BB726" s="14"/>
      <c r="BC726" s="14"/>
      <c r="BD726" s="14"/>
      <c r="BE726" s="14"/>
    </row>
    <row r="727" spans="1:57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  <c r="AY727" s="14"/>
      <c r="AZ727" s="14"/>
      <c r="BA727" s="14"/>
      <c r="BB727" s="14"/>
      <c r="BC727" s="14"/>
      <c r="BD727" s="14"/>
      <c r="BE727" s="14"/>
    </row>
    <row r="728" spans="1:57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  <c r="AY728" s="14"/>
      <c r="AZ728" s="14"/>
      <c r="BA728" s="14"/>
      <c r="BB728" s="14"/>
      <c r="BC728" s="14"/>
      <c r="BD728" s="14"/>
      <c r="BE728" s="14"/>
    </row>
    <row r="729" spans="1:57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  <c r="AY729" s="14"/>
      <c r="AZ729" s="14"/>
      <c r="BA729" s="14"/>
      <c r="BB729" s="14"/>
      <c r="BC729" s="14"/>
      <c r="BD729" s="14"/>
      <c r="BE729" s="14"/>
    </row>
    <row r="730" spans="1:57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  <c r="AY730" s="14"/>
      <c r="AZ730" s="14"/>
      <c r="BA730" s="14"/>
      <c r="BB730" s="14"/>
      <c r="BC730" s="14"/>
      <c r="BD730" s="14"/>
      <c r="BE730" s="14"/>
    </row>
    <row r="731" spans="1:57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  <c r="AY731" s="14"/>
      <c r="AZ731" s="14"/>
      <c r="BA731" s="14"/>
      <c r="BB731" s="14"/>
      <c r="BC731" s="14"/>
      <c r="BD731" s="14"/>
      <c r="BE731" s="14"/>
    </row>
    <row r="732" spans="1:57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  <c r="AY732" s="14"/>
      <c r="AZ732" s="14"/>
      <c r="BA732" s="14"/>
      <c r="BB732" s="14"/>
      <c r="BC732" s="14"/>
      <c r="BD732" s="14"/>
      <c r="BE732" s="14"/>
    </row>
    <row r="733" spans="1:57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  <c r="AY733" s="14"/>
      <c r="AZ733" s="14"/>
      <c r="BA733" s="14"/>
      <c r="BB733" s="14"/>
      <c r="BC733" s="14"/>
      <c r="BD733" s="14"/>
      <c r="BE733" s="14"/>
    </row>
    <row r="734" spans="1:57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  <c r="AY734" s="14"/>
      <c r="AZ734" s="14"/>
      <c r="BA734" s="14"/>
      <c r="BB734" s="14"/>
      <c r="BC734" s="14"/>
      <c r="BD734" s="14"/>
      <c r="BE734" s="14"/>
    </row>
    <row r="735" spans="1:57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  <c r="AY735" s="14"/>
      <c r="AZ735" s="14"/>
      <c r="BA735" s="14"/>
      <c r="BB735" s="14"/>
      <c r="BC735" s="14"/>
      <c r="BD735" s="14"/>
      <c r="BE735" s="14"/>
    </row>
    <row r="736" spans="1:57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  <c r="AY736" s="14"/>
      <c r="AZ736" s="14"/>
      <c r="BA736" s="14"/>
      <c r="BB736" s="14"/>
      <c r="BC736" s="14"/>
      <c r="BD736" s="14"/>
      <c r="BE736" s="14"/>
    </row>
    <row r="737" spans="1:57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  <c r="AY737" s="14"/>
      <c r="AZ737" s="14"/>
      <c r="BA737" s="14"/>
      <c r="BB737" s="14"/>
      <c r="BC737" s="14"/>
      <c r="BD737" s="14"/>
      <c r="BE737" s="14"/>
    </row>
    <row r="738" spans="1:57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  <c r="AY738" s="14"/>
      <c r="AZ738" s="14"/>
      <c r="BA738" s="14"/>
      <c r="BB738" s="14"/>
      <c r="BC738" s="14"/>
      <c r="BD738" s="14"/>
      <c r="BE738" s="14"/>
    </row>
    <row r="739" spans="1:57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  <c r="AY739" s="14"/>
      <c r="AZ739" s="14"/>
      <c r="BA739" s="14"/>
      <c r="BB739" s="14"/>
      <c r="BC739" s="14"/>
      <c r="BD739" s="14"/>
      <c r="BE739" s="14"/>
    </row>
    <row r="740" spans="1:57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  <c r="AY740" s="14"/>
      <c r="AZ740" s="14"/>
      <c r="BA740" s="14"/>
      <c r="BB740" s="14"/>
      <c r="BC740" s="14"/>
      <c r="BD740" s="14"/>
      <c r="BE740" s="14"/>
    </row>
    <row r="741" spans="1:57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  <c r="AY741" s="14"/>
      <c r="AZ741" s="14"/>
      <c r="BA741" s="14"/>
      <c r="BB741" s="14"/>
      <c r="BC741" s="14"/>
      <c r="BD741" s="14"/>
      <c r="BE741" s="14"/>
    </row>
    <row r="742" spans="1:57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  <c r="AY742" s="14"/>
      <c r="AZ742" s="14"/>
      <c r="BA742" s="14"/>
      <c r="BB742" s="14"/>
      <c r="BC742" s="14"/>
      <c r="BD742" s="14"/>
      <c r="BE742" s="14"/>
    </row>
    <row r="743" spans="1:57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  <c r="AY743" s="14"/>
      <c r="AZ743" s="14"/>
      <c r="BA743" s="14"/>
      <c r="BB743" s="14"/>
      <c r="BC743" s="14"/>
      <c r="BD743" s="14"/>
      <c r="BE743" s="14"/>
    </row>
    <row r="744" spans="1:57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  <c r="AY744" s="14"/>
      <c r="AZ744" s="14"/>
      <c r="BA744" s="14"/>
      <c r="BB744" s="14"/>
      <c r="BC744" s="14"/>
      <c r="BD744" s="14"/>
      <c r="BE744" s="14"/>
    </row>
    <row r="745" spans="1:57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  <c r="AY745" s="14"/>
      <c r="AZ745" s="14"/>
      <c r="BA745" s="14"/>
      <c r="BB745" s="14"/>
      <c r="BC745" s="14"/>
      <c r="BD745" s="14"/>
      <c r="BE745" s="14"/>
    </row>
    <row r="746" spans="1:57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  <c r="AY746" s="14"/>
      <c r="AZ746" s="14"/>
      <c r="BA746" s="14"/>
      <c r="BB746" s="14"/>
      <c r="BC746" s="14"/>
      <c r="BD746" s="14"/>
      <c r="BE746" s="14"/>
    </row>
    <row r="747" spans="1:57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  <c r="AY747" s="14"/>
      <c r="AZ747" s="14"/>
      <c r="BA747" s="14"/>
      <c r="BB747" s="14"/>
      <c r="BC747" s="14"/>
      <c r="BD747" s="14"/>
      <c r="BE747" s="14"/>
    </row>
    <row r="748" spans="1:57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  <c r="AY748" s="14"/>
      <c r="AZ748" s="14"/>
      <c r="BA748" s="14"/>
      <c r="BB748" s="14"/>
      <c r="BC748" s="14"/>
      <c r="BD748" s="14"/>
      <c r="BE748" s="14"/>
    </row>
    <row r="749" spans="1:57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14"/>
      <c r="BA749" s="14"/>
      <c r="BB749" s="14"/>
      <c r="BC749" s="14"/>
      <c r="BD749" s="14"/>
      <c r="BE749" s="14"/>
    </row>
    <row r="750" spans="1:57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  <c r="AY750" s="14"/>
      <c r="AZ750" s="14"/>
      <c r="BA750" s="14"/>
      <c r="BB750" s="14"/>
      <c r="BC750" s="14"/>
      <c r="BD750" s="14"/>
      <c r="BE750" s="14"/>
    </row>
    <row r="751" spans="1:57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  <c r="AY751" s="14"/>
      <c r="AZ751" s="14"/>
      <c r="BA751" s="14"/>
      <c r="BB751" s="14"/>
      <c r="BC751" s="14"/>
      <c r="BD751" s="14"/>
      <c r="BE751" s="14"/>
    </row>
    <row r="752" spans="1:57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  <c r="AY752" s="14"/>
      <c r="AZ752" s="14"/>
      <c r="BA752" s="14"/>
      <c r="BB752" s="14"/>
      <c r="BC752" s="14"/>
      <c r="BD752" s="14"/>
      <c r="BE752" s="14"/>
    </row>
    <row r="753" spans="1:57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  <c r="AY753" s="14"/>
      <c r="AZ753" s="14"/>
      <c r="BA753" s="14"/>
      <c r="BB753" s="14"/>
      <c r="BC753" s="14"/>
      <c r="BD753" s="14"/>
      <c r="BE753" s="14"/>
    </row>
    <row r="754" spans="1:57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  <c r="AY754" s="14"/>
      <c r="AZ754" s="14"/>
      <c r="BA754" s="14"/>
      <c r="BB754" s="14"/>
      <c r="BC754" s="14"/>
      <c r="BD754" s="14"/>
      <c r="BE754" s="14"/>
    </row>
    <row r="755" spans="1:57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  <c r="AY755" s="14"/>
      <c r="AZ755" s="14"/>
      <c r="BA755" s="14"/>
      <c r="BB755" s="14"/>
      <c r="BC755" s="14"/>
      <c r="BD755" s="14"/>
      <c r="BE755" s="14"/>
    </row>
    <row r="756" spans="1:57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  <c r="AY756" s="14"/>
      <c r="AZ756" s="14"/>
      <c r="BA756" s="14"/>
      <c r="BB756" s="14"/>
      <c r="BC756" s="14"/>
      <c r="BD756" s="14"/>
      <c r="BE756" s="14"/>
    </row>
    <row r="757" spans="1:57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  <c r="AY757" s="14"/>
      <c r="AZ757" s="14"/>
      <c r="BA757" s="14"/>
      <c r="BB757" s="14"/>
      <c r="BC757" s="14"/>
      <c r="BD757" s="14"/>
      <c r="BE757" s="14"/>
    </row>
    <row r="758" spans="1:57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  <c r="AY758" s="14"/>
      <c r="AZ758" s="14"/>
      <c r="BA758" s="14"/>
      <c r="BB758" s="14"/>
      <c r="BC758" s="14"/>
      <c r="BD758" s="14"/>
      <c r="BE758" s="14"/>
    </row>
    <row r="759" spans="1:57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  <c r="AY759" s="14"/>
      <c r="AZ759" s="14"/>
      <c r="BA759" s="14"/>
      <c r="BB759" s="14"/>
      <c r="BC759" s="14"/>
      <c r="BD759" s="14"/>
      <c r="BE759" s="14"/>
    </row>
    <row r="760" spans="1:57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  <c r="AY760" s="14"/>
      <c r="AZ760" s="14"/>
      <c r="BA760" s="14"/>
      <c r="BB760" s="14"/>
      <c r="BC760" s="14"/>
      <c r="BD760" s="14"/>
      <c r="BE760" s="14"/>
    </row>
    <row r="761" spans="1:57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  <c r="AY761" s="14"/>
      <c r="AZ761" s="14"/>
      <c r="BA761" s="14"/>
      <c r="BB761" s="14"/>
      <c r="BC761" s="14"/>
      <c r="BD761" s="14"/>
      <c r="BE761" s="14"/>
    </row>
    <row r="762" spans="1:57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  <c r="AY762" s="14"/>
      <c r="AZ762" s="14"/>
      <c r="BA762" s="14"/>
      <c r="BB762" s="14"/>
      <c r="BC762" s="14"/>
      <c r="BD762" s="14"/>
      <c r="BE762" s="14"/>
    </row>
    <row r="763" spans="1:57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  <c r="AY763" s="14"/>
      <c r="AZ763" s="14"/>
      <c r="BA763" s="14"/>
      <c r="BB763" s="14"/>
      <c r="BC763" s="14"/>
      <c r="BD763" s="14"/>
      <c r="BE763" s="14"/>
    </row>
    <row r="764" spans="1:57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  <c r="AY764" s="14"/>
      <c r="AZ764" s="14"/>
      <c r="BA764" s="14"/>
      <c r="BB764" s="14"/>
      <c r="BC764" s="14"/>
      <c r="BD764" s="14"/>
      <c r="BE764" s="14"/>
    </row>
    <row r="765" spans="1:57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  <c r="AY765" s="14"/>
      <c r="AZ765" s="14"/>
      <c r="BA765" s="14"/>
      <c r="BB765" s="14"/>
      <c r="BC765" s="14"/>
      <c r="BD765" s="14"/>
      <c r="BE765" s="14"/>
    </row>
    <row r="766" spans="1:57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  <c r="AY766" s="14"/>
      <c r="AZ766" s="14"/>
      <c r="BA766" s="14"/>
      <c r="BB766" s="14"/>
      <c r="BC766" s="14"/>
      <c r="BD766" s="14"/>
      <c r="BE766" s="14"/>
    </row>
    <row r="767" spans="1:57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  <c r="AY767" s="14"/>
      <c r="AZ767" s="14"/>
      <c r="BA767" s="14"/>
      <c r="BB767" s="14"/>
      <c r="BC767" s="14"/>
      <c r="BD767" s="14"/>
      <c r="BE767" s="14"/>
    </row>
    <row r="768" spans="1:57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  <c r="AY768" s="14"/>
      <c r="AZ768" s="14"/>
      <c r="BA768" s="14"/>
      <c r="BB768" s="14"/>
      <c r="BC768" s="14"/>
      <c r="BD768" s="14"/>
      <c r="BE768" s="14"/>
    </row>
    <row r="769" spans="1:57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  <c r="AY769" s="14"/>
      <c r="AZ769" s="14"/>
      <c r="BA769" s="14"/>
      <c r="BB769" s="14"/>
      <c r="BC769" s="14"/>
      <c r="BD769" s="14"/>
      <c r="BE769" s="14"/>
    </row>
    <row r="770" spans="1:57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</row>
    <row r="771" spans="1:57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  <c r="AY771" s="14"/>
      <c r="AZ771" s="14"/>
      <c r="BA771" s="14"/>
      <c r="BB771" s="14"/>
      <c r="BC771" s="14"/>
      <c r="BD771" s="14"/>
      <c r="BE771" s="14"/>
    </row>
    <row r="772" spans="1:57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</row>
    <row r="773" spans="1:57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</row>
    <row r="774" spans="1:57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  <c r="AY774" s="14"/>
      <c r="AZ774" s="14"/>
      <c r="BA774" s="14"/>
      <c r="BB774" s="14"/>
      <c r="BC774" s="14"/>
      <c r="BD774" s="14"/>
      <c r="BE774" s="14"/>
    </row>
    <row r="775" spans="1:57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  <c r="AY775" s="14"/>
      <c r="AZ775" s="14"/>
      <c r="BA775" s="14"/>
      <c r="BB775" s="14"/>
      <c r="BC775" s="14"/>
      <c r="BD775" s="14"/>
      <c r="BE775" s="14"/>
    </row>
    <row r="776" spans="1:57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  <c r="AY776" s="14"/>
      <c r="AZ776" s="14"/>
      <c r="BA776" s="14"/>
      <c r="BB776" s="14"/>
      <c r="BC776" s="14"/>
      <c r="BD776" s="14"/>
      <c r="BE776" s="14"/>
    </row>
    <row r="777" spans="1:57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  <c r="AY777" s="14"/>
      <c r="AZ777" s="14"/>
      <c r="BA777" s="14"/>
      <c r="BB777" s="14"/>
      <c r="BC777" s="14"/>
      <c r="BD777" s="14"/>
      <c r="BE777" s="14"/>
    </row>
    <row r="778" spans="1:57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  <c r="AY778" s="14"/>
      <c r="AZ778" s="14"/>
      <c r="BA778" s="14"/>
      <c r="BB778" s="14"/>
      <c r="BC778" s="14"/>
      <c r="BD778" s="14"/>
      <c r="BE778" s="14"/>
    </row>
    <row r="779" spans="1:57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  <c r="AY779" s="14"/>
      <c r="AZ779" s="14"/>
      <c r="BA779" s="14"/>
      <c r="BB779" s="14"/>
      <c r="BC779" s="14"/>
      <c r="BD779" s="14"/>
      <c r="BE779" s="14"/>
    </row>
    <row r="780" spans="1:57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  <c r="AY780" s="14"/>
      <c r="AZ780" s="14"/>
      <c r="BA780" s="14"/>
      <c r="BB780" s="14"/>
      <c r="BC780" s="14"/>
      <c r="BD780" s="14"/>
      <c r="BE780" s="14"/>
    </row>
    <row r="781" spans="1:57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  <c r="AY781" s="14"/>
      <c r="AZ781" s="14"/>
      <c r="BA781" s="14"/>
      <c r="BB781" s="14"/>
      <c r="BC781" s="14"/>
      <c r="BD781" s="14"/>
      <c r="BE781" s="14"/>
    </row>
    <row r="782" spans="1:57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  <c r="AY782" s="14"/>
      <c r="AZ782" s="14"/>
      <c r="BA782" s="14"/>
      <c r="BB782" s="14"/>
      <c r="BC782" s="14"/>
      <c r="BD782" s="14"/>
      <c r="BE782" s="14"/>
    </row>
    <row r="783" spans="1:57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  <c r="AY783" s="14"/>
      <c r="AZ783" s="14"/>
      <c r="BA783" s="14"/>
      <c r="BB783" s="14"/>
      <c r="BC783" s="14"/>
      <c r="BD783" s="14"/>
      <c r="BE783" s="14"/>
    </row>
    <row r="784" spans="1:57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  <c r="AY784" s="14"/>
      <c r="AZ784" s="14"/>
      <c r="BA784" s="14"/>
      <c r="BB784" s="14"/>
      <c r="BC784" s="14"/>
      <c r="BD784" s="14"/>
      <c r="BE784" s="14"/>
    </row>
    <row r="785" spans="1:57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  <c r="AY785" s="14"/>
      <c r="AZ785" s="14"/>
      <c r="BA785" s="14"/>
      <c r="BB785" s="14"/>
      <c r="BC785" s="14"/>
      <c r="BD785" s="14"/>
      <c r="BE785" s="14"/>
    </row>
    <row r="786" spans="1:57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  <c r="AY786" s="14"/>
      <c r="AZ786" s="14"/>
      <c r="BA786" s="14"/>
      <c r="BB786" s="14"/>
      <c r="BC786" s="14"/>
      <c r="BD786" s="14"/>
      <c r="BE786" s="14"/>
    </row>
    <row r="787" spans="1:57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  <c r="AY787" s="14"/>
      <c r="AZ787" s="14"/>
      <c r="BA787" s="14"/>
      <c r="BB787" s="14"/>
      <c r="BC787" s="14"/>
      <c r="BD787" s="14"/>
      <c r="BE787" s="14"/>
    </row>
    <row r="788" spans="1:57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  <c r="AY788" s="14"/>
      <c r="AZ788" s="14"/>
      <c r="BA788" s="14"/>
      <c r="BB788" s="14"/>
      <c r="BC788" s="14"/>
      <c r="BD788" s="14"/>
      <c r="BE788" s="14"/>
    </row>
    <row r="789" spans="1:57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  <c r="AY789" s="14"/>
      <c r="AZ789" s="14"/>
      <c r="BA789" s="14"/>
      <c r="BB789" s="14"/>
      <c r="BC789" s="14"/>
      <c r="BD789" s="14"/>
      <c r="BE789" s="14"/>
    </row>
    <row r="790" spans="1:57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  <c r="AY790" s="14"/>
      <c r="AZ790" s="14"/>
      <c r="BA790" s="14"/>
      <c r="BB790" s="14"/>
      <c r="BC790" s="14"/>
      <c r="BD790" s="14"/>
      <c r="BE790" s="14"/>
    </row>
    <row r="791" spans="1:57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  <c r="AY791" s="14"/>
      <c r="AZ791" s="14"/>
      <c r="BA791" s="14"/>
      <c r="BB791" s="14"/>
      <c r="BC791" s="14"/>
      <c r="BD791" s="14"/>
      <c r="BE791" s="14"/>
    </row>
    <row r="792" spans="1:57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  <c r="AY792" s="14"/>
      <c r="AZ792" s="14"/>
      <c r="BA792" s="14"/>
      <c r="BB792" s="14"/>
      <c r="BC792" s="14"/>
      <c r="BD792" s="14"/>
      <c r="BE792" s="14"/>
    </row>
    <row r="793" spans="1:57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  <c r="AY793" s="14"/>
      <c r="AZ793" s="14"/>
      <c r="BA793" s="14"/>
      <c r="BB793" s="14"/>
      <c r="BC793" s="14"/>
      <c r="BD793" s="14"/>
      <c r="BE793" s="14"/>
    </row>
    <row r="794" spans="1:57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  <c r="AY794" s="14"/>
      <c r="AZ794" s="14"/>
      <c r="BA794" s="14"/>
      <c r="BB794" s="14"/>
      <c r="BC794" s="14"/>
      <c r="BD794" s="14"/>
      <c r="BE794" s="14"/>
    </row>
    <row r="795" spans="1:57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  <c r="AY795" s="14"/>
      <c r="AZ795" s="14"/>
      <c r="BA795" s="14"/>
      <c r="BB795" s="14"/>
      <c r="BC795" s="14"/>
      <c r="BD795" s="14"/>
      <c r="BE795" s="14"/>
    </row>
    <row r="796" spans="1:57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  <c r="AY796" s="14"/>
      <c r="AZ796" s="14"/>
      <c r="BA796" s="14"/>
      <c r="BB796" s="14"/>
      <c r="BC796" s="14"/>
      <c r="BD796" s="14"/>
      <c r="BE796" s="14"/>
    </row>
    <row r="797" spans="1:57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  <c r="AY797" s="14"/>
      <c r="AZ797" s="14"/>
      <c r="BA797" s="14"/>
      <c r="BB797" s="14"/>
      <c r="BC797" s="14"/>
      <c r="BD797" s="14"/>
      <c r="BE797" s="14"/>
    </row>
    <row r="798" spans="1:57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  <c r="AY798" s="14"/>
      <c r="AZ798" s="14"/>
      <c r="BA798" s="14"/>
      <c r="BB798" s="14"/>
      <c r="BC798" s="14"/>
      <c r="BD798" s="14"/>
      <c r="BE798" s="14"/>
    </row>
    <row r="799" spans="1:57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  <c r="AY799" s="14"/>
      <c r="AZ799" s="14"/>
      <c r="BA799" s="14"/>
      <c r="BB799" s="14"/>
      <c r="BC799" s="14"/>
      <c r="BD799" s="14"/>
      <c r="BE799" s="14"/>
    </row>
    <row r="800" spans="1:57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  <c r="AY800" s="14"/>
      <c r="AZ800" s="14"/>
      <c r="BA800" s="14"/>
      <c r="BB800" s="14"/>
      <c r="BC800" s="14"/>
      <c r="BD800" s="14"/>
      <c r="BE800" s="14"/>
    </row>
    <row r="801" spans="1:57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  <c r="AY801" s="14"/>
      <c r="AZ801" s="14"/>
      <c r="BA801" s="14"/>
      <c r="BB801" s="14"/>
      <c r="BC801" s="14"/>
      <c r="BD801" s="14"/>
      <c r="BE801" s="14"/>
    </row>
    <row r="802" spans="1:57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  <c r="AY802" s="14"/>
      <c r="AZ802" s="14"/>
      <c r="BA802" s="14"/>
      <c r="BB802" s="14"/>
      <c r="BC802" s="14"/>
      <c r="BD802" s="14"/>
      <c r="BE802" s="14"/>
    </row>
    <row r="803" spans="1:57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  <c r="AY803" s="14"/>
      <c r="AZ803" s="14"/>
      <c r="BA803" s="14"/>
      <c r="BB803" s="14"/>
      <c r="BC803" s="14"/>
      <c r="BD803" s="14"/>
      <c r="BE803" s="14"/>
    </row>
    <row r="804" spans="1:57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  <c r="AY804" s="14"/>
      <c r="AZ804" s="14"/>
      <c r="BA804" s="14"/>
      <c r="BB804" s="14"/>
      <c r="BC804" s="14"/>
      <c r="BD804" s="14"/>
      <c r="BE804" s="14"/>
    </row>
    <row r="805" spans="1:57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  <c r="AY805" s="14"/>
      <c r="AZ805" s="14"/>
      <c r="BA805" s="14"/>
      <c r="BB805" s="14"/>
      <c r="BC805" s="14"/>
      <c r="BD805" s="14"/>
      <c r="BE805" s="14"/>
    </row>
    <row r="806" spans="1:57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  <c r="AY806" s="14"/>
      <c r="AZ806" s="14"/>
      <c r="BA806" s="14"/>
      <c r="BB806" s="14"/>
      <c r="BC806" s="14"/>
      <c r="BD806" s="14"/>
      <c r="BE806" s="14"/>
    </row>
    <row r="807" spans="1:57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  <c r="AY807" s="14"/>
      <c r="AZ807" s="14"/>
      <c r="BA807" s="14"/>
      <c r="BB807" s="14"/>
      <c r="BC807" s="14"/>
      <c r="BD807" s="14"/>
      <c r="BE807" s="14"/>
    </row>
    <row r="808" spans="1:57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  <c r="AY808" s="14"/>
      <c r="AZ808" s="14"/>
      <c r="BA808" s="14"/>
      <c r="BB808" s="14"/>
      <c r="BC808" s="14"/>
      <c r="BD808" s="14"/>
      <c r="BE808" s="14"/>
    </row>
    <row r="809" spans="1:57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  <c r="AY809" s="14"/>
      <c r="AZ809" s="14"/>
      <c r="BA809" s="14"/>
      <c r="BB809" s="14"/>
      <c r="BC809" s="14"/>
      <c r="BD809" s="14"/>
      <c r="BE809" s="14"/>
    </row>
    <row r="810" spans="1:57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  <c r="AY810" s="14"/>
      <c r="AZ810" s="14"/>
      <c r="BA810" s="14"/>
      <c r="BB810" s="14"/>
      <c r="BC810" s="14"/>
      <c r="BD810" s="14"/>
      <c r="BE810" s="14"/>
    </row>
    <row r="811" spans="1:57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  <c r="AY811" s="14"/>
      <c r="AZ811" s="14"/>
      <c r="BA811" s="14"/>
      <c r="BB811" s="14"/>
      <c r="BC811" s="14"/>
      <c r="BD811" s="14"/>
      <c r="BE811" s="14"/>
    </row>
    <row r="812" spans="1:57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  <c r="AY812" s="14"/>
      <c r="AZ812" s="14"/>
      <c r="BA812" s="14"/>
      <c r="BB812" s="14"/>
      <c r="BC812" s="14"/>
      <c r="BD812" s="14"/>
      <c r="BE812" s="14"/>
    </row>
    <row r="813" spans="1:57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  <c r="AY813" s="14"/>
      <c r="AZ813" s="14"/>
      <c r="BA813" s="14"/>
      <c r="BB813" s="14"/>
      <c r="BC813" s="14"/>
      <c r="BD813" s="14"/>
      <c r="BE813" s="14"/>
    </row>
    <row r="814" spans="1:57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  <c r="AY814" s="14"/>
      <c r="AZ814" s="14"/>
      <c r="BA814" s="14"/>
      <c r="BB814" s="14"/>
      <c r="BC814" s="14"/>
      <c r="BD814" s="14"/>
      <c r="BE814" s="14"/>
    </row>
    <row r="815" spans="1:57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  <c r="AY815" s="14"/>
      <c r="AZ815" s="14"/>
      <c r="BA815" s="14"/>
      <c r="BB815" s="14"/>
      <c r="BC815" s="14"/>
      <c r="BD815" s="14"/>
      <c r="BE815" s="14"/>
    </row>
    <row r="816" spans="1:57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  <c r="AY816" s="14"/>
      <c r="AZ816" s="14"/>
      <c r="BA816" s="14"/>
      <c r="BB816" s="14"/>
      <c r="BC816" s="14"/>
      <c r="BD816" s="14"/>
      <c r="BE816" s="14"/>
    </row>
    <row r="817" spans="1:57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  <c r="AY817" s="14"/>
      <c r="AZ817" s="14"/>
      <c r="BA817" s="14"/>
      <c r="BB817" s="14"/>
      <c r="BC817" s="14"/>
      <c r="BD817" s="14"/>
      <c r="BE817" s="14"/>
    </row>
    <row r="818" spans="1:57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  <c r="AY818" s="14"/>
      <c r="AZ818" s="14"/>
      <c r="BA818" s="14"/>
      <c r="BB818" s="14"/>
      <c r="BC818" s="14"/>
      <c r="BD818" s="14"/>
      <c r="BE818" s="14"/>
    </row>
    <row r="819" spans="1:57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  <c r="AY819" s="14"/>
      <c r="AZ819" s="14"/>
      <c r="BA819" s="14"/>
      <c r="BB819" s="14"/>
      <c r="BC819" s="14"/>
      <c r="BD819" s="14"/>
      <c r="BE819" s="14"/>
    </row>
    <row r="820" spans="1:57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  <c r="AY820" s="14"/>
      <c r="AZ820" s="14"/>
      <c r="BA820" s="14"/>
      <c r="BB820" s="14"/>
      <c r="BC820" s="14"/>
      <c r="BD820" s="14"/>
      <c r="BE820" s="14"/>
    </row>
    <row r="821" spans="1:57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  <c r="AY821" s="14"/>
      <c r="AZ821" s="14"/>
      <c r="BA821" s="14"/>
      <c r="BB821" s="14"/>
      <c r="BC821" s="14"/>
      <c r="BD821" s="14"/>
      <c r="BE821" s="14"/>
    </row>
    <row r="822" spans="1:57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  <c r="AY822" s="14"/>
      <c r="AZ822" s="14"/>
      <c r="BA822" s="14"/>
      <c r="BB822" s="14"/>
      <c r="BC822" s="14"/>
      <c r="BD822" s="14"/>
      <c r="BE822" s="14"/>
    </row>
    <row r="823" spans="1:57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  <c r="AY823" s="14"/>
      <c r="AZ823" s="14"/>
      <c r="BA823" s="14"/>
      <c r="BB823" s="14"/>
      <c r="BC823" s="14"/>
      <c r="BD823" s="14"/>
      <c r="BE823" s="14"/>
    </row>
    <row r="824" spans="1:57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  <c r="AY824" s="14"/>
      <c r="AZ824" s="14"/>
      <c r="BA824" s="14"/>
      <c r="BB824" s="14"/>
      <c r="BC824" s="14"/>
      <c r="BD824" s="14"/>
      <c r="BE824" s="14"/>
    </row>
    <row r="825" spans="1:57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  <c r="AY825" s="14"/>
      <c r="AZ825" s="14"/>
      <c r="BA825" s="14"/>
      <c r="BB825" s="14"/>
      <c r="BC825" s="14"/>
      <c r="BD825" s="14"/>
      <c r="BE825" s="14"/>
    </row>
    <row r="826" spans="1:57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  <c r="AY826" s="14"/>
      <c r="AZ826" s="14"/>
      <c r="BA826" s="14"/>
      <c r="BB826" s="14"/>
      <c r="BC826" s="14"/>
      <c r="BD826" s="14"/>
      <c r="BE826" s="14"/>
    </row>
    <row r="827" spans="1:57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  <c r="AY827" s="14"/>
      <c r="AZ827" s="14"/>
      <c r="BA827" s="14"/>
      <c r="BB827" s="14"/>
      <c r="BC827" s="14"/>
      <c r="BD827" s="14"/>
      <c r="BE827" s="14"/>
    </row>
    <row r="828" spans="1:57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  <c r="AY828" s="14"/>
      <c r="AZ828" s="14"/>
      <c r="BA828" s="14"/>
      <c r="BB828" s="14"/>
      <c r="BC828" s="14"/>
      <c r="BD828" s="14"/>
      <c r="BE828" s="14"/>
    </row>
    <row r="829" spans="1:57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  <c r="AY829" s="14"/>
      <c r="AZ829" s="14"/>
      <c r="BA829" s="14"/>
      <c r="BB829" s="14"/>
      <c r="BC829" s="14"/>
      <c r="BD829" s="14"/>
      <c r="BE829" s="14"/>
    </row>
    <row r="830" spans="1:57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  <c r="AY830" s="14"/>
      <c r="AZ830" s="14"/>
      <c r="BA830" s="14"/>
      <c r="BB830" s="14"/>
      <c r="BC830" s="14"/>
      <c r="BD830" s="14"/>
      <c r="BE830" s="14"/>
    </row>
    <row r="831" spans="1:57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  <c r="AY831" s="14"/>
      <c r="AZ831" s="14"/>
      <c r="BA831" s="14"/>
      <c r="BB831" s="14"/>
      <c r="BC831" s="14"/>
      <c r="BD831" s="14"/>
      <c r="BE831" s="14"/>
    </row>
    <row r="832" spans="1:57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  <c r="AY832" s="14"/>
      <c r="AZ832" s="14"/>
      <c r="BA832" s="14"/>
      <c r="BB832" s="14"/>
      <c r="BC832" s="14"/>
      <c r="BD832" s="14"/>
      <c r="BE832" s="14"/>
    </row>
    <row r="833" spans="1:57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  <c r="AY833" s="14"/>
      <c r="AZ833" s="14"/>
      <c r="BA833" s="14"/>
      <c r="BB833" s="14"/>
      <c r="BC833" s="14"/>
      <c r="BD833" s="14"/>
      <c r="BE833" s="14"/>
    </row>
    <row r="834" spans="1:57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  <c r="AY834" s="14"/>
      <c r="AZ834" s="14"/>
      <c r="BA834" s="14"/>
      <c r="BB834" s="14"/>
      <c r="BC834" s="14"/>
      <c r="BD834" s="14"/>
      <c r="BE834" s="14"/>
    </row>
    <row r="835" spans="1:57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  <c r="AY835" s="14"/>
      <c r="AZ835" s="14"/>
      <c r="BA835" s="14"/>
      <c r="BB835" s="14"/>
      <c r="BC835" s="14"/>
      <c r="BD835" s="14"/>
      <c r="BE835" s="14"/>
    </row>
    <row r="836" spans="1:57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  <c r="AY836" s="14"/>
      <c r="AZ836" s="14"/>
      <c r="BA836" s="14"/>
      <c r="BB836" s="14"/>
      <c r="BC836" s="14"/>
      <c r="BD836" s="14"/>
      <c r="BE836" s="14"/>
    </row>
    <row r="837" spans="1:57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  <c r="AY837" s="14"/>
      <c r="AZ837" s="14"/>
      <c r="BA837" s="14"/>
      <c r="BB837" s="14"/>
      <c r="BC837" s="14"/>
      <c r="BD837" s="14"/>
      <c r="BE837" s="14"/>
    </row>
    <row r="838" spans="1:57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  <c r="AY838" s="14"/>
      <c r="AZ838" s="14"/>
      <c r="BA838" s="14"/>
      <c r="BB838" s="14"/>
      <c r="BC838" s="14"/>
      <c r="BD838" s="14"/>
      <c r="BE838" s="14"/>
    </row>
    <row r="839" spans="1:57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  <c r="AY839" s="14"/>
      <c r="AZ839" s="14"/>
      <c r="BA839" s="14"/>
      <c r="BB839" s="14"/>
      <c r="BC839" s="14"/>
      <c r="BD839" s="14"/>
      <c r="BE839" s="14"/>
    </row>
    <row r="840" spans="1:57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  <c r="AY840" s="14"/>
      <c r="AZ840" s="14"/>
      <c r="BA840" s="14"/>
      <c r="BB840" s="14"/>
      <c r="BC840" s="14"/>
      <c r="BD840" s="14"/>
      <c r="BE840" s="14"/>
    </row>
    <row r="841" spans="1:57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  <c r="AY841" s="14"/>
      <c r="AZ841" s="14"/>
      <c r="BA841" s="14"/>
      <c r="BB841" s="14"/>
      <c r="BC841" s="14"/>
      <c r="BD841" s="14"/>
      <c r="BE841" s="14"/>
    </row>
    <row r="842" spans="1:57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  <c r="AY842" s="14"/>
      <c r="AZ842" s="14"/>
      <c r="BA842" s="14"/>
      <c r="BB842" s="14"/>
      <c r="BC842" s="14"/>
      <c r="BD842" s="14"/>
      <c r="BE842" s="14"/>
    </row>
    <row r="843" spans="1:57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  <c r="AY843" s="14"/>
      <c r="AZ843" s="14"/>
      <c r="BA843" s="14"/>
      <c r="BB843" s="14"/>
      <c r="BC843" s="14"/>
      <c r="BD843" s="14"/>
      <c r="BE843" s="14"/>
    </row>
    <row r="844" spans="1:57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  <c r="AY844" s="14"/>
      <c r="AZ844" s="14"/>
      <c r="BA844" s="14"/>
      <c r="BB844" s="14"/>
      <c r="BC844" s="14"/>
      <c r="BD844" s="14"/>
      <c r="BE844" s="14"/>
    </row>
    <row r="845" spans="1:57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  <c r="AY845" s="14"/>
      <c r="AZ845" s="14"/>
      <c r="BA845" s="14"/>
      <c r="BB845" s="14"/>
      <c r="BC845" s="14"/>
      <c r="BD845" s="14"/>
      <c r="BE845" s="14"/>
    </row>
    <row r="846" spans="1:57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  <c r="AY846" s="14"/>
      <c r="AZ846" s="14"/>
      <c r="BA846" s="14"/>
      <c r="BB846" s="14"/>
      <c r="BC846" s="14"/>
      <c r="BD846" s="14"/>
      <c r="BE846" s="14"/>
    </row>
    <row r="847" spans="1:57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  <c r="AY847" s="14"/>
      <c r="AZ847" s="14"/>
      <c r="BA847" s="14"/>
      <c r="BB847" s="14"/>
      <c r="BC847" s="14"/>
      <c r="BD847" s="14"/>
      <c r="BE847" s="14"/>
    </row>
    <row r="848" spans="1:57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  <c r="AY848" s="14"/>
      <c r="AZ848" s="14"/>
      <c r="BA848" s="14"/>
      <c r="BB848" s="14"/>
      <c r="BC848" s="14"/>
      <c r="BD848" s="14"/>
      <c r="BE848" s="14"/>
    </row>
    <row r="849" spans="1:57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  <c r="AY849" s="14"/>
      <c r="AZ849" s="14"/>
      <c r="BA849" s="14"/>
      <c r="BB849" s="14"/>
      <c r="BC849" s="14"/>
      <c r="BD849" s="14"/>
      <c r="BE849" s="14"/>
    </row>
    <row r="850" spans="1:57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  <c r="AY850" s="14"/>
      <c r="AZ850" s="14"/>
      <c r="BA850" s="14"/>
      <c r="BB850" s="14"/>
      <c r="BC850" s="14"/>
      <c r="BD850" s="14"/>
      <c r="BE850" s="14"/>
    </row>
    <row r="851" spans="1:57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  <c r="AY851" s="14"/>
      <c r="AZ851" s="14"/>
      <c r="BA851" s="14"/>
      <c r="BB851" s="14"/>
      <c r="BC851" s="14"/>
      <c r="BD851" s="14"/>
      <c r="BE851" s="14"/>
    </row>
    <row r="852" spans="1:57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  <c r="AY852" s="14"/>
      <c r="AZ852" s="14"/>
      <c r="BA852" s="14"/>
      <c r="BB852" s="14"/>
      <c r="BC852" s="14"/>
      <c r="BD852" s="14"/>
      <c r="BE852" s="14"/>
    </row>
    <row r="853" spans="1:57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  <c r="AY853" s="14"/>
      <c r="AZ853" s="14"/>
      <c r="BA853" s="14"/>
      <c r="BB853" s="14"/>
      <c r="BC853" s="14"/>
      <c r="BD853" s="14"/>
      <c r="BE853" s="14"/>
    </row>
    <row r="854" spans="1:57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  <c r="AY854" s="14"/>
      <c r="AZ854" s="14"/>
      <c r="BA854" s="14"/>
      <c r="BB854" s="14"/>
      <c r="BC854" s="14"/>
      <c r="BD854" s="14"/>
      <c r="BE854" s="14"/>
    </row>
    <row r="855" spans="1:57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  <c r="AY855" s="14"/>
      <c r="AZ855" s="14"/>
      <c r="BA855" s="14"/>
      <c r="BB855" s="14"/>
      <c r="BC855" s="14"/>
      <c r="BD855" s="14"/>
      <c r="BE855" s="14"/>
    </row>
    <row r="856" spans="1:57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  <c r="AY856" s="14"/>
      <c r="AZ856" s="14"/>
      <c r="BA856" s="14"/>
      <c r="BB856" s="14"/>
      <c r="BC856" s="14"/>
      <c r="BD856" s="14"/>
      <c r="BE856" s="14"/>
    </row>
    <row r="857" spans="1:57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  <c r="AY857" s="14"/>
      <c r="AZ857" s="14"/>
      <c r="BA857" s="14"/>
      <c r="BB857" s="14"/>
      <c r="BC857" s="14"/>
      <c r="BD857" s="14"/>
      <c r="BE857" s="14"/>
    </row>
    <row r="858" spans="1:57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  <c r="AY858" s="14"/>
      <c r="AZ858" s="14"/>
      <c r="BA858" s="14"/>
      <c r="BB858" s="14"/>
      <c r="BC858" s="14"/>
      <c r="BD858" s="14"/>
      <c r="BE858" s="14"/>
    </row>
    <row r="859" spans="1:57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  <c r="AY859" s="14"/>
      <c r="AZ859" s="14"/>
      <c r="BA859" s="14"/>
      <c r="BB859" s="14"/>
      <c r="BC859" s="14"/>
      <c r="BD859" s="14"/>
      <c r="BE859" s="14"/>
    </row>
    <row r="860" spans="1:57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  <c r="AY860" s="14"/>
      <c r="AZ860" s="14"/>
      <c r="BA860" s="14"/>
      <c r="BB860" s="14"/>
      <c r="BC860" s="14"/>
      <c r="BD860" s="14"/>
      <c r="BE860" s="14"/>
    </row>
    <row r="861" spans="1:57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  <c r="AY861" s="14"/>
      <c r="AZ861" s="14"/>
      <c r="BA861" s="14"/>
      <c r="BB861" s="14"/>
      <c r="BC861" s="14"/>
      <c r="BD861" s="14"/>
      <c r="BE861" s="14"/>
    </row>
    <row r="862" spans="1:57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  <c r="AY862" s="14"/>
      <c r="AZ862" s="14"/>
      <c r="BA862" s="14"/>
      <c r="BB862" s="14"/>
      <c r="BC862" s="14"/>
      <c r="BD862" s="14"/>
      <c r="BE862" s="14"/>
    </row>
    <row r="863" spans="1:57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  <c r="AY863" s="14"/>
      <c r="AZ863" s="14"/>
      <c r="BA863" s="14"/>
      <c r="BB863" s="14"/>
      <c r="BC863" s="14"/>
      <c r="BD863" s="14"/>
      <c r="BE863" s="14"/>
    </row>
    <row r="864" spans="1:57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  <c r="AY864" s="14"/>
      <c r="AZ864" s="14"/>
      <c r="BA864" s="14"/>
      <c r="BB864" s="14"/>
      <c r="BC864" s="14"/>
      <c r="BD864" s="14"/>
      <c r="BE864" s="14"/>
    </row>
    <row r="865" spans="1:57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  <c r="AY865" s="14"/>
      <c r="AZ865" s="14"/>
      <c r="BA865" s="14"/>
      <c r="BB865" s="14"/>
      <c r="BC865" s="14"/>
      <c r="BD865" s="14"/>
      <c r="BE865" s="14"/>
    </row>
    <row r="866" spans="1:57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  <c r="AY866" s="14"/>
      <c r="AZ866" s="14"/>
      <c r="BA866" s="14"/>
      <c r="BB866" s="14"/>
      <c r="BC866" s="14"/>
      <c r="BD866" s="14"/>
      <c r="BE866" s="14"/>
    </row>
    <row r="867" spans="1:57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  <c r="AY867" s="14"/>
      <c r="AZ867" s="14"/>
      <c r="BA867" s="14"/>
      <c r="BB867" s="14"/>
      <c r="BC867" s="14"/>
      <c r="BD867" s="14"/>
      <c r="BE867" s="14"/>
    </row>
    <row r="868" spans="1:57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  <c r="AY868" s="14"/>
      <c r="AZ868" s="14"/>
      <c r="BA868" s="14"/>
      <c r="BB868" s="14"/>
      <c r="BC868" s="14"/>
      <c r="BD868" s="14"/>
      <c r="BE868" s="14"/>
    </row>
    <row r="869" spans="1:57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  <c r="AY869" s="14"/>
      <c r="AZ869" s="14"/>
      <c r="BA869" s="14"/>
      <c r="BB869" s="14"/>
      <c r="BC869" s="14"/>
      <c r="BD869" s="14"/>
      <c r="BE869" s="14"/>
    </row>
    <row r="870" spans="1:57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  <c r="AY870" s="14"/>
      <c r="AZ870" s="14"/>
      <c r="BA870" s="14"/>
      <c r="BB870" s="14"/>
      <c r="BC870" s="14"/>
      <c r="BD870" s="14"/>
      <c r="BE870" s="14"/>
    </row>
    <row r="871" spans="1:57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  <c r="AY871" s="14"/>
      <c r="AZ871" s="14"/>
      <c r="BA871" s="14"/>
      <c r="BB871" s="14"/>
      <c r="BC871" s="14"/>
      <c r="BD871" s="14"/>
      <c r="BE871" s="14"/>
    </row>
    <row r="872" spans="1:57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  <c r="AY872" s="14"/>
      <c r="AZ872" s="14"/>
      <c r="BA872" s="14"/>
      <c r="BB872" s="14"/>
      <c r="BC872" s="14"/>
      <c r="BD872" s="14"/>
      <c r="BE872" s="14"/>
    </row>
    <row r="873" spans="1:57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  <c r="AY873" s="14"/>
      <c r="AZ873" s="14"/>
      <c r="BA873" s="14"/>
      <c r="BB873" s="14"/>
      <c r="BC873" s="14"/>
      <c r="BD873" s="14"/>
      <c r="BE873" s="14"/>
    </row>
    <row r="874" spans="1:57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  <c r="AY874" s="14"/>
      <c r="AZ874" s="14"/>
      <c r="BA874" s="14"/>
      <c r="BB874" s="14"/>
      <c r="BC874" s="14"/>
      <c r="BD874" s="14"/>
      <c r="BE874" s="14"/>
    </row>
    <row r="875" spans="1:57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  <c r="AY875" s="14"/>
      <c r="AZ875" s="14"/>
      <c r="BA875" s="14"/>
      <c r="BB875" s="14"/>
      <c r="BC875" s="14"/>
      <c r="BD875" s="14"/>
      <c r="BE875" s="14"/>
    </row>
    <row r="876" spans="1:57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  <c r="AY876" s="14"/>
      <c r="AZ876" s="14"/>
      <c r="BA876" s="14"/>
      <c r="BB876" s="14"/>
      <c r="BC876" s="14"/>
      <c r="BD876" s="14"/>
      <c r="BE876" s="14"/>
    </row>
    <row r="877" spans="1:57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  <c r="AY877" s="14"/>
      <c r="AZ877" s="14"/>
      <c r="BA877" s="14"/>
      <c r="BB877" s="14"/>
      <c r="BC877" s="14"/>
      <c r="BD877" s="14"/>
      <c r="BE877" s="14"/>
    </row>
    <row r="878" spans="1:57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  <c r="AY878" s="14"/>
      <c r="AZ878" s="14"/>
      <c r="BA878" s="14"/>
      <c r="BB878" s="14"/>
      <c r="BC878" s="14"/>
      <c r="BD878" s="14"/>
      <c r="BE878" s="14"/>
    </row>
    <row r="879" spans="1:57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  <c r="AY879" s="14"/>
      <c r="AZ879" s="14"/>
      <c r="BA879" s="14"/>
      <c r="BB879" s="14"/>
      <c r="BC879" s="14"/>
      <c r="BD879" s="14"/>
      <c r="BE879" s="14"/>
    </row>
    <row r="880" spans="1:57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  <c r="AY880" s="14"/>
      <c r="AZ880" s="14"/>
      <c r="BA880" s="14"/>
      <c r="BB880" s="14"/>
      <c r="BC880" s="14"/>
      <c r="BD880" s="14"/>
      <c r="BE880" s="14"/>
    </row>
    <row r="881" spans="1:57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  <c r="AY881" s="14"/>
      <c r="AZ881" s="14"/>
      <c r="BA881" s="14"/>
      <c r="BB881" s="14"/>
      <c r="BC881" s="14"/>
      <c r="BD881" s="14"/>
      <c r="BE881" s="14"/>
    </row>
    <row r="882" spans="1:57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  <c r="AY882" s="14"/>
      <c r="AZ882" s="14"/>
      <c r="BA882" s="14"/>
      <c r="BB882" s="14"/>
      <c r="BC882" s="14"/>
      <c r="BD882" s="14"/>
      <c r="BE882" s="14"/>
    </row>
    <row r="883" spans="1:57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  <c r="AY883" s="14"/>
      <c r="AZ883" s="14"/>
      <c r="BA883" s="14"/>
      <c r="BB883" s="14"/>
      <c r="BC883" s="14"/>
      <c r="BD883" s="14"/>
      <c r="BE883" s="14"/>
    </row>
    <row r="884" spans="1:57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  <c r="AY884" s="14"/>
      <c r="AZ884" s="14"/>
      <c r="BA884" s="14"/>
      <c r="BB884" s="14"/>
      <c r="BC884" s="14"/>
      <c r="BD884" s="14"/>
      <c r="BE884" s="14"/>
    </row>
    <row r="885" spans="1:57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  <c r="AY885" s="14"/>
      <c r="AZ885" s="14"/>
      <c r="BA885" s="14"/>
      <c r="BB885" s="14"/>
      <c r="BC885" s="14"/>
      <c r="BD885" s="14"/>
      <c r="BE885" s="14"/>
    </row>
    <row r="886" spans="1:57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  <c r="AY886" s="14"/>
      <c r="AZ886" s="14"/>
      <c r="BA886" s="14"/>
      <c r="BB886" s="14"/>
      <c r="BC886" s="14"/>
      <c r="BD886" s="14"/>
      <c r="BE886" s="14"/>
    </row>
    <row r="887" spans="1:57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  <c r="AY887" s="14"/>
      <c r="AZ887" s="14"/>
      <c r="BA887" s="14"/>
      <c r="BB887" s="14"/>
      <c r="BC887" s="14"/>
      <c r="BD887" s="14"/>
      <c r="BE887" s="14"/>
    </row>
    <row r="888" spans="1:57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  <c r="AY888" s="14"/>
      <c r="AZ888" s="14"/>
      <c r="BA888" s="14"/>
      <c r="BB888" s="14"/>
      <c r="BC888" s="14"/>
      <c r="BD888" s="14"/>
      <c r="BE888" s="14"/>
    </row>
    <row r="889" spans="1:57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  <c r="AY889" s="14"/>
      <c r="AZ889" s="14"/>
      <c r="BA889" s="14"/>
      <c r="BB889" s="14"/>
      <c r="BC889" s="14"/>
      <c r="BD889" s="14"/>
      <c r="BE889" s="14"/>
    </row>
    <row r="890" spans="1:57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  <c r="AY890" s="14"/>
      <c r="AZ890" s="14"/>
      <c r="BA890" s="14"/>
      <c r="BB890" s="14"/>
      <c r="BC890" s="14"/>
      <c r="BD890" s="14"/>
      <c r="BE890" s="14"/>
    </row>
    <row r="891" spans="1:57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  <c r="AY891" s="14"/>
      <c r="AZ891" s="14"/>
      <c r="BA891" s="14"/>
      <c r="BB891" s="14"/>
      <c r="BC891" s="14"/>
      <c r="BD891" s="14"/>
      <c r="BE891" s="14"/>
    </row>
    <row r="892" spans="1:57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  <c r="AY892" s="14"/>
      <c r="AZ892" s="14"/>
      <c r="BA892" s="14"/>
      <c r="BB892" s="14"/>
      <c r="BC892" s="14"/>
      <c r="BD892" s="14"/>
      <c r="BE892" s="14"/>
    </row>
    <row r="893" spans="1:57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  <c r="AY893" s="14"/>
      <c r="AZ893" s="14"/>
      <c r="BA893" s="14"/>
      <c r="BB893" s="14"/>
      <c r="BC893" s="14"/>
      <c r="BD893" s="14"/>
      <c r="BE893" s="14"/>
    </row>
    <row r="894" spans="1:57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  <c r="AY894" s="14"/>
      <c r="AZ894" s="14"/>
      <c r="BA894" s="14"/>
      <c r="BB894" s="14"/>
      <c r="BC894" s="14"/>
      <c r="BD894" s="14"/>
      <c r="BE894" s="14"/>
    </row>
    <row r="895" spans="1:57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  <c r="AY895" s="14"/>
      <c r="AZ895" s="14"/>
      <c r="BA895" s="14"/>
      <c r="BB895" s="14"/>
      <c r="BC895" s="14"/>
      <c r="BD895" s="14"/>
      <c r="BE895" s="14"/>
    </row>
    <row r="896" spans="1:57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  <c r="AY896" s="14"/>
      <c r="AZ896" s="14"/>
      <c r="BA896" s="14"/>
      <c r="BB896" s="14"/>
      <c r="BC896" s="14"/>
      <c r="BD896" s="14"/>
      <c r="BE896" s="14"/>
    </row>
    <row r="897" spans="1:57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  <c r="AY897" s="14"/>
      <c r="AZ897" s="14"/>
      <c r="BA897" s="14"/>
      <c r="BB897" s="14"/>
      <c r="BC897" s="14"/>
      <c r="BD897" s="14"/>
      <c r="BE897" s="14"/>
    </row>
    <row r="898" spans="1:57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  <c r="AY898" s="14"/>
      <c r="AZ898" s="14"/>
      <c r="BA898" s="14"/>
      <c r="BB898" s="14"/>
      <c r="BC898" s="14"/>
      <c r="BD898" s="14"/>
      <c r="BE898" s="14"/>
    </row>
    <row r="899" spans="1:57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  <c r="AY899" s="14"/>
      <c r="AZ899" s="14"/>
      <c r="BA899" s="14"/>
      <c r="BB899" s="14"/>
      <c r="BC899" s="14"/>
      <c r="BD899" s="14"/>
      <c r="BE899" s="14"/>
    </row>
    <row r="900" spans="1:57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  <c r="AY900" s="14"/>
      <c r="AZ900" s="14"/>
      <c r="BA900" s="14"/>
      <c r="BB900" s="14"/>
      <c r="BC900" s="14"/>
      <c r="BD900" s="14"/>
      <c r="BE900" s="14"/>
    </row>
    <row r="901" spans="1:57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  <c r="AY901" s="14"/>
      <c r="AZ901" s="14"/>
      <c r="BA901" s="14"/>
      <c r="BB901" s="14"/>
      <c r="BC901" s="14"/>
      <c r="BD901" s="14"/>
      <c r="BE901" s="14"/>
    </row>
    <row r="902" spans="1:57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  <c r="AY902" s="14"/>
      <c r="AZ902" s="14"/>
      <c r="BA902" s="14"/>
      <c r="BB902" s="14"/>
      <c r="BC902" s="14"/>
      <c r="BD902" s="14"/>
      <c r="BE902" s="14"/>
    </row>
    <row r="903" spans="1:57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  <c r="AY903" s="14"/>
      <c r="AZ903" s="14"/>
      <c r="BA903" s="14"/>
      <c r="BB903" s="14"/>
      <c r="BC903" s="14"/>
      <c r="BD903" s="14"/>
      <c r="BE903" s="14"/>
    </row>
    <row r="904" spans="1:57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  <c r="AY904" s="14"/>
      <c r="AZ904" s="14"/>
      <c r="BA904" s="14"/>
      <c r="BB904" s="14"/>
      <c r="BC904" s="14"/>
      <c r="BD904" s="14"/>
      <c r="BE904" s="14"/>
    </row>
    <row r="905" spans="1:57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  <c r="AY905" s="14"/>
      <c r="AZ905" s="14"/>
      <c r="BA905" s="14"/>
      <c r="BB905" s="14"/>
      <c r="BC905" s="14"/>
      <c r="BD905" s="14"/>
      <c r="BE905" s="14"/>
    </row>
    <row r="906" spans="1:57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  <c r="AY906" s="14"/>
      <c r="AZ906" s="14"/>
      <c r="BA906" s="14"/>
      <c r="BB906" s="14"/>
      <c r="BC906" s="14"/>
      <c r="BD906" s="14"/>
      <c r="BE906" s="14"/>
    </row>
    <row r="907" spans="1:57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  <c r="AY907" s="14"/>
      <c r="AZ907" s="14"/>
      <c r="BA907" s="14"/>
      <c r="BB907" s="14"/>
      <c r="BC907" s="14"/>
      <c r="BD907" s="14"/>
      <c r="BE907" s="14"/>
    </row>
    <row r="908" spans="1:57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  <c r="AY908" s="14"/>
      <c r="AZ908" s="14"/>
      <c r="BA908" s="14"/>
      <c r="BB908" s="14"/>
      <c r="BC908" s="14"/>
      <c r="BD908" s="14"/>
      <c r="BE908" s="14"/>
    </row>
    <row r="909" spans="1:57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  <c r="AY909" s="14"/>
      <c r="AZ909" s="14"/>
      <c r="BA909" s="14"/>
      <c r="BB909" s="14"/>
      <c r="BC909" s="14"/>
      <c r="BD909" s="14"/>
      <c r="BE909" s="14"/>
    </row>
    <row r="910" spans="1:57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  <c r="AY910" s="14"/>
      <c r="AZ910" s="14"/>
      <c r="BA910" s="14"/>
      <c r="BB910" s="14"/>
      <c r="BC910" s="14"/>
      <c r="BD910" s="14"/>
      <c r="BE910" s="14"/>
    </row>
    <row r="911" spans="1:57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  <c r="AY911" s="14"/>
      <c r="AZ911" s="14"/>
      <c r="BA911" s="14"/>
      <c r="BB911" s="14"/>
      <c r="BC911" s="14"/>
      <c r="BD911" s="14"/>
      <c r="BE911" s="14"/>
    </row>
    <row r="912" spans="1:57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  <c r="AY912" s="14"/>
      <c r="AZ912" s="14"/>
      <c r="BA912" s="14"/>
      <c r="BB912" s="14"/>
      <c r="BC912" s="14"/>
      <c r="BD912" s="14"/>
      <c r="BE912" s="14"/>
    </row>
    <row r="913" spans="1:57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  <c r="AY913" s="14"/>
      <c r="AZ913" s="14"/>
      <c r="BA913" s="14"/>
      <c r="BB913" s="14"/>
      <c r="BC913" s="14"/>
      <c r="BD913" s="14"/>
      <c r="BE913" s="14"/>
    </row>
    <row r="914" spans="1:57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  <c r="AY914" s="14"/>
      <c r="AZ914" s="14"/>
      <c r="BA914" s="14"/>
      <c r="BB914" s="14"/>
      <c r="BC914" s="14"/>
      <c r="BD914" s="14"/>
      <c r="BE914" s="14"/>
    </row>
    <row r="915" spans="1:57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  <c r="AY915" s="14"/>
      <c r="AZ915" s="14"/>
      <c r="BA915" s="14"/>
      <c r="BB915" s="14"/>
      <c r="BC915" s="14"/>
      <c r="BD915" s="14"/>
      <c r="BE915" s="14"/>
    </row>
    <row r="916" spans="1:57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  <c r="AY916" s="14"/>
      <c r="AZ916" s="14"/>
      <c r="BA916" s="14"/>
      <c r="BB916" s="14"/>
      <c r="BC916" s="14"/>
      <c r="BD916" s="14"/>
      <c r="BE916" s="14"/>
    </row>
    <row r="917" spans="1:57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  <c r="AY917" s="14"/>
      <c r="AZ917" s="14"/>
      <c r="BA917" s="14"/>
      <c r="BB917" s="14"/>
      <c r="BC917" s="14"/>
      <c r="BD917" s="14"/>
      <c r="BE917" s="14"/>
    </row>
    <row r="918" spans="1:57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  <c r="AY918" s="14"/>
      <c r="AZ918" s="14"/>
      <c r="BA918" s="14"/>
      <c r="BB918" s="14"/>
      <c r="BC918" s="14"/>
      <c r="BD918" s="14"/>
      <c r="BE918" s="14"/>
    </row>
    <row r="919" spans="1:57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  <c r="AY919" s="14"/>
      <c r="AZ919" s="14"/>
      <c r="BA919" s="14"/>
      <c r="BB919" s="14"/>
      <c r="BC919" s="14"/>
      <c r="BD919" s="14"/>
      <c r="BE919" s="14"/>
    </row>
    <row r="920" spans="1:57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  <c r="AY920" s="14"/>
      <c r="AZ920" s="14"/>
      <c r="BA920" s="14"/>
      <c r="BB920" s="14"/>
      <c r="BC920" s="14"/>
      <c r="BD920" s="14"/>
      <c r="BE920" s="14"/>
    </row>
    <row r="921" spans="1:57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  <c r="AY921" s="14"/>
      <c r="AZ921" s="14"/>
      <c r="BA921" s="14"/>
      <c r="BB921" s="14"/>
      <c r="BC921" s="14"/>
      <c r="BD921" s="14"/>
      <c r="BE921" s="14"/>
    </row>
    <row r="922" spans="1:57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  <c r="AY922" s="14"/>
      <c r="AZ922" s="14"/>
      <c r="BA922" s="14"/>
      <c r="BB922" s="14"/>
      <c r="BC922" s="14"/>
      <c r="BD922" s="14"/>
      <c r="BE922" s="14"/>
    </row>
    <row r="923" spans="1:57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  <c r="AY923" s="14"/>
      <c r="AZ923" s="14"/>
      <c r="BA923" s="14"/>
      <c r="BB923" s="14"/>
      <c r="BC923" s="14"/>
      <c r="BD923" s="14"/>
      <c r="BE923" s="14"/>
    </row>
    <row r="924" spans="1:57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  <c r="AY924" s="14"/>
      <c r="AZ924" s="14"/>
      <c r="BA924" s="14"/>
      <c r="BB924" s="14"/>
      <c r="BC924" s="14"/>
      <c r="BD924" s="14"/>
      <c r="BE924" s="14"/>
    </row>
    <row r="925" spans="1:57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  <c r="AY925" s="14"/>
      <c r="AZ925" s="14"/>
      <c r="BA925" s="14"/>
      <c r="BB925" s="14"/>
      <c r="BC925" s="14"/>
      <c r="BD925" s="14"/>
      <c r="BE925" s="14"/>
    </row>
    <row r="926" spans="1:57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  <c r="AY926" s="14"/>
      <c r="AZ926" s="14"/>
      <c r="BA926" s="14"/>
      <c r="BB926" s="14"/>
      <c r="BC926" s="14"/>
      <c r="BD926" s="14"/>
      <c r="BE926" s="14"/>
    </row>
    <row r="927" spans="1:57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  <c r="AY927" s="14"/>
      <c r="AZ927" s="14"/>
      <c r="BA927" s="14"/>
      <c r="BB927" s="14"/>
      <c r="BC927" s="14"/>
      <c r="BD927" s="14"/>
      <c r="BE927" s="14"/>
    </row>
    <row r="928" spans="1:57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  <c r="AY928" s="14"/>
      <c r="AZ928" s="14"/>
      <c r="BA928" s="14"/>
      <c r="BB928" s="14"/>
      <c r="BC928" s="14"/>
      <c r="BD928" s="14"/>
      <c r="BE928" s="14"/>
    </row>
    <row r="929" spans="1:57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  <c r="AY929" s="14"/>
      <c r="AZ929" s="14"/>
      <c r="BA929" s="14"/>
      <c r="BB929" s="14"/>
      <c r="BC929" s="14"/>
      <c r="BD929" s="14"/>
      <c r="BE929" s="14"/>
    </row>
    <row r="930" spans="1:57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  <c r="AY930" s="14"/>
      <c r="AZ930" s="14"/>
      <c r="BA930" s="14"/>
      <c r="BB930" s="14"/>
      <c r="BC930" s="14"/>
      <c r="BD930" s="14"/>
      <c r="BE930" s="14"/>
    </row>
    <row r="931" spans="1:57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  <c r="AY931" s="14"/>
      <c r="AZ931" s="14"/>
      <c r="BA931" s="14"/>
      <c r="BB931" s="14"/>
      <c r="BC931" s="14"/>
      <c r="BD931" s="14"/>
      <c r="BE931" s="14"/>
    </row>
    <row r="932" spans="1:57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  <c r="AY932" s="14"/>
      <c r="AZ932" s="14"/>
      <c r="BA932" s="14"/>
      <c r="BB932" s="14"/>
      <c r="BC932" s="14"/>
      <c r="BD932" s="14"/>
      <c r="BE932" s="14"/>
    </row>
    <row r="933" spans="1:57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  <c r="AY933" s="14"/>
      <c r="AZ933" s="14"/>
      <c r="BA933" s="14"/>
      <c r="BB933" s="14"/>
      <c r="BC933" s="14"/>
      <c r="BD933" s="14"/>
      <c r="BE933" s="14"/>
    </row>
    <row r="934" spans="1:57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  <c r="AY934" s="14"/>
      <c r="AZ934" s="14"/>
      <c r="BA934" s="14"/>
      <c r="BB934" s="14"/>
      <c r="BC934" s="14"/>
      <c r="BD934" s="14"/>
      <c r="BE934" s="14"/>
    </row>
    <row r="935" spans="1:57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  <c r="AY935" s="14"/>
      <c r="AZ935" s="14"/>
      <c r="BA935" s="14"/>
      <c r="BB935" s="14"/>
      <c r="BC935" s="14"/>
      <c r="BD935" s="14"/>
      <c r="BE935" s="14"/>
    </row>
    <row r="936" spans="1:57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  <c r="AY936" s="14"/>
      <c r="AZ936" s="14"/>
      <c r="BA936" s="14"/>
      <c r="BB936" s="14"/>
      <c r="BC936" s="14"/>
      <c r="BD936" s="14"/>
      <c r="BE936" s="14"/>
    </row>
    <row r="937" spans="1:57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  <c r="AY937" s="14"/>
      <c r="AZ937" s="14"/>
      <c r="BA937" s="14"/>
      <c r="BB937" s="14"/>
      <c r="BC937" s="14"/>
      <c r="BD937" s="14"/>
      <c r="BE937" s="14"/>
    </row>
    <row r="938" spans="1:57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  <c r="AY938" s="14"/>
      <c r="AZ938" s="14"/>
      <c r="BA938" s="14"/>
      <c r="BB938" s="14"/>
      <c r="BC938" s="14"/>
      <c r="BD938" s="14"/>
      <c r="BE938" s="14"/>
    </row>
    <row r="939" spans="1:57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  <c r="AY939" s="14"/>
      <c r="AZ939" s="14"/>
      <c r="BA939" s="14"/>
      <c r="BB939" s="14"/>
      <c r="BC939" s="14"/>
      <c r="BD939" s="14"/>
      <c r="BE939" s="14"/>
    </row>
    <row r="940" spans="1:57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  <c r="AY940" s="14"/>
      <c r="AZ940" s="14"/>
      <c r="BA940" s="14"/>
      <c r="BB940" s="14"/>
      <c r="BC940" s="14"/>
      <c r="BD940" s="14"/>
      <c r="BE940" s="14"/>
    </row>
    <row r="941" spans="1:57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  <c r="AY941" s="14"/>
      <c r="AZ941" s="14"/>
      <c r="BA941" s="14"/>
      <c r="BB941" s="14"/>
      <c r="BC941" s="14"/>
      <c r="BD941" s="14"/>
      <c r="BE941" s="14"/>
    </row>
    <row r="942" spans="1:57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  <c r="AY942" s="14"/>
      <c r="AZ942" s="14"/>
      <c r="BA942" s="14"/>
      <c r="BB942" s="14"/>
      <c r="BC942" s="14"/>
      <c r="BD942" s="14"/>
      <c r="BE942" s="14"/>
    </row>
    <row r="943" spans="1:57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  <c r="AY943" s="14"/>
      <c r="AZ943" s="14"/>
      <c r="BA943" s="14"/>
      <c r="BB943" s="14"/>
      <c r="BC943" s="14"/>
      <c r="BD943" s="14"/>
      <c r="BE943" s="14"/>
    </row>
    <row r="944" spans="1:57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  <c r="AY944" s="14"/>
      <c r="AZ944" s="14"/>
      <c r="BA944" s="14"/>
      <c r="BB944" s="14"/>
      <c r="BC944" s="14"/>
      <c r="BD944" s="14"/>
      <c r="BE944" s="14"/>
    </row>
    <row r="945" spans="1:57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  <c r="AY945" s="14"/>
      <c r="AZ945" s="14"/>
      <c r="BA945" s="14"/>
      <c r="BB945" s="14"/>
      <c r="BC945" s="14"/>
      <c r="BD945" s="14"/>
      <c r="BE945" s="14"/>
    </row>
    <row r="946" spans="1:57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  <c r="AY946" s="14"/>
      <c r="AZ946" s="14"/>
      <c r="BA946" s="14"/>
      <c r="BB946" s="14"/>
      <c r="BC946" s="14"/>
      <c r="BD946" s="14"/>
      <c r="BE946" s="14"/>
    </row>
    <row r="947" spans="1:57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  <c r="AY947" s="14"/>
      <c r="AZ947" s="14"/>
      <c r="BA947" s="14"/>
      <c r="BB947" s="14"/>
      <c r="BC947" s="14"/>
      <c r="BD947" s="14"/>
      <c r="BE947" s="14"/>
    </row>
    <row r="948" spans="1:57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  <c r="AY948" s="14"/>
      <c r="AZ948" s="14"/>
      <c r="BA948" s="14"/>
      <c r="BB948" s="14"/>
      <c r="BC948" s="14"/>
      <c r="BD948" s="14"/>
      <c r="BE948" s="14"/>
    </row>
    <row r="949" spans="1:57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  <c r="AY949" s="14"/>
      <c r="AZ949" s="14"/>
      <c r="BA949" s="14"/>
      <c r="BB949" s="14"/>
      <c r="BC949" s="14"/>
      <c r="BD949" s="14"/>
      <c r="BE949" s="14"/>
    </row>
    <row r="950" spans="1:57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  <c r="AY950" s="14"/>
      <c r="AZ950" s="14"/>
      <c r="BA950" s="14"/>
      <c r="BB950" s="14"/>
      <c r="BC950" s="14"/>
      <c r="BD950" s="14"/>
      <c r="BE950" s="14"/>
    </row>
    <row r="951" spans="1:57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  <c r="AY951" s="14"/>
      <c r="AZ951" s="14"/>
      <c r="BA951" s="14"/>
      <c r="BB951" s="14"/>
      <c r="BC951" s="14"/>
      <c r="BD951" s="14"/>
      <c r="BE951" s="14"/>
    </row>
    <row r="952" spans="1:57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  <c r="AY952" s="14"/>
      <c r="AZ952" s="14"/>
      <c r="BA952" s="14"/>
      <c r="BB952" s="14"/>
      <c r="BC952" s="14"/>
      <c r="BD952" s="14"/>
      <c r="BE952" s="14"/>
    </row>
    <row r="953" spans="1:57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  <c r="AY953" s="14"/>
      <c r="AZ953" s="14"/>
      <c r="BA953" s="14"/>
      <c r="BB953" s="14"/>
      <c r="BC953" s="14"/>
      <c r="BD953" s="14"/>
      <c r="BE953" s="14"/>
    </row>
    <row r="954" spans="1:57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  <c r="AY954" s="14"/>
      <c r="AZ954" s="14"/>
      <c r="BA954" s="14"/>
      <c r="BB954" s="14"/>
      <c r="BC954" s="14"/>
      <c r="BD954" s="14"/>
      <c r="BE954" s="14"/>
    </row>
    <row r="955" spans="1:57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  <c r="AY955" s="14"/>
      <c r="AZ955" s="14"/>
      <c r="BA955" s="14"/>
      <c r="BB955" s="14"/>
      <c r="BC955" s="14"/>
      <c r="BD955" s="14"/>
      <c r="BE955" s="14"/>
    </row>
    <row r="956" spans="1:57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  <c r="AY956" s="14"/>
      <c r="AZ956" s="14"/>
      <c r="BA956" s="14"/>
      <c r="BB956" s="14"/>
      <c r="BC956" s="14"/>
      <c r="BD956" s="14"/>
      <c r="BE956" s="14"/>
    </row>
    <row r="957" spans="1:57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  <c r="AY957" s="14"/>
      <c r="AZ957" s="14"/>
      <c r="BA957" s="14"/>
      <c r="BB957" s="14"/>
      <c r="BC957" s="14"/>
      <c r="BD957" s="14"/>
      <c r="BE957" s="14"/>
    </row>
    <row r="958" spans="1:57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  <c r="AY958" s="14"/>
      <c r="AZ958" s="14"/>
      <c r="BA958" s="14"/>
      <c r="BB958" s="14"/>
      <c r="BC958" s="14"/>
      <c r="BD958" s="14"/>
      <c r="BE958" s="14"/>
    </row>
    <row r="959" spans="1:57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  <c r="AY959" s="14"/>
      <c r="AZ959" s="14"/>
      <c r="BA959" s="14"/>
      <c r="BB959" s="14"/>
      <c r="BC959" s="14"/>
      <c r="BD959" s="14"/>
      <c r="BE959" s="14"/>
    </row>
    <row r="960" spans="1:57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  <c r="AY960" s="14"/>
      <c r="AZ960" s="14"/>
      <c r="BA960" s="14"/>
      <c r="BB960" s="14"/>
      <c r="BC960" s="14"/>
      <c r="BD960" s="14"/>
      <c r="BE960" s="14"/>
    </row>
    <row r="961" spans="1:57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  <c r="AY961" s="14"/>
      <c r="AZ961" s="14"/>
      <c r="BA961" s="14"/>
      <c r="BB961" s="14"/>
      <c r="BC961" s="14"/>
      <c r="BD961" s="14"/>
      <c r="BE961" s="14"/>
    </row>
    <row r="962" spans="1:57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  <c r="AY962" s="14"/>
      <c r="AZ962" s="14"/>
      <c r="BA962" s="14"/>
      <c r="BB962" s="14"/>
      <c r="BC962" s="14"/>
      <c r="BD962" s="14"/>
      <c r="BE962" s="14"/>
    </row>
    <row r="963" spans="1:57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  <c r="AX963" s="14"/>
      <c r="AY963" s="14"/>
      <c r="AZ963" s="14"/>
      <c r="BA963" s="14"/>
      <c r="BB963" s="14"/>
      <c r="BC963" s="14"/>
      <c r="BD963" s="14"/>
      <c r="BE963" s="14"/>
    </row>
    <row r="964" spans="1:57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  <c r="AX964" s="14"/>
      <c r="AY964" s="14"/>
      <c r="AZ964" s="14"/>
      <c r="BA964" s="14"/>
      <c r="BB964" s="14"/>
      <c r="BC964" s="14"/>
      <c r="BD964" s="14"/>
      <c r="BE964" s="14"/>
    </row>
    <row r="965" spans="1:57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  <c r="AX965" s="14"/>
      <c r="AY965" s="14"/>
      <c r="AZ965" s="14"/>
      <c r="BA965" s="14"/>
      <c r="BB965" s="14"/>
      <c r="BC965" s="14"/>
      <c r="BD965" s="14"/>
      <c r="BE965" s="14"/>
    </row>
    <row r="966" spans="1:57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  <c r="AX966" s="14"/>
      <c r="AY966" s="14"/>
      <c r="AZ966" s="14"/>
      <c r="BA966" s="14"/>
      <c r="BB966" s="14"/>
      <c r="BC966" s="14"/>
      <c r="BD966" s="14"/>
      <c r="BE966" s="14"/>
    </row>
    <row r="967" spans="1:57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  <c r="AX967" s="14"/>
      <c r="AY967" s="14"/>
      <c r="AZ967" s="14"/>
      <c r="BA967" s="14"/>
      <c r="BB967" s="14"/>
      <c r="BC967" s="14"/>
      <c r="BD967" s="14"/>
      <c r="BE967" s="14"/>
    </row>
    <row r="968" spans="1:57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  <c r="AX968" s="14"/>
      <c r="AY968" s="14"/>
      <c r="AZ968" s="14"/>
      <c r="BA968" s="14"/>
      <c r="BB968" s="14"/>
      <c r="BC968" s="14"/>
      <c r="BD968" s="14"/>
      <c r="BE968" s="14"/>
    </row>
    <row r="969" spans="1:57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  <c r="AX969" s="14"/>
      <c r="AY969" s="14"/>
      <c r="AZ969" s="14"/>
      <c r="BA969" s="14"/>
      <c r="BB969" s="14"/>
      <c r="BC969" s="14"/>
      <c r="BD969" s="14"/>
      <c r="BE969" s="14"/>
    </row>
    <row r="970" spans="1:57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  <c r="AX970" s="14"/>
      <c r="AY970" s="14"/>
      <c r="AZ970" s="14"/>
      <c r="BA970" s="14"/>
      <c r="BB970" s="14"/>
      <c r="BC970" s="14"/>
      <c r="BD970" s="14"/>
      <c r="BE970" s="14"/>
    </row>
    <row r="971" spans="1:57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  <c r="AX971" s="14"/>
      <c r="AY971" s="14"/>
      <c r="AZ971" s="14"/>
      <c r="BA971" s="14"/>
      <c r="BB971" s="14"/>
      <c r="BC971" s="14"/>
      <c r="BD971" s="14"/>
      <c r="BE971" s="14"/>
    </row>
    <row r="972" spans="1:57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  <c r="AX972" s="14"/>
      <c r="AY972" s="14"/>
      <c r="AZ972" s="14"/>
      <c r="BA972" s="14"/>
      <c r="BB972" s="14"/>
      <c r="BC972" s="14"/>
      <c r="BD972" s="14"/>
      <c r="BE972" s="14"/>
    </row>
    <row r="973" spans="1:57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  <c r="AX973" s="14"/>
      <c r="AY973" s="14"/>
      <c r="AZ973" s="14"/>
      <c r="BA973" s="14"/>
      <c r="BB973" s="14"/>
      <c r="BC973" s="14"/>
      <c r="BD973" s="14"/>
      <c r="BE973" s="14"/>
    </row>
    <row r="974" spans="1:57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  <c r="AX974" s="14"/>
      <c r="AY974" s="14"/>
      <c r="AZ974" s="14"/>
      <c r="BA974" s="14"/>
      <c r="BB974" s="14"/>
      <c r="BC974" s="14"/>
      <c r="BD974" s="14"/>
      <c r="BE974" s="14"/>
    </row>
    <row r="975" spans="1:57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  <c r="AX975" s="14"/>
      <c r="AY975" s="14"/>
      <c r="AZ975" s="14"/>
      <c r="BA975" s="14"/>
      <c r="BB975" s="14"/>
      <c r="BC975" s="14"/>
      <c r="BD975" s="14"/>
      <c r="BE975" s="14"/>
    </row>
    <row r="976" spans="1:57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  <c r="AX976" s="14"/>
      <c r="AY976" s="14"/>
      <c r="AZ976" s="14"/>
      <c r="BA976" s="14"/>
      <c r="BB976" s="14"/>
      <c r="BC976" s="14"/>
      <c r="BD976" s="14"/>
      <c r="BE976" s="14"/>
    </row>
    <row r="977" spans="1:57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  <c r="AX977" s="14"/>
      <c r="AY977" s="14"/>
      <c r="AZ977" s="14"/>
      <c r="BA977" s="14"/>
      <c r="BB977" s="14"/>
      <c r="BC977" s="14"/>
      <c r="BD977" s="14"/>
      <c r="BE977" s="14"/>
    </row>
    <row r="978" spans="1:57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  <c r="AX978" s="14"/>
      <c r="AY978" s="14"/>
      <c r="AZ978" s="14"/>
      <c r="BA978" s="14"/>
      <c r="BB978" s="14"/>
      <c r="BC978" s="14"/>
      <c r="BD978" s="14"/>
      <c r="BE978" s="14"/>
    </row>
    <row r="979" spans="1:57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  <c r="AX979" s="14"/>
      <c r="AY979" s="14"/>
      <c r="AZ979" s="14"/>
      <c r="BA979" s="14"/>
      <c r="BB979" s="14"/>
      <c r="BC979" s="14"/>
      <c r="BD979" s="14"/>
      <c r="BE979" s="14"/>
    </row>
    <row r="980" spans="1:57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  <c r="AX980" s="14"/>
      <c r="AY980" s="14"/>
      <c r="AZ980" s="14"/>
      <c r="BA980" s="14"/>
      <c r="BB980" s="14"/>
      <c r="BC980" s="14"/>
      <c r="BD980" s="14"/>
      <c r="BE980" s="14"/>
    </row>
    <row r="981" spans="1:57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  <c r="AX981" s="14"/>
      <c r="AY981" s="14"/>
      <c r="AZ981" s="14"/>
      <c r="BA981" s="14"/>
      <c r="BB981" s="14"/>
      <c r="BC981" s="14"/>
      <c r="BD981" s="14"/>
      <c r="BE981" s="14"/>
    </row>
    <row r="982" spans="1:57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  <c r="AX982" s="14"/>
      <c r="AY982" s="14"/>
      <c r="AZ982" s="14"/>
      <c r="BA982" s="14"/>
      <c r="BB982" s="14"/>
      <c r="BC982" s="14"/>
      <c r="BD982" s="14"/>
      <c r="BE982" s="14"/>
    </row>
    <row r="983" spans="1:57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  <c r="AX983" s="14"/>
      <c r="AY983" s="14"/>
      <c r="AZ983" s="14"/>
      <c r="BA983" s="14"/>
      <c r="BB983" s="14"/>
      <c r="BC983" s="14"/>
      <c r="BD983" s="14"/>
      <c r="BE983" s="14"/>
    </row>
    <row r="984" spans="1:57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  <c r="AX984" s="14"/>
      <c r="AY984" s="14"/>
      <c r="AZ984" s="14"/>
      <c r="BA984" s="14"/>
      <c r="BB984" s="14"/>
      <c r="BC984" s="14"/>
      <c r="BD984" s="14"/>
      <c r="BE984" s="14"/>
    </row>
    <row r="985" spans="1:57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  <c r="AX985" s="14"/>
      <c r="AY985" s="14"/>
      <c r="AZ985" s="14"/>
      <c r="BA985" s="14"/>
      <c r="BB985" s="14"/>
      <c r="BC985" s="14"/>
      <c r="BD985" s="14"/>
      <c r="BE985" s="14"/>
    </row>
    <row r="986" spans="1:57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  <c r="AX986" s="14"/>
      <c r="AY986" s="14"/>
      <c r="AZ986" s="14"/>
      <c r="BA986" s="14"/>
      <c r="BB986" s="14"/>
      <c r="BC986" s="14"/>
      <c r="BD986" s="14"/>
      <c r="BE986" s="14"/>
    </row>
    <row r="987" spans="1:57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  <c r="AX987" s="14"/>
      <c r="AY987" s="14"/>
      <c r="AZ987" s="14"/>
      <c r="BA987" s="14"/>
      <c r="BB987" s="14"/>
      <c r="BC987" s="14"/>
      <c r="BD987" s="14"/>
      <c r="BE987" s="14"/>
    </row>
    <row r="988" spans="1:57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  <c r="AX988" s="14"/>
      <c r="AY988" s="14"/>
      <c r="AZ988" s="14"/>
      <c r="BA988" s="14"/>
      <c r="BB988" s="14"/>
      <c r="BC988" s="14"/>
      <c r="BD988" s="14"/>
      <c r="BE988" s="14"/>
    </row>
    <row r="989" spans="1:57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  <c r="AX989" s="14"/>
      <c r="AY989" s="14"/>
      <c r="AZ989" s="14"/>
      <c r="BA989" s="14"/>
      <c r="BB989" s="14"/>
      <c r="BC989" s="14"/>
      <c r="BD989" s="14"/>
      <c r="BE989" s="14"/>
    </row>
    <row r="990" spans="1:57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  <c r="AX990" s="14"/>
      <c r="AY990" s="14"/>
      <c r="AZ990" s="14"/>
      <c r="BA990" s="14"/>
      <c r="BB990" s="14"/>
      <c r="BC990" s="14"/>
      <c r="BD990" s="14"/>
      <c r="BE990" s="14"/>
    </row>
    <row r="991" spans="1:57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  <c r="AX991" s="14"/>
      <c r="AY991" s="14"/>
      <c r="AZ991" s="14"/>
      <c r="BA991" s="14"/>
      <c r="BB991" s="14"/>
      <c r="BC991" s="14"/>
      <c r="BD991" s="14"/>
      <c r="BE991" s="14"/>
    </row>
    <row r="992" spans="1:57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  <c r="AX992" s="14"/>
      <c r="AY992" s="14"/>
      <c r="AZ992" s="14"/>
      <c r="BA992" s="14"/>
      <c r="BB992" s="14"/>
      <c r="BC992" s="14"/>
      <c r="BD992" s="14"/>
      <c r="BE992" s="14"/>
    </row>
    <row r="993" spans="1:57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  <c r="AX993" s="14"/>
      <c r="AY993" s="14"/>
      <c r="AZ993" s="14"/>
      <c r="BA993" s="14"/>
      <c r="BB993" s="14"/>
      <c r="BC993" s="14"/>
      <c r="BD993" s="14"/>
      <c r="BE993" s="14"/>
    </row>
    <row r="994" spans="1:57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  <c r="AX994" s="14"/>
      <c r="AY994" s="14"/>
      <c r="AZ994" s="14"/>
      <c r="BA994" s="14"/>
      <c r="BB994" s="14"/>
      <c r="BC994" s="14"/>
      <c r="BD994" s="14"/>
      <c r="BE994" s="14"/>
    </row>
    <row r="995" spans="1:57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  <c r="AX995" s="14"/>
      <c r="AY995" s="14"/>
      <c r="AZ995" s="14"/>
      <c r="BA995" s="14"/>
      <c r="BB995" s="14"/>
      <c r="BC995" s="14"/>
      <c r="BD995" s="14"/>
      <c r="BE995" s="14"/>
    </row>
    <row r="996" spans="1:57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  <c r="AY996" s="14"/>
      <c r="AZ996" s="14"/>
      <c r="BA996" s="14"/>
      <c r="BB996" s="14"/>
      <c r="BC996" s="14"/>
      <c r="BD996" s="14"/>
      <c r="BE996" s="14"/>
    </row>
    <row r="997" spans="1:57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  <c r="AX997" s="14"/>
      <c r="AY997" s="14"/>
      <c r="AZ997" s="14"/>
      <c r="BA997" s="14"/>
      <c r="BB997" s="14"/>
      <c r="BC997" s="14"/>
      <c r="BD997" s="14"/>
      <c r="BE997" s="14"/>
    </row>
    <row r="998" spans="1:57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  <c r="AX998" s="14"/>
      <c r="AY998" s="14"/>
      <c r="AZ998" s="14"/>
      <c r="BA998" s="14"/>
      <c r="BB998" s="14"/>
      <c r="BC998" s="14"/>
      <c r="BD998" s="14"/>
      <c r="BE998" s="14"/>
    </row>
    <row r="999" spans="1:57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  <c r="AX999" s="14"/>
      <c r="AY999" s="14"/>
      <c r="AZ999" s="14"/>
      <c r="BA999" s="14"/>
      <c r="BB999" s="14"/>
      <c r="BC999" s="14"/>
      <c r="BD999" s="14"/>
      <c r="BE999" s="14"/>
    </row>
    <row r="1000" spans="1:57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  <c r="AX1000" s="14"/>
      <c r="AY1000" s="14"/>
      <c r="AZ1000" s="14"/>
      <c r="BA1000" s="14"/>
      <c r="BB1000" s="14"/>
      <c r="BC1000" s="14"/>
      <c r="BD1000" s="14"/>
      <c r="BE1000" s="14"/>
    </row>
  </sheetData>
  <conditionalFormatting sqref="D48:G52 D53:F55 D56:E56 D58:F63 D65:F88 G53:G60 M48">
    <cfRule type="cellIs" dxfId="10" priority="1" stopIfTrue="1" operator="lessThan">
      <formula>0</formula>
    </cfRule>
  </conditionalFormatting>
  <conditionalFormatting sqref="G44:AK44">
    <cfRule type="cellIs" dxfId="9" priority="2" stopIfTrue="1" operator="lessThan">
      <formula>0</formula>
    </cfRule>
  </conditionalFormatting>
  <pageMargins left="0.511811024" right="0.511811024" top="0.78740157499999996" bottom="0.78740157499999996" header="0" footer="0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400-000000000000}">
          <x14:formula1>
            <xm:f>Alimentos!$D$2:$D$438</xm:f>
          </x14:formula1>
          <xm:sqref>D15:D26</xm:sqref>
        </x14:dataValidation>
        <x14:dataValidation type="list" allowBlank="1" showErrorMessage="1" xr:uid="{00000000-0002-0000-0400-000001000000}">
          <x14:formula1>
            <xm:f>Exigências!$B$1:$B$395</xm:f>
          </x14:formula1>
          <xm:sqref>E7 H7:I7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A2:Z1000"/>
  <sheetViews>
    <sheetView showGridLines="0" workbookViewId="0"/>
  </sheetViews>
  <sheetFormatPr defaultColWidth="14.44140625" defaultRowHeight="15" customHeight="1"/>
  <cols>
    <col min="1" max="1" width="34.6640625" customWidth="1"/>
    <col min="2" max="3" width="9.44140625" customWidth="1"/>
    <col min="4" max="4" width="6.44140625" customWidth="1"/>
    <col min="5" max="5" width="1.88671875" customWidth="1"/>
    <col min="6" max="6" width="17" customWidth="1"/>
    <col min="7" max="7" width="9" customWidth="1"/>
    <col min="8" max="8" width="7.6640625" customWidth="1"/>
    <col min="9" max="10" width="8" customWidth="1"/>
    <col min="11" max="11" width="8.6640625" customWidth="1"/>
    <col min="12" max="12" width="7.6640625" customWidth="1"/>
    <col min="13" max="13" width="8" customWidth="1"/>
    <col min="14" max="14" width="10" customWidth="1"/>
    <col min="15" max="16" width="8" customWidth="1"/>
    <col min="17" max="17" width="8.44140625" customWidth="1"/>
    <col min="18" max="19" width="8" customWidth="1"/>
    <col min="20" max="20" width="9" customWidth="1"/>
    <col min="21" max="21" width="10" customWidth="1"/>
    <col min="22" max="22" width="9" customWidth="1"/>
    <col min="23" max="24" width="7.6640625" customWidth="1"/>
    <col min="25" max="26" width="9.109375" customWidth="1"/>
  </cols>
  <sheetData>
    <row r="2" spans="1:19" ht="15" customHeight="1">
      <c r="A2" s="402" t="s">
        <v>340</v>
      </c>
      <c r="B2" s="381"/>
      <c r="C2" s="248"/>
      <c r="D2" s="248"/>
      <c r="E2" s="403"/>
      <c r="F2" s="381"/>
      <c r="G2" s="381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</row>
    <row r="3" spans="1:19" ht="15" customHeight="1">
      <c r="A3" s="381"/>
      <c r="B3" s="381"/>
      <c r="E3" s="394"/>
      <c r="F3" s="381"/>
      <c r="G3" s="381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spans="1:19" ht="15" customHeight="1">
      <c r="A4" s="404" t="s">
        <v>341</v>
      </c>
      <c r="B4" s="381"/>
      <c r="E4" s="394"/>
      <c r="F4" s="381"/>
      <c r="G4" s="381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</row>
    <row r="5" spans="1:19" ht="15" customHeight="1">
      <c r="E5" s="394"/>
      <c r="F5" s="381"/>
      <c r="G5" s="381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</row>
    <row r="6" spans="1:19" ht="15" customHeight="1">
      <c r="E6" s="96"/>
      <c r="F6" s="96"/>
      <c r="G6" s="96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</row>
    <row r="7" spans="1:19" ht="15" customHeight="1">
      <c r="A7" s="395" t="s">
        <v>342</v>
      </c>
      <c r="B7" s="396"/>
      <c r="C7" s="396"/>
      <c r="D7" s="396"/>
      <c r="E7" s="396"/>
      <c r="F7" s="397"/>
      <c r="G7" s="96"/>
      <c r="H7" s="249"/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</row>
    <row r="8" spans="1:19" ht="15" customHeight="1">
      <c r="A8" s="383" t="s">
        <v>275</v>
      </c>
      <c r="B8" s="384"/>
      <c r="C8" s="385"/>
      <c r="D8" s="386" t="str">
        <f>'Check de dieta'!E3</f>
        <v>Messi do Yuri</v>
      </c>
      <c r="E8" s="384"/>
      <c r="F8" s="384"/>
      <c r="G8" s="96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49"/>
      <c r="S8" s="249"/>
    </row>
    <row r="9" spans="1:19" ht="15" customHeight="1">
      <c r="A9" s="387" t="s">
        <v>277</v>
      </c>
      <c r="B9" s="388"/>
      <c r="C9" s="389"/>
      <c r="D9" s="390">
        <f>'Check de dieta'!E4</f>
        <v>60</v>
      </c>
      <c r="E9" s="388"/>
      <c r="F9" s="388"/>
      <c r="G9" s="96"/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</row>
    <row r="10" spans="1:19" ht="15" customHeight="1">
      <c r="A10" s="387" t="s">
        <v>278</v>
      </c>
      <c r="B10" s="388"/>
      <c r="C10" s="389"/>
      <c r="D10" s="391" t="str">
        <f>'Check de dieta'!E5</f>
        <v>MM</v>
      </c>
      <c r="E10" s="388"/>
      <c r="F10" s="388"/>
      <c r="G10" s="96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</row>
    <row r="11" spans="1:19" ht="15" customHeight="1">
      <c r="A11" s="387" t="s">
        <v>280</v>
      </c>
      <c r="B11" s="388"/>
      <c r="C11" s="389"/>
      <c r="D11" s="390">
        <f>'Check de dieta'!E6</f>
        <v>345</v>
      </c>
      <c r="E11" s="388"/>
      <c r="F11" s="388"/>
      <c r="G11" s="96"/>
      <c r="H11" s="249"/>
      <c r="I11" s="249"/>
      <c r="J11" s="249"/>
      <c r="K11" s="249"/>
      <c r="L11" s="249"/>
      <c r="M11" s="249"/>
      <c r="N11" s="249"/>
      <c r="O11" s="249"/>
      <c r="P11" s="249"/>
      <c r="Q11" s="249"/>
      <c r="R11" s="249"/>
      <c r="S11" s="249"/>
    </row>
    <row r="12" spans="1:19" ht="15" customHeight="1">
      <c r="A12" s="398" t="s">
        <v>1</v>
      </c>
      <c r="B12" s="393"/>
      <c r="C12" s="399"/>
      <c r="D12" s="392" t="str">
        <f>'Check de dieta'!E7</f>
        <v>Égua Prenhe 7 Meses</v>
      </c>
      <c r="E12" s="393"/>
      <c r="F12" s="393"/>
      <c r="G12" s="96"/>
      <c r="H12" s="249"/>
      <c r="I12" s="249"/>
      <c r="J12" s="249"/>
      <c r="K12" s="249"/>
      <c r="L12" s="249"/>
      <c r="M12" s="249"/>
      <c r="N12" s="249"/>
      <c r="O12" s="249"/>
      <c r="P12" s="249"/>
      <c r="Q12" s="249"/>
      <c r="R12" s="249"/>
      <c r="S12" s="249"/>
    </row>
    <row r="13" spans="1:19" ht="15" customHeight="1">
      <c r="E13" s="96"/>
      <c r="F13" s="96"/>
      <c r="G13" s="96"/>
      <c r="H13" s="249"/>
      <c r="I13" s="249"/>
      <c r="J13" s="249"/>
      <c r="K13" s="249"/>
      <c r="L13" s="249"/>
      <c r="M13" s="249"/>
      <c r="N13" s="249"/>
      <c r="O13" s="249"/>
      <c r="P13" s="249"/>
      <c r="Q13" s="249"/>
      <c r="R13" s="249"/>
      <c r="S13" s="249"/>
    </row>
    <row r="14" spans="1:19" ht="15" customHeight="1">
      <c r="E14" s="96"/>
      <c r="F14" s="96"/>
      <c r="G14" s="96"/>
      <c r="H14" s="249"/>
      <c r="I14" s="249"/>
      <c r="J14" s="249"/>
      <c r="K14" s="249"/>
      <c r="L14" s="249"/>
      <c r="M14" s="249"/>
      <c r="N14" s="249"/>
      <c r="O14" s="249"/>
      <c r="P14" s="249"/>
      <c r="Q14" s="249"/>
      <c r="R14" s="249"/>
      <c r="S14" s="249"/>
    </row>
    <row r="15" spans="1:19" ht="15" customHeight="1">
      <c r="E15" s="96"/>
      <c r="F15" s="96"/>
      <c r="G15" s="96"/>
      <c r="H15" s="249"/>
      <c r="I15" s="249"/>
      <c r="J15" s="249"/>
      <c r="K15" s="249"/>
      <c r="L15" s="249"/>
      <c r="M15" s="249"/>
      <c r="N15" s="249"/>
      <c r="O15" s="249"/>
      <c r="P15" s="249"/>
      <c r="Q15" s="249"/>
      <c r="R15" s="249"/>
      <c r="S15" s="249"/>
    </row>
    <row r="16" spans="1:19" ht="15" customHeight="1">
      <c r="A16" s="250" t="s">
        <v>343</v>
      </c>
      <c r="B16" s="72"/>
      <c r="C16" s="72"/>
      <c r="D16" s="72"/>
      <c r="E16" s="98"/>
      <c r="F16" s="98"/>
      <c r="G16" s="98"/>
      <c r="H16" s="249"/>
      <c r="I16" s="249"/>
      <c r="J16" s="249"/>
      <c r="K16" s="249"/>
      <c r="L16" s="249"/>
      <c r="M16" s="249"/>
      <c r="N16" s="249"/>
      <c r="O16" s="249"/>
      <c r="P16" s="249"/>
      <c r="Q16" s="249"/>
      <c r="R16" s="249"/>
      <c r="S16" s="249"/>
    </row>
    <row r="17" spans="1:19" ht="15" customHeight="1">
      <c r="E17" s="96"/>
      <c r="F17" s="96"/>
      <c r="G17" s="96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</row>
    <row r="18" spans="1:19" ht="15" customHeight="1">
      <c r="A18" s="251" t="s">
        <v>286</v>
      </c>
      <c r="B18" s="252" t="s">
        <v>292</v>
      </c>
      <c r="E18" s="96"/>
      <c r="F18" s="96"/>
      <c r="G18" s="96"/>
      <c r="H18" s="249"/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</row>
    <row r="19" spans="1:19" ht="15" customHeight="1">
      <c r="A19" s="253" t="str">
        <f>IFERROR('Check de dieta'!D30,"")</f>
        <v>Aveia, grãos</v>
      </c>
      <c r="B19" s="254">
        <f>'Check de dieta'!E30</f>
        <v>25</v>
      </c>
      <c r="E19" s="96"/>
      <c r="F19" s="96"/>
      <c r="G19" s="96"/>
      <c r="H19" s="249"/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</row>
    <row r="20" spans="1:19" ht="15" customHeight="1">
      <c r="A20" s="255" t="str">
        <f>IFERROR('Check de dieta'!D31,"")</f>
        <v>Guabi Beet</v>
      </c>
      <c r="B20" s="256">
        <f>'Check de dieta'!E31</f>
        <v>2</v>
      </c>
      <c r="E20" s="96"/>
      <c r="F20" s="96"/>
      <c r="G20" s="96"/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49"/>
    </row>
    <row r="21" spans="1:19" ht="15" customHeight="1">
      <c r="A21" s="255" t="str">
        <f>IFERROR('Check de dieta'!D32,"")</f>
        <v>Guabi Fribra</v>
      </c>
      <c r="B21" s="256">
        <f>'Check de dieta'!E32</f>
        <v>1</v>
      </c>
      <c r="E21" s="96"/>
      <c r="F21" s="96"/>
      <c r="G21" s="96"/>
      <c r="H21" s="249"/>
      <c r="I21" s="249"/>
      <c r="J21" s="249"/>
      <c r="K21" s="249"/>
      <c r="L21" s="249"/>
      <c r="M21" s="249"/>
      <c r="N21" s="249"/>
      <c r="O21" s="249"/>
      <c r="P21" s="249"/>
      <c r="Q21" s="249"/>
      <c r="R21" s="249"/>
      <c r="S21" s="249"/>
    </row>
    <row r="22" spans="1:19" ht="15" customHeight="1">
      <c r="A22" s="255" t="str">
        <f>IFERROR('Check de dieta'!D33,"")</f>
        <v>Guabi Proequi 15 Melaçada</v>
      </c>
      <c r="B22" s="256">
        <f>'Check de dieta'!E33</f>
        <v>1</v>
      </c>
      <c r="E22" s="96"/>
      <c r="F22" s="96"/>
      <c r="G22" s="96"/>
      <c r="H22" s="249"/>
      <c r="I22" s="249"/>
      <c r="J22" s="249"/>
      <c r="K22" s="249"/>
      <c r="L22" s="249"/>
      <c r="M22" s="249"/>
      <c r="N22" s="249"/>
      <c r="O22" s="249"/>
      <c r="P22" s="249"/>
      <c r="Q22" s="249"/>
      <c r="R22" s="249"/>
      <c r="S22" s="249"/>
    </row>
    <row r="23" spans="1:19" ht="15" customHeight="1">
      <c r="A23" s="255" t="str">
        <f>IFERROR('Check de dieta'!D34,"")</f>
        <v>Óleo vegetal</v>
      </c>
      <c r="B23" s="256">
        <f>'Check de dieta'!E34</f>
        <v>0.3</v>
      </c>
      <c r="E23" s="96"/>
      <c r="F23" s="96"/>
      <c r="G23" s="96"/>
      <c r="H23" s="249"/>
      <c r="I23" s="249"/>
      <c r="J23" s="249"/>
      <c r="K23" s="249"/>
      <c r="L23" s="249"/>
      <c r="M23" s="249"/>
      <c r="N23" s="249"/>
      <c r="O23" s="249"/>
      <c r="P23" s="249"/>
      <c r="Q23" s="249"/>
      <c r="R23" s="249"/>
      <c r="S23" s="249"/>
    </row>
    <row r="24" spans="1:19" ht="15" customHeight="1">
      <c r="A24" s="255" t="str">
        <f>IFERROR('Check de dieta'!D35,"")</f>
        <v>Connect Pro Evolution</v>
      </c>
      <c r="B24" s="256">
        <f>'Check de dieta'!E35</f>
        <v>0.2</v>
      </c>
      <c r="E24" s="96"/>
      <c r="F24" s="96"/>
      <c r="G24" s="96"/>
      <c r="H24" s="249"/>
      <c r="I24" s="249"/>
      <c r="J24" s="249"/>
      <c r="K24" s="249"/>
      <c r="L24" s="249"/>
      <c r="M24" s="249"/>
      <c r="N24" s="249"/>
      <c r="O24" s="249"/>
      <c r="P24" s="249"/>
      <c r="Q24" s="249"/>
      <c r="R24" s="249"/>
      <c r="S24" s="249"/>
    </row>
    <row r="25" spans="1:19" ht="15" customHeight="1">
      <c r="A25" s="255">
        <f>IFERROR('Check de dieta'!D36,"")</f>
        <v>0</v>
      </c>
      <c r="B25" s="256">
        <f>'Check de dieta'!E36</f>
        <v>0</v>
      </c>
      <c r="E25" s="96"/>
      <c r="F25" s="96"/>
      <c r="G25" s="96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</row>
    <row r="26" spans="1:19" ht="15" customHeight="1">
      <c r="A26" s="255">
        <f>IFERROR('Check de dieta'!D37,"")</f>
        <v>0</v>
      </c>
      <c r="B26" s="256">
        <f>'Check de dieta'!E37</f>
        <v>0</v>
      </c>
      <c r="E26" s="96"/>
      <c r="F26" s="96"/>
      <c r="G26" s="96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</row>
    <row r="27" spans="1:19" ht="15" customHeight="1">
      <c r="A27" s="255">
        <f>IFERROR('Check de dieta'!D38,"")</f>
        <v>0</v>
      </c>
      <c r="B27" s="256">
        <f>'Check de dieta'!E38</f>
        <v>0</v>
      </c>
      <c r="E27" s="96"/>
      <c r="F27" s="96"/>
      <c r="G27" s="96"/>
      <c r="H27" s="249"/>
      <c r="I27" s="249"/>
      <c r="J27" s="249"/>
      <c r="K27" s="249"/>
      <c r="L27" s="249"/>
      <c r="M27" s="249"/>
      <c r="N27" s="249"/>
      <c r="O27" s="249"/>
      <c r="P27" s="249"/>
      <c r="Q27" s="249"/>
      <c r="R27" s="249"/>
      <c r="S27" s="249"/>
    </row>
    <row r="28" spans="1:19" ht="15" customHeight="1">
      <c r="A28" s="255">
        <f>IFERROR('Check de dieta'!D39,"")</f>
        <v>0</v>
      </c>
      <c r="B28" s="256">
        <f>'Check de dieta'!E39</f>
        <v>0</v>
      </c>
      <c r="E28" s="96"/>
      <c r="F28" s="96"/>
      <c r="G28" s="96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</row>
    <row r="29" spans="1:19" ht="15" customHeight="1">
      <c r="A29" s="257">
        <f>IFERROR('Check de dieta'!D40,"")</f>
        <v>0</v>
      </c>
      <c r="B29" s="258">
        <f>'Check de dieta'!E40</f>
        <v>0</v>
      </c>
      <c r="E29" s="96"/>
      <c r="F29" s="96"/>
      <c r="G29" s="96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</row>
    <row r="30" spans="1:19" ht="15" customHeight="1">
      <c r="A30" s="259">
        <f>IFERROR('Check de dieta'!D41,"")</f>
        <v>0</v>
      </c>
      <c r="B30" s="260">
        <f>'Check de dieta'!E41</f>
        <v>0</v>
      </c>
      <c r="E30" s="96"/>
      <c r="F30" s="96"/>
      <c r="G30" s="96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</row>
    <row r="31" spans="1:19" ht="15" customHeight="1">
      <c r="A31" s="400" t="s">
        <v>296</v>
      </c>
      <c r="B31" s="401"/>
      <c r="E31" s="96"/>
      <c r="F31" s="96"/>
      <c r="G31" s="96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</row>
    <row r="32" spans="1:19" ht="15" customHeight="1">
      <c r="E32" s="96"/>
      <c r="F32" s="96"/>
      <c r="G32" s="96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</row>
    <row r="33" spans="1:26" ht="15" customHeight="1">
      <c r="A33" s="250" t="s">
        <v>344</v>
      </c>
      <c r="B33" s="250"/>
      <c r="C33" s="250"/>
      <c r="D33" s="250"/>
      <c r="E33" s="250"/>
      <c r="F33" s="250"/>
      <c r="G33" s="250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15.75" customHeight="1">
      <c r="A34" s="15"/>
      <c r="B34" s="15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29"/>
      <c r="W34" s="29"/>
      <c r="X34" s="29"/>
      <c r="Y34" s="29"/>
      <c r="Z34" s="29"/>
    </row>
    <row r="35" spans="1:26" ht="15.75" customHeight="1">
      <c r="A35" s="261" t="s">
        <v>301</v>
      </c>
      <c r="B35" s="261" t="s">
        <v>302</v>
      </c>
      <c r="C35" s="262" t="s">
        <v>345</v>
      </c>
      <c r="D35" s="262" t="s">
        <v>346</v>
      </c>
      <c r="E35" s="15"/>
      <c r="F35" s="29"/>
      <c r="G35" s="29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29"/>
      <c r="W35" s="29"/>
      <c r="X35" s="29"/>
      <c r="Y35" s="29"/>
      <c r="Z35" s="29"/>
    </row>
    <row r="36" spans="1:26" ht="15.75" customHeight="1">
      <c r="A36" s="263" t="s">
        <v>70</v>
      </c>
      <c r="B36" s="264">
        <f>'Check de dieta'!G42</f>
        <v>26.718000000000004</v>
      </c>
      <c r="C36" s="264">
        <f>'Check de dieta'!G43</f>
        <v>8.625</v>
      </c>
      <c r="D36" s="264">
        <f>'Check de dieta'!G43*1.1</f>
        <v>9.4875000000000007</v>
      </c>
      <c r="E36" s="18"/>
      <c r="F36" s="29"/>
      <c r="G36" s="29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29"/>
      <c r="W36" s="29"/>
      <c r="X36" s="29"/>
      <c r="Y36" s="29"/>
      <c r="Z36" s="29"/>
    </row>
    <row r="37" spans="1:26" ht="15.75" customHeight="1">
      <c r="A37" s="28" t="s">
        <v>10</v>
      </c>
      <c r="B37" s="27">
        <f>'Check de dieta'!O42</f>
        <v>7102</v>
      </c>
      <c r="C37" s="27">
        <f>'Check de dieta'!O43</f>
        <v>0</v>
      </c>
      <c r="D37" s="27">
        <f>'Check de dieta'!N43*0.9</f>
        <v>129.78</v>
      </c>
      <c r="E37" s="50"/>
      <c r="F37" s="29"/>
      <c r="G37" s="29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29"/>
      <c r="W37" s="29"/>
      <c r="X37" s="29"/>
      <c r="Y37" s="29"/>
      <c r="Z37" s="29"/>
    </row>
    <row r="38" spans="1:26" ht="15.75" customHeight="1">
      <c r="A38" s="265" t="s">
        <v>11</v>
      </c>
      <c r="B38" s="266">
        <f>'Check de dieta'!P42</f>
        <v>3511.2</v>
      </c>
      <c r="C38" s="266">
        <f>'Check de dieta'!P43</f>
        <v>0</v>
      </c>
      <c r="D38" s="266">
        <f>'Check de dieta'!P43*0.9</f>
        <v>0</v>
      </c>
      <c r="E38" s="50"/>
      <c r="F38" s="29"/>
      <c r="G38" s="29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29"/>
      <c r="W38" s="29"/>
      <c r="X38" s="29"/>
      <c r="Y38" s="29"/>
      <c r="Z38" s="29"/>
    </row>
    <row r="39" spans="1:26" ht="15.75" customHeight="1">
      <c r="A39" s="261" t="s">
        <v>336</v>
      </c>
      <c r="B39" s="267" t="s">
        <v>302</v>
      </c>
      <c r="C39" s="262" t="s">
        <v>345</v>
      </c>
      <c r="D39" s="262" t="s">
        <v>346</v>
      </c>
      <c r="E39" s="50"/>
      <c r="F39" s="29"/>
      <c r="G39" s="29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29"/>
      <c r="W39" s="29"/>
      <c r="X39" s="29"/>
      <c r="Y39" s="29"/>
      <c r="Z39" s="29"/>
    </row>
    <row r="40" spans="1:26" ht="15.75" customHeight="1">
      <c r="A40" s="268" t="s">
        <v>14</v>
      </c>
      <c r="B40" s="264">
        <f>'Check de dieta'!S42</f>
        <v>352.86999999999995</v>
      </c>
      <c r="C40" s="264">
        <f>'Check de dieta'!S43</f>
        <v>11.2</v>
      </c>
      <c r="D40" s="264"/>
      <c r="E40" s="50"/>
      <c r="F40" s="29"/>
      <c r="G40" s="29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29"/>
      <c r="W40" s="29"/>
      <c r="X40" s="29"/>
      <c r="Y40" s="29"/>
      <c r="Z40" s="29"/>
    </row>
    <row r="41" spans="1:26" ht="15.75" customHeight="1">
      <c r="A41" s="28" t="s">
        <v>15</v>
      </c>
      <c r="B41" s="27">
        <f>'Check de dieta'!T42</f>
        <v>227.86420000000001</v>
      </c>
      <c r="C41" s="27">
        <f>'Check de dieta'!T43</f>
        <v>8</v>
      </c>
      <c r="D41" s="27"/>
      <c r="E41" s="50"/>
      <c r="F41" s="29"/>
      <c r="G41" s="29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29"/>
      <c r="W41" s="29"/>
      <c r="X41" s="29"/>
      <c r="Y41" s="29"/>
      <c r="Z41" s="29"/>
    </row>
    <row r="42" spans="1:26" ht="15.75" customHeight="1">
      <c r="A42" s="28" t="s">
        <v>16</v>
      </c>
      <c r="B42" s="27">
        <f>'Check de dieta'!U42</f>
        <v>38.831400000000009</v>
      </c>
      <c r="C42" s="27">
        <f>'Check de dieta'!U43</f>
        <v>0</v>
      </c>
      <c r="D42" s="27"/>
      <c r="E42" s="50"/>
      <c r="F42" s="29"/>
      <c r="G42" s="29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29"/>
      <c r="W42" s="29"/>
      <c r="X42" s="29"/>
      <c r="Y42" s="29"/>
      <c r="Z42" s="29"/>
    </row>
    <row r="43" spans="1:26" ht="15.75" customHeight="1">
      <c r="A43" s="28" t="s">
        <v>17</v>
      </c>
      <c r="B43" s="27">
        <f>'Check de dieta'!V42</f>
        <v>117</v>
      </c>
      <c r="C43" s="27">
        <f>'Check de dieta'!V43</f>
        <v>0</v>
      </c>
      <c r="D43" s="27"/>
      <c r="E43" s="50"/>
      <c r="F43" s="29"/>
      <c r="G43" s="29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29"/>
      <c r="W43" s="29"/>
      <c r="X43" s="29"/>
      <c r="Y43" s="29"/>
      <c r="Z43" s="29"/>
    </row>
    <row r="44" spans="1:26" ht="15.75" customHeight="1">
      <c r="A44" s="28" t="s">
        <v>18</v>
      </c>
      <c r="B44" s="27">
        <f>'Check de dieta'!W42</f>
        <v>8.8092000000000006</v>
      </c>
      <c r="C44" s="27">
        <f>'Check de dieta'!W43</f>
        <v>0</v>
      </c>
      <c r="D44" s="27"/>
      <c r="E44" s="50"/>
      <c r="F44" s="29"/>
      <c r="G44" s="29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29"/>
      <c r="W44" s="29"/>
      <c r="X44" s="29"/>
      <c r="Y44" s="29"/>
      <c r="Z44" s="29"/>
    </row>
    <row r="45" spans="1:26" ht="15.75" customHeight="1">
      <c r="A45" s="28" t="s">
        <v>19</v>
      </c>
      <c r="B45" s="27">
        <f>'Check de dieta'!X42</f>
        <v>0</v>
      </c>
      <c r="C45" s="27">
        <f>'Check de dieta'!X43</f>
        <v>0</v>
      </c>
      <c r="D45" s="27"/>
      <c r="E45" s="50"/>
      <c r="F45" s="29"/>
      <c r="G45" s="29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29"/>
      <c r="W45" s="29"/>
      <c r="X45" s="29"/>
      <c r="Y45" s="29"/>
      <c r="Z45" s="29"/>
    </row>
    <row r="46" spans="1:26" ht="15.75" customHeight="1">
      <c r="A46" s="265" t="s">
        <v>20</v>
      </c>
      <c r="B46" s="266">
        <f>'Check de dieta'!Y42</f>
        <v>46.729799999999997</v>
      </c>
      <c r="C46" s="266">
        <f>'Check de dieta'!Y43</f>
        <v>0</v>
      </c>
      <c r="D46" s="266"/>
      <c r="E46" s="50"/>
      <c r="F46" s="29"/>
      <c r="G46" s="29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29"/>
      <c r="W46" s="29"/>
      <c r="X46" s="29"/>
      <c r="Y46" s="29"/>
      <c r="Z46" s="29"/>
    </row>
    <row r="47" spans="1:26" ht="15.75" customHeight="1">
      <c r="A47" s="15"/>
      <c r="B47" s="50"/>
      <c r="C47" s="50"/>
      <c r="D47" s="50"/>
      <c r="E47" s="50"/>
      <c r="F47" s="29"/>
      <c r="G47" s="29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29"/>
      <c r="W47" s="29"/>
      <c r="X47" s="29"/>
      <c r="Y47" s="29"/>
      <c r="Z47" s="29"/>
    </row>
    <row r="48" spans="1:26" ht="15.75" customHeight="1">
      <c r="A48" s="15"/>
      <c r="B48" s="50"/>
      <c r="C48" s="50"/>
      <c r="D48" s="50"/>
      <c r="E48" s="50"/>
      <c r="F48" s="29"/>
      <c r="G48" s="29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29"/>
      <c r="W48" s="29"/>
      <c r="X48" s="29"/>
      <c r="Y48" s="29"/>
      <c r="Z48" s="29"/>
    </row>
    <row r="49" spans="1:26" ht="15.75" customHeight="1">
      <c r="A49" s="29"/>
      <c r="B49" s="29"/>
      <c r="C49" s="50"/>
      <c r="D49" s="50"/>
      <c r="E49" s="50"/>
      <c r="F49" s="29"/>
      <c r="G49" s="29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29"/>
      <c r="W49" s="29"/>
      <c r="X49" s="29"/>
      <c r="Y49" s="29"/>
      <c r="Z49" s="29"/>
    </row>
    <row r="50" spans="1:26" ht="15.75" customHeight="1">
      <c r="A50" s="269" t="s">
        <v>312</v>
      </c>
      <c r="B50" s="267" t="s">
        <v>302</v>
      </c>
      <c r="C50" s="262" t="s">
        <v>347</v>
      </c>
      <c r="D50" s="262" t="s">
        <v>346</v>
      </c>
      <c r="E50" s="250"/>
      <c r="F50" s="250"/>
      <c r="G50" s="2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29"/>
      <c r="W50" s="29"/>
      <c r="X50" s="29"/>
      <c r="Y50" s="29"/>
      <c r="Z50" s="29"/>
    </row>
    <row r="51" spans="1:26" ht="15.75" customHeight="1">
      <c r="A51" s="270" t="s">
        <v>314</v>
      </c>
      <c r="B51" s="264">
        <f>'Check de dieta'!H42</f>
        <v>90.022000000000006</v>
      </c>
      <c r="C51" s="264">
        <f>'Check de dieta'!H43</f>
        <v>0</v>
      </c>
      <c r="D51" s="264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29"/>
      <c r="W51" s="29"/>
      <c r="X51" s="29"/>
      <c r="Y51" s="29"/>
      <c r="Z51" s="29"/>
    </row>
    <row r="52" spans="1:26" ht="15.75" customHeight="1">
      <c r="A52" s="220" t="s">
        <v>294</v>
      </c>
      <c r="B52" s="27">
        <f>'Check de dieta'!N42</f>
        <v>1706.9</v>
      </c>
      <c r="C52" s="27">
        <f>'Check de dieta'!N43</f>
        <v>144.19999999999999</v>
      </c>
      <c r="D52" s="27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29"/>
      <c r="W52" s="29"/>
      <c r="X52" s="29"/>
      <c r="Y52" s="29"/>
      <c r="Z52" s="29"/>
    </row>
    <row r="53" spans="1:26" ht="15.75" customHeight="1">
      <c r="A53" s="222" t="s">
        <v>348</v>
      </c>
      <c r="B53" s="266">
        <f>'Check de dieta'!Q42</f>
        <v>747.5</v>
      </c>
      <c r="C53" s="266">
        <f>'Check de dieta'!Q43</f>
        <v>206.00000000000003</v>
      </c>
      <c r="D53" s="266"/>
    </row>
    <row r="54" spans="1:26" ht="15.75" customHeight="1">
      <c r="A54" s="271" t="s">
        <v>338</v>
      </c>
      <c r="B54" s="272" t="s">
        <v>302</v>
      </c>
      <c r="C54" s="262" t="s">
        <v>347</v>
      </c>
      <c r="D54" s="262" t="s">
        <v>346</v>
      </c>
      <c r="E54" s="72"/>
      <c r="F54" s="72"/>
      <c r="G54" s="72"/>
    </row>
    <row r="55" spans="1:26" ht="15.75" customHeight="1">
      <c r="A55" s="270" t="s">
        <v>21</v>
      </c>
      <c r="B55" s="264">
        <f>'Check de dieta'!Z42</f>
        <v>1.8504</v>
      </c>
      <c r="C55" s="264">
        <f>'Check de dieta'!Z43</f>
        <v>0</v>
      </c>
      <c r="D55" s="264"/>
    </row>
    <row r="56" spans="1:26" ht="15.75" customHeight="1">
      <c r="A56" s="220" t="s">
        <v>22</v>
      </c>
      <c r="B56" s="27">
        <f>'Check de dieta'!AA42</f>
        <v>278.42867999999999</v>
      </c>
      <c r="C56" s="27">
        <f>'Check de dieta'!AA43</f>
        <v>0</v>
      </c>
      <c r="D56" s="27"/>
    </row>
    <row r="57" spans="1:26" ht="15.75" customHeight="1">
      <c r="A57" s="220" t="s">
        <v>23</v>
      </c>
      <c r="B57" s="27">
        <f>'Check de dieta'!AB42</f>
        <v>3.2889599999999999</v>
      </c>
      <c r="C57" s="27">
        <f>'Check de dieta'!AB43</f>
        <v>0</v>
      </c>
      <c r="D57" s="27"/>
    </row>
    <row r="58" spans="1:26" ht="15.75" customHeight="1">
      <c r="A58" s="220" t="s">
        <v>24</v>
      </c>
      <c r="B58" s="27">
        <f>'Check de dieta'!AC42</f>
        <v>2824.8420000000001</v>
      </c>
      <c r="C58" s="27">
        <f>'Check de dieta'!AC43</f>
        <v>0</v>
      </c>
      <c r="D58" s="27"/>
    </row>
    <row r="59" spans="1:26" ht="15.75" customHeight="1">
      <c r="A59" s="220" t="s">
        <v>25</v>
      </c>
      <c r="B59" s="27">
        <f>'Check de dieta'!AD42</f>
        <v>1278.8400000000001</v>
      </c>
      <c r="C59" s="27">
        <f>'Check de dieta'!AD43</f>
        <v>0</v>
      </c>
      <c r="D59" s="27"/>
    </row>
    <row r="60" spans="1:26" ht="15.75" customHeight="1">
      <c r="A60" s="220" t="s">
        <v>26</v>
      </c>
      <c r="B60" s="27">
        <f>'Check de dieta'!AE42</f>
        <v>11.624399999999998</v>
      </c>
      <c r="C60" s="27">
        <f>'Check de dieta'!AE43</f>
        <v>0</v>
      </c>
      <c r="D60" s="27"/>
    </row>
    <row r="61" spans="1:26" ht="15.75" customHeight="1">
      <c r="A61" s="222" t="s">
        <v>27</v>
      </c>
      <c r="B61" s="266">
        <f>'Check de dieta'!AF42</f>
        <v>1299.72</v>
      </c>
      <c r="C61" s="266">
        <f>'Check de dieta'!AF43</f>
        <v>0</v>
      </c>
      <c r="D61" s="266"/>
    </row>
    <row r="62" spans="1:26" ht="15.75" customHeight="1">
      <c r="A62" s="271" t="s">
        <v>323</v>
      </c>
      <c r="B62" s="272" t="s">
        <v>302</v>
      </c>
      <c r="C62" s="262" t="s">
        <v>347</v>
      </c>
      <c r="D62" s="262" t="s">
        <v>346</v>
      </c>
      <c r="E62" s="72"/>
      <c r="F62" s="72"/>
      <c r="G62" s="72"/>
    </row>
    <row r="63" spans="1:26" ht="15.75" customHeight="1">
      <c r="A63" s="218" t="s">
        <v>4</v>
      </c>
      <c r="B63" s="264">
        <f>'Check de dieta'!I42</f>
        <v>3491.3999999999992</v>
      </c>
      <c r="C63" s="264">
        <f>'Check de dieta'!I43</f>
        <v>291</v>
      </c>
      <c r="D63" s="273"/>
    </row>
    <row r="64" spans="1:26" ht="15.75" customHeight="1">
      <c r="A64" s="220" t="s">
        <v>5</v>
      </c>
      <c r="B64" s="27">
        <f>'Check de dieta'!J42</f>
        <v>266.56920000000002</v>
      </c>
      <c r="C64" s="27">
        <f>'Check de dieta'!J43</f>
        <v>12.5</v>
      </c>
      <c r="D64" s="233"/>
    </row>
    <row r="65" spans="1:7" ht="15.75" customHeight="1">
      <c r="A65" s="220" t="s">
        <v>6</v>
      </c>
      <c r="B65" s="27">
        <f>'Check de dieta'!K42</f>
        <v>12.5334</v>
      </c>
      <c r="C65" s="27">
        <f>'Check de dieta'!K43</f>
        <v>7.625</v>
      </c>
      <c r="D65" s="233"/>
    </row>
    <row r="66" spans="1:7" ht="15.75" customHeight="1">
      <c r="A66" s="220" t="s">
        <v>7</v>
      </c>
      <c r="B66" s="27">
        <f>'Check de dieta'!L42</f>
        <v>42.421799999999998</v>
      </c>
      <c r="C66" s="27">
        <f>'Check de dieta'!L43</f>
        <v>3.375</v>
      </c>
      <c r="D66" s="233"/>
    </row>
    <row r="67" spans="1:7" ht="15.75" customHeight="1">
      <c r="A67" s="222" t="s">
        <v>8</v>
      </c>
      <c r="B67" s="266">
        <f>'Check de dieta'!M42</f>
        <v>4.1777999999999995</v>
      </c>
      <c r="C67" s="266">
        <f>'Check de dieta'!M43</f>
        <v>2.5</v>
      </c>
      <c r="D67" s="274"/>
    </row>
    <row r="68" spans="1:7" ht="15.75" customHeight="1">
      <c r="A68" s="50"/>
      <c r="B68" s="50"/>
      <c r="C68" s="50"/>
      <c r="D68" s="50"/>
    </row>
    <row r="69" spans="1:7" ht="15.75" customHeight="1">
      <c r="A69" s="271" t="s">
        <v>339</v>
      </c>
      <c r="B69" s="272" t="s">
        <v>302</v>
      </c>
      <c r="C69" s="262" t="s">
        <v>347</v>
      </c>
      <c r="D69" s="262" t="s">
        <v>346</v>
      </c>
      <c r="E69" s="72"/>
      <c r="F69" s="72"/>
      <c r="G69" s="72"/>
    </row>
    <row r="70" spans="1:7" ht="15.75" customHeight="1">
      <c r="A70" s="218" t="s">
        <v>28</v>
      </c>
      <c r="B70" s="264">
        <f>'Check de dieta'!AG42</f>
        <v>1507.3740000000003</v>
      </c>
      <c r="C70" s="25">
        <f>'Check de dieta'!AG43</f>
        <v>0</v>
      </c>
      <c r="D70" s="273"/>
    </row>
    <row r="71" spans="1:7" ht="15.75" customHeight="1">
      <c r="A71" s="220" t="s">
        <v>29</v>
      </c>
      <c r="B71" s="27">
        <f>'Check de dieta'!AH42</f>
        <v>6160.9679999999998</v>
      </c>
      <c r="C71" s="26">
        <f>'Check de dieta'!AH43</f>
        <v>0</v>
      </c>
      <c r="D71" s="233"/>
    </row>
    <row r="72" spans="1:7" ht="15.75" customHeight="1">
      <c r="A72" s="220" t="s">
        <v>30</v>
      </c>
      <c r="B72" s="27">
        <f>'Check de dieta'!AI42</f>
        <v>696.66600000000005</v>
      </c>
      <c r="C72" s="26">
        <f>'Check de dieta'!AI43</f>
        <v>0</v>
      </c>
      <c r="D72" s="233"/>
    </row>
    <row r="73" spans="1:7" ht="15.75" customHeight="1">
      <c r="A73" s="220" t="s">
        <v>31</v>
      </c>
      <c r="B73" s="27">
        <f>'Check de dieta'!AJ42</f>
        <v>2.1749999999999998</v>
      </c>
      <c r="C73" s="26">
        <f>'Check de dieta'!AJ43</f>
        <v>0</v>
      </c>
      <c r="D73" s="233"/>
    </row>
    <row r="74" spans="1:7" ht="15.75" customHeight="1">
      <c r="A74" s="222" t="s">
        <v>32</v>
      </c>
      <c r="B74" s="266">
        <f>'Check de dieta'!AK42</f>
        <v>1.0874999999999999</v>
      </c>
      <c r="C74" s="275">
        <f>'Check de dieta'!AK43</f>
        <v>0</v>
      </c>
      <c r="D74" s="274"/>
    </row>
    <row r="75" spans="1:7" ht="15.75" customHeight="1">
      <c r="A75" s="18"/>
      <c r="B75" s="50"/>
      <c r="C75" s="50"/>
      <c r="D75" s="18"/>
    </row>
    <row r="76" spans="1:7" ht="15.75" customHeight="1">
      <c r="A76" s="250" t="s">
        <v>349</v>
      </c>
      <c r="B76" s="250"/>
      <c r="C76" s="250"/>
      <c r="D76" s="250"/>
      <c r="E76" s="72"/>
      <c r="F76" s="72"/>
      <c r="G76" s="72"/>
    </row>
    <row r="77" spans="1:7" ht="15.75" customHeight="1">
      <c r="A77" s="29"/>
      <c r="B77" s="29"/>
      <c r="C77" s="50"/>
      <c r="D77" s="50"/>
    </row>
    <row r="78" spans="1:7" ht="15.75" customHeight="1">
      <c r="A78" s="380"/>
      <c r="B78" s="381"/>
      <c r="C78" s="381"/>
      <c r="D78" s="381"/>
      <c r="E78" s="381"/>
      <c r="F78" s="381"/>
      <c r="G78" s="381"/>
    </row>
    <row r="79" spans="1:7" ht="15.75" customHeight="1">
      <c r="A79" s="381"/>
      <c r="B79" s="381"/>
      <c r="C79" s="381"/>
      <c r="D79" s="381"/>
      <c r="E79" s="381"/>
      <c r="F79" s="381"/>
      <c r="G79" s="381"/>
    </row>
    <row r="80" spans="1:7" ht="15.75" customHeight="1">
      <c r="A80" s="381"/>
      <c r="B80" s="381"/>
      <c r="C80" s="381"/>
      <c r="D80" s="381"/>
      <c r="E80" s="381"/>
      <c r="F80" s="381"/>
      <c r="G80" s="381"/>
    </row>
    <row r="81" spans="1:7" ht="15.75" customHeight="1">
      <c r="A81" s="381"/>
      <c r="B81" s="381"/>
      <c r="C81" s="381"/>
      <c r="D81" s="381"/>
      <c r="E81" s="381"/>
      <c r="F81" s="381"/>
      <c r="G81" s="381"/>
    </row>
    <row r="82" spans="1:7" ht="15.75" customHeight="1">
      <c r="A82" s="381"/>
      <c r="B82" s="381"/>
      <c r="C82" s="381"/>
      <c r="D82" s="381"/>
      <c r="E82" s="381"/>
      <c r="F82" s="381"/>
      <c r="G82" s="381"/>
    </row>
    <row r="83" spans="1:7" ht="15.75" customHeight="1">
      <c r="A83" s="381"/>
      <c r="B83" s="381"/>
      <c r="C83" s="381"/>
      <c r="D83" s="381"/>
      <c r="E83" s="381"/>
      <c r="F83" s="381"/>
      <c r="G83" s="381"/>
    </row>
    <row r="84" spans="1:7" ht="15.75" customHeight="1">
      <c r="A84" s="381"/>
      <c r="B84" s="381"/>
      <c r="C84" s="381"/>
      <c r="D84" s="381"/>
      <c r="E84" s="381"/>
      <c r="F84" s="381"/>
      <c r="G84" s="381"/>
    </row>
    <row r="85" spans="1:7" ht="15.75" customHeight="1">
      <c r="A85" s="381"/>
      <c r="B85" s="381"/>
      <c r="C85" s="381"/>
      <c r="D85" s="381"/>
      <c r="E85" s="381"/>
      <c r="F85" s="381"/>
      <c r="G85" s="381"/>
    </row>
    <row r="86" spans="1:7" ht="15.75" customHeight="1">
      <c r="A86" s="381"/>
      <c r="B86" s="381"/>
      <c r="C86" s="381"/>
      <c r="D86" s="381"/>
      <c r="E86" s="381"/>
      <c r="F86" s="381"/>
      <c r="G86" s="381"/>
    </row>
    <row r="87" spans="1:7" ht="15.75" customHeight="1">
      <c r="A87" s="381"/>
      <c r="B87" s="381"/>
      <c r="C87" s="381"/>
      <c r="D87" s="381"/>
      <c r="E87" s="381"/>
      <c r="F87" s="381"/>
      <c r="G87" s="381"/>
    </row>
    <row r="88" spans="1:7" ht="15.75" customHeight="1">
      <c r="A88" s="381"/>
      <c r="B88" s="381"/>
      <c r="C88" s="381"/>
      <c r="D88" s="381"/>
      <c r="E88" s="381"/>
      <c r="F88" s="381"/>
      <c r="G88" s="381"/>
    </row>
    <row r="89" spans="1:7" ht="15.75" customHeight="1">
      <c r="A89" s="381"/>
      <c r="B89" s="381"/>
      <c r="C89" s="381"/>
      <c r="D89" s="381"/>
      <c r="E89" s="381"/>
      <c r="F89" s="381"/>
      <c r="G89" s="381"/>
    </row>
    <row r="90" spans="1:7" ht="15.75" customHeight="1">
      <c r="A90" s="381"/>
      <c r="B90" s="381"/>
      <c r="C90" s="381"/>
      <c r="D90" s="381"/>
      <c r="E90" s="381"/>
      <c r="F90" s="381"/>
      <c r="G90" s="381"/>
    </row>
    <row r="91" spans="1:7" ht="15.75" customHeight="1">
      <c r="A91" s="381"/>
      <c r="B91" s="381"/>
      <c r="C91" s="381"/>
      <c r="D91" s="381"/>
      <c r="E91" s="381"/>
      <c r="F91" s="381"/>
      <c r="G91" s="381"/>
    </row>
    <row r="92" spans="1:7" ht="15.75" customHeight="1">
      <c r="A92" s="381"/>
      <c r="B92" s="381"/>
      <c r="C92" s="381"/>
      <c r="D92" s="381"/>
      <c r="E92" s="381"/>
      <c r="F92" s="381"/>
      <c r="G92" s="381"/>
    </row>
    <row r="93" spans="1:7" ht="15.75" customHeight="1">
      <c r="A93" s="381"/>
      <c r="B93" s="381"/>
      <c r="C93" s="381"/>
      <c r="D93" s="381"/>
      <c r="E93" s="381"/>
      <c r="F93" s="381"/>
      <c r="G93" s="381"/>
    </row>
    <row r="94" spans="1:7" ht="15.75" customHeight="1"/>
    <row r="95" spans="1:7" ht="15.75" customHeight="1">
      <c r="A95" s="382" t="s">
        <v>350</v>
      </c>
      <c r="B95" s="381"/>
      <c r="C95" s="381"/>
      <c r="D95" s="381"/>
      <c r="E95" s="381"/>
      <c r="F95" s="381"/>
      <c r="G95" s="381"/>
    </row>
    <row r="96" spans="1:7" ht="15.75" customHeight="1">
      <c r="A96" s="382" t="s">
        <v>351</v>
      </c>
      <c r="B96" s="381"/>
      <c r="C96" s="381"/>
      <c r="D96" s="381"/>
      <c r="E96" s="381"/>
      <c r="F96" s="381"/>
      <c r="G96" s="381"/>
    </row>
    <row r="97" spans="1:7" ht="15.75" customHeight="1">
      <c r="A97" s="382" t="s">
        <v>352</v>
      </c>
      <c r="B97" s="381"/>
      <c r="C97" s="381"/>
      <c r="D97" s="381"/>
      <c r="E97" s="381"/>
      <c r="F97" s="381"/>
      <c r="G97" s="381"/>
    </row>
    <row r="98" spans="1:7" ht="15.75" customHeight="1"/>
    <row r="99" spans="1:7" ht="15.75" customHeight="1"/>
    <row r="100" spans="1:7" ht="15.75" customHeight="1"/>
    <row r="101" spans="1:7" ht="15.75" customHeight="1"/>
    <row r="102" spans="1:7" ht="15.75" customHeight="1"/>
    <row r="103" spans="1:7" ht="15.75" customHeight="1"/>
    <row r="104" spans="1:7" ht="15.75" customHeight="1"/>
    <row r="105" spans="1:7" ht="15.75" customHeight="1"/>
    <row r="106" spans="1:7" ht="15.75" customHeight="1"/>
    <row r="107" spans="1:7" ht="15.75" customHeight="1"/>
    <row r="108" spans="1:7" ht="15.75" customHeight="1"/>
    <row r="109" spans="1:7" ht="15.75" customHeight="1"/>
    <row r="110" spans="1:7" ht="15.75" customHeight="1"/>
    <row r="111" spans="1:7" ht="15.75" customHeight="1"/>
    <row r="112" spans="1:7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2">
    <mergeCell ref="A2:B3"/>
    <mergeCell ref="E2:G2"/>
    <mergeCell ref="E3:G3"/>
    <mergeCell ref="A4:B4"/>
    <mergeCell ref="E4:G4"/>
    <mergeCell ref="E5:G5"/>
    <mergeCell ref="A7:F7"/>
    <mergeCell ref="A11:C11"/>
    <mergeCell ref="A12:C12"/>
    <mergeCell ref="A31:B31"/>
    <mergeCell ref="A78:G93"/>
    <mergeCell ref="A95:G95"/>
    <mergeCell ref="A96:G96"/>
    <mergeCell ref="A97:G97"/>
    <mergeCell ref="A8:C8"/>
    <mergeCell ref="D8:F8"/>
    <mergeCell ref="A9:C9"/>
    <mergeCell ref="D9:F9"/>
    <mergeCell ref="A10:C10"/>
    <mergeCell ref="D10:F10"/>
    <mergeCell ref="D11:F11"/>
    <mergeCell ref="D12:F12"/>
  </mergeCells>
  <conditionalFormatting sqref="B36">
    <cfRule type="cellIs" dxfId="8" priority="1" operator="greaterThan">
      <formula>$D$36</formula>
    </cfRule>
  </conditionalFormatting>
  <conditionalFormatting sqref="B36">
    <cfRule type="cellIs" dxfId="7" priority="2" operator="lessThan">
      <formula>$C$36</formula>
    </cfRule>
  </conditionalFormatting>
  <conditionalFormatting sqref="B36">
    <cfRule type="cellIs" dxfId="6" priority="3" operator="between">
      <formula>$C$36</formula>
      <formula>$D$36</formula>
    </cfRule>
  </conditionalFormatting>
  <conditionalFormatting sqref="C51:C53">
    <cfRule type="cellIs" dxfId="5" priority="4" operator="lessThan">
      <formula>0</formula>
    </cfRule>
  </conditionalFormatting>
  <conditionalFormatting sqref="C55:C61">
    <cfRule type="cellIs" dxfId="4" priority="5" operator="lessThan">
      <formula>0</formula>
    </cfRule>
  </conditionalFormatting>
  <conditionalFormatting sqref="B50:B62 B63:C68 B69 B70:C75 G34">
    <cfRule type="cellIs" dxfId="3" priority="6" operator="lessThan">
      <formula>0</formula>
    </cfRule>
  </conditionalFormatting>
  <pageMargins left="0.511811024" right="0.511811024" top="0.78740157499999996" bottom="0.78740157499999996" header="0" footer="0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>
    <pageSetUpPr fitToPage="1"/>
  </sheetPr>
  <dimension ref="A1:Z1000"/>
  <sheetViews>
    <sheetView showGridLines="0" topLeftCell="A18" zoomScaleNormal="10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109375" customWidth="1"/>
    <col min="4" max="4" width="3.44140625" customWidth="1"/>
    <col min="5" max="5" width="38.88671875" customWidth="1"/>
    <col min="6" max="6" width="10.44140625" customWidth="1"/>
    <col min="7" max="8" width="9.109375" customWidth="1"/>
    <col min="9" max="9" width="21.44140625" customWidth="1"/>
    <col min="10" max="26" width="9.109375" customWidth="1"/>
  </cols>
  <sheetData>
    <row r="1" spans="1:26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4.4">
      <c r="A2" s="14"/>
      <c r="B2" s="18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14.4">
      <c r="A3" s="14"/>
      <c r="B3" s="15"/>
      <c r="C3" s="14"/>
      <c r="D3" s="14"/>
      <c r="E3" s="72"/>
      <c r="F3" s="72"/>
      <c r="G3" s="72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4.4">
      <c r="A4" s="14"/>
      <c r="B4" s="15"/>
      <c r="C4" s="14"/>
      <c r="D4" s="14"/>
      <c r="E4" s="276" t="s">
        <v>353</v>
      </c>
      <c r="F4" s="277"/>
      <c r="G4" s="278"/>
      <c r="H4" s="14"/>
      <c r="I4" s="111" t="s">
        <v>354</v>
      </c>
      <c r="J4" s="113"/>
      <c r="K4" s="189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4">
      <c r="A5" s="14"/>
      <c r="B5" s="15"/>
      <c r="C5" s="14"/>
      <c r="D5" s="14"/>
      <c r="E5" s="279" t="s">
        <v>355</v>
      </c>
      <c r="F5" s="280" t="s">
        <v>356</v>
      </c>
      <c r="G5" s="281"/>
      <c r="H5" s="14"/>
      <c r="I5" s="190" t="s">
        <v>301</v>
      </c>
      <c r="J5" s="190" t="s">
        <v>302</v>
      </c>
      <c r="K5" s="191" t="s">
        <v>303</v>
      </c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4">
      <c r="A6" s="14"/>
      <c r="B6" s="15"/>
      <c r="C6" s="14"/>
      <c r="D6" s="14"/>
      <c r="E6" s="279" t="s">
        <v>357</v>
      </c>
      <c r="F6" s="282">
        <f ca="1">TODAY()</f>
        <v>45843</v>
      </c>
      <c r="G6" s="280"/>
      <c r="H6" s="14"/>
      <c r="I6" s="193" t="s">
        <v>358</v>
      </c>
      <c r="J6" s="194">
        <f>'Check de dieta'!E49</f>
        <v>18.093000000000004</v>
      </c>
      <c r="K6" s="195">
        <f>'Check de dieta'!F49</f>
        <v>2.0977391304347832</v>
      </c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4">
      <c r="A7" s="14"/>
      <c r="B7" s="15"/>
      <c r="C7" s="14"/>
      <c r="D7" s="14"/>
      <c r="E7" s="283" t="s">
        <v>359</v>
      </c>
      <c r="F7" s="284" t="s">
        <v>360</v>
      </c>
      <c r="G7" s="284"/>
      <c r="H7" s="14"/>
      <c r="I7" s="201" t="s">
        <v>10</v>
      </c>
      <c r="J7" s="194">
        <f>'Check de dieta'!E50</f>
        <v>7102</v>
      </c>
      <c r="K7" s="195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4">
      <c r="A8" s="14"/>
      <c r="B8" s="15"/>
      <c r="C8" s="14"/>
      <c r="D8" s="14"/>
      <c r="E8" s="14"/>
      <c r="F8" s="14"/>
      <c r="G8" s="14"/>
      <c r="H8" s="14"/>
      <c r="I8" s="208" t="s">
        <v>11</v>
      </c>
      <c r="J8" s="194">
        <f>'Check de dieta'!E51</f>
        <v>3511.2</v>
      </c>
      <c r="K8" s="195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4">
      <c r="A9" s="14"/>
      <c r="B9" s="15"/>
      <c r="C9" s="14"/>
      <c r="D9" s="14"/>
      <c r="E9" s="111" t="s">
        <v>361</v>
      </c>
      <c r="F9" s="113"/>
      <c r="G9" s="189"/>
      <c r="H9" s="14"/>
      <c r="I9" s="212"/>
      <c r="J9" s="212"/>
      <c r="K9" s="213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4">
      <c r="A10" s="14"/>
      <c r="B10" s="15"/>
      <c r="C10" s="14"/>
      <c r="D10" s="14"/>
      <c r="E10" s="190" t="s">
        <v>362</v>
      </c>
      <c r="F10" s="190" t="s">
        <v>363</v>
      </c>
      <c r="G10" s="191" t="s">
        <v>364</v>
      </c>
      <c r="H10" s="138"/>
      <c r="I10" s="285" t="s">
        <v>312</v>
      </c>
      <c r="J10" s="234" t="s">
        <v>302</v>
      </c>
      <c r="K10" s="191" t="s">
        <v>303</v>
      </c>
      <c r="L10" s="138"/>
      <c r="M10" s="138"/>
      <c r="N10" s="138"/>
      <c r="O10" s="138"/>
      <c r="P10" s="138"/>
      <c r="Q10" s="138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8">
      <c r="A11" s="14"/>
      <c r="B11" s="19" t="s">
        <v>0</v>
      </c>
      <c r="C11" s="14"/>
      <c r="D11" s="14"/>
      <c r="E11" s="286" t="str">
        <f>'Check de dieta'!D30</f>
        <v>Aveia, grãos</v>
      </c>
      <c r="F11" s="194">
        <f>'Check de dieta'!G30</f>
        <v>22.5</v>
      </c>
      <c r="G11" s="194">
        <f>'Check de dieta'!E30</f>
        <v>25</v>
      </c>
      <c r="H11" s="110"/>
      <c r="I11" s="246" t="s">
        <v>314</v>
      </c>
      <c r="J11" s="194">
        <f>'Check de dieta'!E54</f>
        <v>90.022000000000006</v>
      </c>
      <c r="K11" s="195" t="str">
        <f>'Check de dieta'!F54</f>
        <v/>
      </c>
      <c r="L11" s="14"/>
      <c r="M11" s="111" t="s">
        <v>365</v>
      </c>
      <c r="N11" s="114"/>
      <c r="O11" s="287"/>
      <c r="P11" s="72"/>
      <c r="Q11" s="72"/>
      <c r="R11" s="72"/>
      <c r="S11" s="14"/>
      <c r="T11" s="14"/>
      <c r="U11" s="14"/>
      <c r="V11" s="14"/>
      <c r="W11" s="14"/>
      <c r="X11" s="14"/>
      <c r="Y11" s="14"/>
      <c r="Z11" s="14"/>
    </row>
    <row r="12" spans="1:26" ht="14.4">
      <c r="A12" s="14"/>
      <c r="B12" s="20"/>
      <c r="C12" s="14"/>
      <c r="D12" s="14"/>
      <c r="E12" s="286" t="str">
        <f>'Check de dieta'!D31</f>
        <v>Guabi Beet</v>
      </c>
      <c r="F12" s="194">
        <f>'Check de dieta'!G31</f>
        <v>1.96</v>
      </c>
      <c r="G12" s="194">
        <f>'Check de dieta'!E31</f>
        <v>2</v>
      </c>
      <c r="H12" s="110"/>
      <c r="I12" s="232" t="s">
        <v>9</v>
      </c>
      <c r="J12" s="194">
        <f>'Check de dieta'!E55</f>
        <v>1562.7</v>
      </c>
      <c r="K12" s="195">
        <f>'Check de dieta'!F55</f>
        <v>10.837031900138697</v>
      </c>
      <c r="L12" s="14"/>
      <c r="M12" s="288" t="s">
        <v>305</v>
      </c>
      <c r="N12" s="289"/>
      <c r="O12" s="289"/>
      <c r="P12" s="289"/>
      <c r="Q12" s="288"/>
      <c r="R12" s="290"/>
      <c r="S12" s="14"/>
      <c r="T12" s="14"/>
      <c r="U12" s="14"/>
      <c r="V12" s="14"/>
      <c r="W12" s="14"/>
      <c r="X12" s="14"/>
      <c r="Y12" s="14"/>
      <c r="Z12" s="14"/>
    </row>
    <row r="13" spans="1:26" ht="14.4">
      <c r="A13" s="14"/>
      <c r="B13" s="20"/>
      <c r="C13" s="14"/>
      <c r="D13" s="14"/>
      <c r="E13" s="286" t="s">
        <v>366</v>
      </c>
      <c r="F13" s="194">
        <f>'Check de dieta'!G32</f>
        <v>0.87</v>
      </c>
      <c r="G13" s="194">
        <f>'Check de dieta'!E32</f>
        <v>1</v>
      </c>
      <c r="H13" s="138"/>
      <c r="I13" s="247" t="s">
        <v>318</v>
      </c>
      <c r="J13" s="291">
        <f>'Check de dieta'!E56</f>
        <v>3.6286407766990285</v>
      </c>
      <c r="K13" s="292"/>
      <c r="L13" s="14"/>
      <c r="M13" s="204" t="str">
        <f>'Check de dieta'!I50</f>
        <v>Proteina Bruta : Energia Digestível</v>
      </c>
      <c r="N13" s="293"/>
      <c r="O13" s="293"/>
      <c r="P13" s="294"/>
      <c r="Q13" s="295" t="str">
        <f>'Check de dieta'!L50</f>
        <v>&gt; 38</v>
      </c>
      <c r="R13" s="219">
        <f>'Check de dieta'!M50</f>
        <v>38.78385283597342</v>
      </c>
      <c r="S13" s="14"/>
      <c r="T13" s="14"/>
      <c r="U13" s="14"/>
      <c r="V13" s="14"/>
      <c r="W13" s="14"/>
      <c r="X13" s="14"/>
      <c r="Y13" s="14"/>
      <c r="Z13" s="14"/>
    </row>
    <row r="14" spans="1:26" ht="14.4">
      <c r="A14" s="14"/>
      <c r="B14" s="20"/>
      <c r="C14" s="14"/>
      <c r="D14" s="14"/>
      <c r="E14" s="286" t="str">
        <f>'Check de dieta'!D33</f>
        <v>Guabi Proequi 15 Melaçada</v>
      </c>
      <c r="F14" s="194">
        <f>'Check de dieta'!G33</f>
        <v>0.89</v>
      </c>
      <c r="G14" s="194">
        <f>'Check de dieta'!E33</f>
        <v>1</v>
      </c>
      <c r="H14" s="138"/>
      <c r="I14" s="296"/>
      <c r="J14" s="296"/>
      <c r="K14" s="296"/>
      <c r="L14" s="14"/>
      <c r="M14" s="201" t="str">
        <f>'Check de dieta'!I51</f>
        <v>Cálcio : Fósforo</v>
      </c>
      <c r="N14" s="297"/>
      <c r="O14" s="297"/>
      <c r="P14" s="298"/>
      <c r="Q14" s="299">
        <f>'Check de dieta'!L51</f>
        <v>2</v>
      </c>
      <c r="R14" s="219">
        <f>'Check de dieta'!M51</f>
        <v>1.5485978051839646</v>
      </c>
      <c r="S14" s="14"/>
      <c r="T14" s="14"/>
      <c r="U14" s="14"/>
      <c r="V14" s="14"/>
      <c r="W14" s="14"/>
      <c r="X14" s="14"/>
      <c r="Y14" s="14"/>
      <c r="Z14" s="14"/>
    </row>
    <row r="15" spans="1:26" ht="14.4">
      <c r="A15" s="14"/>
      <c r="B15" s="20"/>
      <c r="C15" s="14"/>
      <c r="D15" s="14"/>
      <c r="E15" s="286" t="str">
        <f>'Check de dieta'!D34</f>
        <v>Óleo vegetal</v>
      </c>
      <c r="F15" s="194">
        <f>'Check de dieta'!G34</f>
        <v>0.3</v>
      </c>
      <c r="G15" s="194">
        <f>'Check de dieta'!E34</f>
        <v>0.3</v>
      </c>
      <c r="H15" s="138"/>
      <c r="I15" s="229" t="s">
        <v>323</v>
      </c>
      <c r="J15" s="230" t="s">
        <v>302</v>
      </c>
      <c r="K15" s="242" t="s">
        <v>303</v>
      </c>
      <c r="L15" s="14"/>
      <c r="M15" s="201" t="str">
        <f>'Check de dieta'!I52</f>
        <v>Treonina:Lisina</v>
      </c>
      <c r="N15" s="297"/>
      <c r="O15" s="297"/>
      <c r="P15" s="298"/>
      <c r="Q15" s="299">
        <f>'Check de dieta'!L52</f>
        <v>0.61</v>
      </c>
      <c r="R15" s="219">
        <f>'Check de dieta'!M52</f>
        <v>4.7017434872445876E-2</v>
      </c>
      <c r="S15" s="14"/>
      <c r="T15" s="14"/>
      <c r="U15" s="14"/>
      <c r="V15" s="14"/>
      <c r="W15" s="14"/>
      <c r="X15" s="14"/>
      <c r="Y15" s="14"/>
      <c r="Z15" s="14"/>
    </row>
    <row r="16" spans="1:26" ht="14.4">
      <c r="A16" s="14"/>
      <c r="B16" s="20"/>
      <c r="C16" s="14"/>
      <c r="D16" s="14"/>
      <c r="E16" s="286" t="str">
        <f>'Check de dieta'!D35</f>
        <v>Connect Pro Evolution</v>
      </c>
      <c r="F16" s="194">
        <f>'Check de dieta'!G35</f>
        <v>0.19800000000000001</v>
      </c>
      <c r="G16" s="194">
        <f>'Check de dieta'!E35</f>
        <v>0.2</v>
      </c>
      <c r="H16" s="138"/>
      <c r="I16" s="246" t="s">
        <v>4</v>
      </c>
      <c r="J16" s="194">
        <f>'Check de dieta'!E59</f>
        <v>3200.3999999999992</v>
      </c>
      <c r="K16" s="195">
        <f>'Check de dieta'!F59</f>
        <v>10.997938144329893</v>
      </c>
      <c r="L16" s="14"/>
      <c r="M16" s="300" t="str">
        <f>'Check de dieta'!I53</f>
        <v>Metionina:Lisina</v>
      </c>
      <c r="N16" s="301"/>
      <c r="O16" s="301"/>
      <c r="P16" s="298"/>
      <c r="Q16" s="302">
        <f>'Check de dieta'!L53</f>
        <v>0.27</v>
      </c>
      <c r="R16" s="219">
        <f>'Check de dieta'!M53</f>
        <v>0.1591399156391661</v>
      </c>
      <c r="S16" s="14"/>
      <c r="T16" s="14"/>
      <c r="U16" s="14"/>
      <c r="V16" s="14"/>
      <c r="W16" s="14"/>
      <c r="X16" s="14"/>
      <c r="Y16" s="14"/>
      <c r="Z16" s="14"/>
    </row>
    <row r="17" spans="1:26" ht="14.4">
      <c r="A17" s="14"/>
      <c r="B17" s="20"/>
      <c r="C17" s="14"/>
      <c r="D17" s="14"/>
      <c r="E17" s="286">
        <f>'Check de dieta'!D36</f>
        <v>0</v>
      </c>
      <c r="F17" s="194">
        <f>'Check de dieta'!G36</f>
        <v>0</v>
      </c>
      <c r="G17" s="194">
        <f>'Check de dieta'!E36</f>
        <v>0</v>
      </c>
      <c r="H17" s="138"/>
      <c r="I17" s="232" t="s">
        <v>5</v>
      </c>
      <c r="J17" s="194">
        <f>'Check de dieta'!E60</f>
        <v>254.06920000000002</v>
      </c>
      <c r="K17" s="195">
        <f>'Check de dieta'!F60</f>
        <v>20.325536000000003</v>
      </c>
      <c r="L17" s="14"/>
      <c r="M17" s="201" t="str">
        <f>'Check de dieta'!I54</f>
        <v>Triptofano:Lisina</v>
      </c>
      <c r="N17" s="297"/>
      <c r="O17" s="297"/>
      <c r="P17" s="298"/>
      <c r="Q17" s="303">
        <f>'Check de dieta'!L54</f>
        <v>0.2</v>
      </c>
      <c r="R17" s="219">
        <f>'Check de dieta'!M54</f>
        <v>1.5672478290815289E-2</v>
      </c>
      <c r="S17" s="14"/>
      <c r="T17" s="14"/>
      <c r="U17" s="14"/>
      <c r="V17" s="14"/>
      <c r="W17" s="14"/>
      <c r="X17" s="14"/>
      <c r="Y17" s="14"/>
      <c r="Z17" s="14"/>
    </row>
    <row r="18" spans="1:26" ht="14.4">
      <c r="A18" s="14"/>
      <c r="B18" s="20"/>
      <c r="C18" s="14"/>
      <c r="D18" s="14"/>
      <c r="E18" s="286">
        <f>'Check de dieta'!D37</f>
        <v>0</v>
      </c>
      <c r="F18" s="194">
        <f>'Check de dieta'!G37</f>
        <v>0</v>
      </c>
      <c r="G18" s="194">
        <f>'Check de dieta'!E37</f>
        <v>0</v>
      </c>
      <c r="H18" s="138"/>
      <c r="I18" s="232" t="s">
        <v>6</v>
      </c>
      <c r="J18" s="194">
        <f>'Check de dieta'!E61</f>
        <v>4.9084000000000003</v>
      </c>
      <c r="K18" s="195">
        <f>'Check de dieta'!F61</f>
        <v>0.64372459016393446</v>
      </c>
      <c r="L18" s="14"/>
      <c r="M18" s="238" t="str">
        <f>'Check de dieta'!I55</f>
        <v>Volumoso (%PC)</v>
      </c>
      <c r="N18" s="293"/>
      <c r="O18" s="293"/>
      <c r="P18" s="298"/>
      <c r="Q18" s="299" t="str">
        <f>'Check de dieta'!L55</f>
        <v>&gt; 1%</v>
      </c>
      <c r="R18" s="304">
        <f>'Check de dieta'!M55</f>
        <v>0</v>
      </c>
      <c r="S18" s="14"/>
      <c r="T18" s="14"/>
      <c r="U18" s="14"/>
      <c r="V18" s="14"/>
      <c r="W18" s="14"/>
      <c r="X18" s="14"/>
      <c r="Y18" s="14"/>
      <c r="Z18" s="14"/>
    </row>
    <row r="19" spans="1:26" ht="14.4">
      <c r="A19" s="14"/>
      <c r="B19" s="20"/>
      <c r="C19" s="14"/>
      <c r="D19" s="14"/>
      <c r="E19" s="286">
        <f>'Check de dieta'!D38</f>
        <v>0</v>
      </c>
      <c r="F19" s="194">
        <f>'Check de dieta'!G38</f>
        <v>0</v>
      </c>
      <c r="G19" s="194">
        <f>'Check de dieta'!E38</f>
        <v>0</v>
      </c>
      <c r="H19" s="138"/>
      <c r="I19" s="201" t="s">
        <v>7</v>
      </c>
      <c r="J19" s="194">
        <f>'Check de dieta'!E62</f>
        <v>39.046799999999998</v>
      </c>
      <c r="K19" s="195">
        <f>'Check de dieta'!F62</f>
        <v>11.569422222222222</v>
      </c>
      <c r="L19" s="14"/>
      <c r="M19" s="201" t="str">
        <f>'Check de dieta'!I56</f>
        <v>Número Mínimo Refeição (Concentrado)</v>
      </c>
      <c r="N19" s="297"/>
      <c r="O19" s="297"/>
      <c r="P19" s="305"/>
      <c r="Q19" s="306">
        <f>'Check de dieta'!L56</f>
        <v>3.6286407766990285</v>
      </c>
      <c r="R19" s="307"/>
      <c r="S19" s="14"/>
      <c r="T19" s="14"/>
      <c r="U19" s="14"/>
      <c r="V19" s="14"/>
      <c r="W19" s="14"/>
      <c r="X19" s="14"/>
      <c r="Y19" s="14"/>
      <c r="Z19" s="14"/>
    </row>
    <row r="20" spans="1:26" ht="14.4">
      <c r="A20" s="14"/>
      <c r="B20" s="20"/>
      <c r="C20" s="14"/>
      <c r="D20" s="14"/>
      <c r="E20" s="286">
        <f>'Check de dieta'!D39</f>
        <v>0</v>
      </c>
      <c r="F20" s="194">
        <f>'Check de dieta'!G39</f>
        <v>0</v>
      </c>
      <c r="G20" s="194">
        <f>'Check de dieta'!E39</f>
        <v>0</v>
      </c>
      <c r="H20" s="138"/>
      <c r="I20" s="208" t="s">
        <v>8</v>
      </c>
      <c r="J20" s="308">
        <f>'Check de dieta'!E63</f>
        <v>1.6777999999999995</v>
      </c>
      <c r="K20" s="210">
        <f>'Check de dieta'!F63</f>
        <v>0.67111999999999983</v>
      </c>
      <c r="L20" s="14"/>
      <c r="M20" s="309" t="str">
        <f>'Check de dieta'!I57</f>
        <v>CMS (%PC)</v>
      </c>
      <c r="N20" s="297"/>
      <c r="O20" s="297"/>
      <c r="P20" s="298"/>
      <c r="Q20" s="303" t="str">
        <f>'Check de dieta'!L57</f>
        <v>&gt; 2</v>
      </c>
      <c r="R20" s="310">
        <f>'Check de dieta'!M57</f>
        <v>7.7443478260869572E-2</v>
      </c>
      <c r="S20" s="14"/>
      <c r="T20" s="14"/>
      <c r="U20" s="14"/>
      <c r="V20" s="14"/>
      <c r="W20" s="14"/>
      <c r="X20" s="14"/>
      <c r="Y20" s="14"/>
      <c r="Z20" s="14"/>
    </row>
    <row r="21" spans="1:26" ht="15.75" customHeight="1">
      <c r="A21" s="14"/>
      <c r="B21" s="20"/>
      <c r="C21" s="14"/>
      <c r="D21" s="14"/>
      <c r="E21" s="311">
        <f>'Check de dieta'!D40</f>
        <v>0</v>
      </c>
      <c r="F21" s="308">
        <f>'Check de dieta'!G40</f>
        <v>0</v>
      </c>
      <c r="G21" s="312">
        <f>'Check de dieta'!E40</f>
        <v>0</v>
      </c>
      <c r="H21" s="138"/>
      <c r="I21" s="14"/>
      <c r="J21" s="14"/>
      <c r="K21" s="72"/>
      <c r="L21" s="14"/>
      <c r="M21" s="201" t="str">
        <f>'Check de dieta'!I58</f>
        <v>EE (g)(Máx x Fornecido dieta)</v>
      </c>
      <c r="N21" s="297"/>
      <c r="O21" s="297"/>
      <c r="P21" s="298"/>
      <c r="Q21" s="303">
        <f>'Check de dieta'!L58</f>
        <v>144.19999999999999</v>
      </c>
      <c r="R21" s="221">
        <f>'Check de dieta'!M58</f>
        <v>1706.9</v>
      </c>
      <c r="S21" s="14"/>
      <c r="T21" s="14"/>
      <c r="U21" s="14"/>
      <c r="V21" s="14"/>
      <c r="W21" s="14"/>
      <c r="X21" s="14"/>
      <c r="Y21" s="14"/>
      <c r="Z21" s="14"/>
    </row>
    <row r="22" spans="1:26" ht="15.75" customHeight="1">
      <c r="A22" s="14"/>
      <c r="B22" s="20"/>
      <c r="C22" s="14"/>
      <c r="D22" s="14"/>
      <c r="E22" s="313"/>
      <c r="F22" s="14"/>
      <c r="G22" s="314"/>
      <c r="H22" s="138"/>
      <c r="I22" s="315" t="s">
        <v>336</v>
      </c>
      <c r="J22" s="216" t="s">
        <v>302</v>
      </c>
      <c r="K22" s="191" t="s">
        <v>303</v>
      </c>
      <c r="L22" s="14"/>
      <c r="M22" s="309" t="str">
        <f>'Check de dieta'!I59</f>
        <v>Ca/P</v>
      </c>
      <c r="N22" s="297"/>
      <c r="O22" s="297"/>
      <c r="P22" s="298"/>
      <c r="Q22" s="303" t="str">
        <f>'Check de dieta'!L59</f>
        <v>1,2 a 3,5</v>
      </c>
      <c r="R22" s="221">
        <f>'Check de dieta'!M59</f>
        <v>1.5485978051839646</v>
      </c>
      <c r="S22" s="14"/>
      <c r="T22" s="14"/>
      <c r="U22" s="14"/>
      <c r="V22" s="14"/>
      <c r="W22" s="14"/>
      <c r="X22" s="14"/>
      <c r="Y22" s="14"/>
      <c r="Z22" s="14"/>
    </row>
    <row r="23" spans="1:26" ht="15.75" customHeight="1">
      <c r="A23" s="14"/>
      <c r="B23" s="20"/>
      <c r="C23" s="14"/>
      <c r="D23" s="14"/>
      <c r="E23" s="313"/>
      <c r="F23" s="14"/>
      <c r="G23" s="14"/>
      <c r="H23" s="138"/>
      <c r="I23" s="238" t="s">
        <v>14</v>
      </c>
      <c r="J23" s="194">
        <f>'Check de dieta'!E66</f>
        <v>341.66999999999996</v>
      </c>
      <c r="K23" s="195">
        <f>'Check de dieta'!F66</f>
        <v>30.506249999999998</v>
      </c>
      <c r="L23" s="14"/>
      <c r="M23" s="309" t="str">
        <f>'Check de dieta'!I60</f>
        <v>Ca/Mg</v>
      </c>
      <c r="N23" s="297"/>
      <c r="O23" s="297"/>
      <c r="P23" s="298"/>
      <c r="Q23" s="299" t="str">
        <f>'Check de dieta'!L60</f>
        <v>1,5 a 6,0</v>
      </c>
      <c r="R23" s="221">
        <f>'Check de dieta'!M60</f>
        <v>9.0872335275060863</v>
      </c>
      <c r="S23" s="14"/>
      <c r="T23" s="14"/>
      <c r="U23" s="14"/>
      <c r="V23" s="14"/>
      <c r="W23" s="14"/>
      <c r="X23" s="14"/>
      <c r="Y23" s="14"/>
      <c r="Z23" s="14"/>
    </row>
    <row r="24" spans="1:26" ht="15.75" customHeight="1">
      <c r="A24" s="14"/>
      <c r="B24" s="20"/>
      <c r="C24" s="14"/>
      <c r="D24" s="14"/>
      <c r="E24" s="316" t="s">
        <v>367</v>
      </c>
      <c r="F24" s="317"/>
      <c r="G24" s="318"/>
      <c r="H24" s="138"/>
      <c r="I24" s="201" t="s">
        <v>15</v>
      </c>
      <c r="J24" s="194">
        <f>'Check de dieta'!E67</f>
        <v>219.86420000000001</v>
      </c>
      <c r="K24" s="195">
        <f>'Check de dieta'!F67</f>
        <v>27.483025000000001</v>
      </c>
      <c r="L24" s="51"/>
      <c r="M24" s="319" t="str">
        <f>'Check de dieta'!I61</f>
        <v>Zn/Cu</v>
      </c>
      <c r="N24" s="297"/>
      <c r="O24" s="301"/>
      <c r="P24" s="298"/>
      <c r="Q24" s="302" t="str">
        <f>'Check de dieta'!L61</f>
        <v>&lt;3 jovens</v>
      </c>
      <c r="R24" s="219">
        <f>'Check de dieta'!M61</f>
        <v>4.6680535927548847</v>
      </c>
      <c r="S24" s="14"/>
      <c r="T24" s="14"/>
      <c r="U24" s="14"/>
      <c r="V24" s="14"/>
      <c r="W24" s="14"/>
      <c r="X24" s="14"/>
      <c r="Y24" s="14"/>
      <c r="Z24" s="14"/>
    </row>
    <row r="25" spans="1:26" ht="15.75" customHeight="1">
      <c r="A25" s="14"/>
      <c r="B25" s="20"/>
      <c r="C25" s="14"/>
      <c r="D25" s="14"/>
      <c r="E25" s="320"/>
      <c r="F25" s="14"/>
      <c r="G25" s="321"/>
      <c r="H25" s="51"/>
      <c r="I25" s="201" t="s">
        <v>16</v>
      </c>
      <c r="J25" s="194">
        <f>'Check de dieta'!E68</f>
        <v>38.831400000000009</v>
      </c>
      <c r="K25" s="195" t="str">
        <f>'Check de dieta'!F68</f>
        <v/>
      </c>
      <c r="L25" s="51"/>
      <c r="M25" s="309" t="str">
        <f>'Check de dieta'!I62</f>
        <v>Zn/Cu</v>
      </c>
      <c r="N25" s="297"/>
      <c r="O25" s="297"/>
      <c r="P25" s="298"/>
      <c r="Q25" s="303" t="str">
        <f>'Check de dieta'!L62</f>
        <v>&lt;6 adultos</v>
      </c>
      <c r="R25" s="219">
        <f>'Check de dieta'!M62</f>
        <v>4.6680535927548847</v>
      </c>
      <c r="S25" s="14"/>
      <c r="T25" s="14"/>
      <c r="U25" s="14"/>
      <c r="V25" s="14"/>
      <c r="W25" s="14"/>
      <c r="X25" s="14"/>
      <c r="Y25" s="14"/>
      <c r="Z25" s="14"/>
    </row>
    <row r="26" spans="1:26" ht="15.75" customHeight="1">
      <c r="A26" s="14"/>
      <c r="B26" s="20"/>
      <c r="C26" s="14"/>
      <c r="D26" s="14"/>
      <c r="E26" s="320"/>
      <c r="F26" s="14"/>
      <c r="G26" s="321"/>
      <c r="H26" s="138"/>
      <c r="I26" s="201" t="s">
        <v>17</v>
      </c>
      <c r="J26" s="194">
        <f>'Check de dieta'!E69</f>
        <v>117</v>
      </c>
      <c r="K26" s="195" t="str">
        <f>'Check de dieta'!F69</f>
        <v/>
      </c>
      <c r="L26" s="51"/>
      <c r="M26" s="309" t="str">
        <f>'Check de dieta'!I63</f>
        <v>Mn/Zn</v>
      </c>
      <c r="N26" s="297"/>
      <c r="O26" s="297"/>
      <c r="P26" s="298"/>
      <c r="Q26" s="299" t="str">
        <f>'Check de dieta'!L63</f>
        <v>1 a 2</v>
      </c>
      <c r="R26" s="219">
        <f>'Check de dieta'!M63</f>
        <v>0.98393500138491374</v>
      </c>
      <c r="S26" s="14"/>
      <c r="T26" s="14"/>
      <c r="U26" s="14"/>
      <c r="V26" s="14"/>
      <c r="W26" s="14"/>
      <c r="X26" s="14"/>
      <c r="Y26" s="14"/>
      <c r="Z26" s="14"/>
    </row>
    <row r="27" spans="1:26" ht="15.75" customHeight="1">
      <c r="A27" s="14"/>
      <c r="B27" s="20"/>
      <c r="C27" s="14"/>
      <c r="D27" s="14"/>
      <c r="E27" s="322"/>
      <c r="F27" s="14"/>
      <c r="G27" s="321"/>
      <c r="H27" s="138"/>
      <c r="I27" s="201" t="s">
        <v>18</v>
      </c>
      <c r="J27" s="194">
        <f>'Check de dieta'!E70</f>
        <v>8.8092000000000006</v>
      </c>
      <c r="K27" s="195" t="str">
        <f>'Check de dieta'!F70</f>
        <v/>
      </c>
      <c r="L27" s="51"/>
      <c r="M27" s="319" t="str">
        <f>'Check de dieta'!I64</f>
        <v>Mn/Cu</v>
      </c>
      <c r="N27" s="297"/>
      <c r="O27" s="301"/>
      <c r="P27" s="298"/>
      <c r="Q27" s="302" t="str">
        <f>'Check de dieta'!L64</f>
        <v>2,25 a 5</v>
      </c>
      <c r="R27" s="323">
        <f>'Check de dieta'!M64</f>
        <v>4.5930613182521292</v>
      </c>
      <c r="S27" s="14"/>
      <c r="T27" s="14"/>
      <c r="U27" s="14"/>
      <c r="V27" s="14"/>
      <c r="W27" s="14"/>
      <c r="X27" s="14"/>
      <c r="Y27" s="14"/>
      <c r="Z27" s="14"/>
    </row>
    <row r="28" spans="1:26" ht="15.75" customHeight="1">
      <c r="A28" s="14"/>
      <c r="B28" s="20"/>
      <c r="C28" s="14"/>
      <c r="D28" s="14"/>
      <c r="E28" s="322"/>
      <c r="F28" s="14"/>
      <c r="G28" s="321"/>
      <c r="H28" s="138"/>
      <c r="I28" s="201" t="s">
        <v>19</v>
      </c>
      <c r="J28" s="194">
        <f>'Check de dieta'!E71</f>
        <v>0</v>
      </c>
      <c r="K28" s="195" t="str">
        <f>'Check de dieta'!F71</f>
        <v/>
      </c>
      <c r="L28" s="51"/>
      <c r="M28" s="324" t="str">
        <f>'Check de dieta'!I65</f>
        <v>K/Na</v>
      </c>
      <c r="N28" s="325"/>
      <c r="O28" s="325"/>
      <c r="P28" s="326"/>
      <c r="Q28" s="327" t="str">
        <f>'Check de dieta'!L65</f>
        <v>1,5 a 6,0</v>
      </c>
      <c r="R28" s="328">
        <f>'Check de dieta'!M65</f>
        <v>13.28156926849203</v>
      </c>
      <c r="S28" s="14"/>
      <c r="T28" s="14"/>
      <c r="U28" s="14"/>
      <c r="V28" s="14"/>
      <c r="W28" s="14"/>
      <c r="X28" s="14"/>
      <c r="Y28" s="14"/>
      <c r="Z28" s="14"/>
    </row>
    <row r="29" spans="1:26" ht="15.75" customHeight="1">
      <c r="A29" s="14"/>
      <c r="B29" s="20"/>
      <c r="C29" s="14"/>
      <c r="D29" s="14"/>
      <c r="E29" s="322"/>
      <c r="F29" s="14"/>
      <c r="G29" s="321"/>
      <c r="H29" s="138"/>
      <c r="I29" s="208" t="s">
        <v>20</v>
      </c>
      <c r="J29" s="209">
        <f>'Check de dieta'!E72</f>
        <v>46.729799999999997</v>
      </c>
      <c r="K29" s="210" t="str">
        <f>'Check de dieta'!F72</f>
        <v/>
      </c>
      <c r="L29" s="51"/>
      <c r="M29" s="51"/>
      <c r="N29" s="51"/>
      <c r="O29" s="138"/>
      <c r="P29" s="329"/>
      <c r="Q29" s="239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5.75" customHeight="1">
      <c r="A30" s="14"/>
      <c r="B30" s="20"/>
      <c r="C30" s="14"/>
      <c r="D30" s="14"/>
      <c r="E30" s="322"/>
      <c r="F30" s="14"/>
      <c r="G30" s="321"/>
      <c r="H30" s="138"/>
      <c r="I30" s="14"/>
      <c r="J30" s="14"/>
      <c r="K30" s="296"/>
      <c r="L30" s="51"/>
      <c r="M30" s="330" t="s">
        <v>368</v>
      </c>
      <c r="N30" s="239"/>
      <c r="O30" s="329"/>
      <c r="P30" s="317"/>
      <c r="Q30" s="317"/>
      <c r="R30" s="318"/>
      <c r="S30" s="14"/>
      <c r="T30" s="14"/>
      <c r="U30" s="14"/>
      <c r="V30" s="14"/>
      <c r="W30" s="14"/>
      <c r="X30" s="14"/>
      <c r="Y30" s="14"/>
      <c r="Z30" s="14"/>
    </row>
    <row r="31" spans="1:26" ht="15.75" customHeight="1">
      <c r="A31" s="14"/>
      <c r="B31" s="20"/>
      <c r="C31" s="14"/>
      <c r="D31" s="14"/>
      <c r="E31" s="322"/>
      <c r="F31" s="14"/>
      <c r="G31" s="321"/>
      <c r="H31" s="138"/>
      <c r="I31" s="331" t="s">
        <v>338</v>
      </c>
      <c r="J31" s="332" t="s">
        <v>302</v>
      </c>
      <c r="K31" s="242" t="s">
        <v>303</v>
      </c>
      <c r="L31" s="51"/>
      <c r="M31" s="333"/>
      <c r="N31" s="51"/>
      <c r="O31" s="138"/>
      <c r="P31" s="14"/>
      <c r="Q31" s="14"/>
      <c r="R31" s="321"/>
      <c r="S31" s="14"/>
      <c r="T31" s="14"/>
      <c r="U31" s="14"/>
      <c r="V31" s="14"/>
      <c r="W31" s="14"/>
      <c r="X31" s="14"/>
      <c r="Y31" s="14"/>
      <c r="Z31" s="14"/>
    </row>
    <row r="32" spans="1:26" ht="15.75" customHeight="1">
      <c r="A32" s="14"/>
      <c r="B32" s="20"/>
      <c r="C32" s="14"/>
      <c r="D32" s="14"/>
      <c r="E32" s="322"/>
      <c r="F32" s="14"/>
      <c r="G32" s="321"/>
      <c r="H32" s="138"/>
      <c r="I32" s="238" t="s">
        <v>21</v>
      </c>
      <c r="J32" s="194">
        <f>'Check de dieta'!E75</f>
        <v>1.8504</v>
      </c>
      <c r="K32" s="195" t="str">
        <f>'Check de dieta'!F75</f>
        <v/>
      </c>
      <c r="L32" s="51"/>
      <c r="M32" s="333"/>
      <c r="N32" s="51"/>
      <c r="O32" s="138"/>
      <c r="P32" s="14"/>
      <c r="Q32" s="14"/>
      <c r="R32" s="321"/>
      <c r="S32" s="14"/>
      <c r="T32" s="14"/>
      <c r="U32" s="14"/>
      <c r="V32" s="14"/>
      <c r="W32" s="14"/>
      <c r="X32" s="14"/>
      <c r="Y32" s="14"/>
      <c r="Z32" s="14"/>
    </row>
    <row r="33" spans="1:26" ht="15.75" customHeight="1">
      <c r="A33" s="14"/>
      <c r="B33" s="20"/>
      <c r="C33" s="14"/>
      <c r="D33" s="14"/>
      <c r="E33" s="322"/>
      <c r="F33" s="14"/>
      <c r="G33" s="321"/>
      <c r="H33" s="138"/>
      <c r="I33" s="201" t="s">
        <v>22</v>
      </c>
      <c r="J33" s="194">
        <f>'Check de dieta'!E76</f>
        <v>278.42867999999999</v>
      </c>
      <c r="K33" s="195" t="str">
        <f>'Check de dieta'!F76</f>
        <v/>
      </c>
      <c r="L33" s="51"/>
      <c r="M33" s="333"/>
      <c r="N33" s="51"/>
      <c r="O33" s="138"/>
      <c r="P33" s="14"/>
      <c r="Q33" s="14"/>
      <c r="R33" s="321"/>
      <c r="S33" s="14"/>
      <c r="T33" s="14"/>
      <c r="U33" s="14"/>
      <c r="V33" s="14"/>
      <c r="W33" s="14"/>
      <c r="X33" s="14"/>
      <c r="Y33" s="14"/>
      <c r="Z33" s="14"/>
    </row>
    <row r="34" spans="1:26" ht="15.75" customHeight="1">
      <c r="A34" s="14"/>
      <c r="B34" s="20"/>
      <c r="C34" s="14"/>
      <c r="D34" s="14"/>
      <c r="E34" s="322"/>
      <c r="F34" s="14"/>
      <c r="G34" s="321"/>
      <c r="H34" s="138"/>
      <c r="I34" s="201" t="s">
        <v>23</v>
      </c>
      <c r="J34" s="194">
        <f>'Check de dieta'!E77</f>
        <v>3.2889599999999999</v>
      </c>
      <c r="K34" s="195" t="str">
        <f>'Check de dieta'!F77</f>
        <v/>
      </c>
      <c r="L34" s="51"/>
      <c r="M34" s="333"/>
      <c r="N34" s="51"/>
      <c r="O34" s="138"/>
      <c r="P34" s="14"/>
      <c r="Q34" s="14"/>
      <c r="R34" s="321"/>
      <c r="S34" s="14"/>
      <c r="T34" s="14"/>
      <c r="U34" s="14"/>
      <c r="V34" s="14"/>
      <c r="W34" s="14"/>
      <c r="X34" s="14"/>
      <c r="Y34" s="14"/>
      <c r="Z34" s="14"/>
    </row>
    <row r="35" spans="1:26" ht="15.75" customHeight="1">
      <c r="A35" s="14"/>
      <c r="B35" s="20"/>
      <c r="C35" s="14"/>
      <c r="D35" s="14"/>
      <c r="E35" s="322"/>
      <c r="F35" s="14"/>
      <c r="G35" s="321"/>
      <c r="H35" s="138"/>
      <c r="I35" s="201" t="s">
        <v>24</v>
      </c>
      <c r="J35" s="194">
        <f>'Check de dieta'!E78</f>
        <v>2824.8420000000001</v>
      </c>
      <c r="K35" s="195" t="str">
        <f>'Check de dieta'!F78</f>
        <v/>
      </c>
      <c r="L35" s="51"/>
      <c r="M35" s="333"/>
      <c r="N35" s="51"/>
      <c r="O35" s="138"/>
      <c r="P35" s="14"/>
      <c r="Q35" s="14"/>
      <c r="R35" s="321"/>
      <c r="S35" s="14"/>
      <c r="T35" s="14"/>
      <c r="U35" s="14"/>
      <c r="V35" s="14"/>
      <c r="W35" s="14"/>
      <c r="X35" s="14"/>
      <c r="Y35" s="14"/>
      <c r="Z35" s="14"/>
    </row>
    <row r="36" spans="1:26" ht="15.75" customHeight="1">
      <c r="A36" s="14"/>
      <c r="B36" s="20"/>
      <c r="C36" s="14"/>
      <c r="D36" s="14"/>
      <c r="E36" s="322"/>
      <c r="F36" s="14"/>
      <c r="G36" s="321"/>
      <c r="H36" s="14"/>
      <c r="I36" s="201" t="s">
        <v>25</v>
      </c>
      <c r="J36" s="194">
        <f>'Check de dieta'!E79</f>
        <v>1278.8400000000001</v>
      </c>
      <c r="K36" s="195" t="str">
        <f>'Check de dieta'!F79</f>
        <v/>
      </c>
      <c r="L36" s="14"/>
      <c r="M36" s="322"/>
      <c r="N36" s="14"/>
      <c r="O36" s="14"/>
      <c r="P36" s="14"/>
      <c r="Q36" s="14"/>
      <c r="R36" s="321"/>
      <c r="S36" s="14"/>
      <c r="T36" s="14"/>
      <c r="U36" s="14"/>
      <c r="V36" s="14"/>
      <c r="W36" s="14"/>
      <c r="X36" s="14"/>
      <c r="Y36" s="14"/>
      <c r="Z36" s="14"/>
    </row>
    <row r="37" spans="1:26" ht="15.75" customHeight="1">
      <c r="A37" s="14"/>
      <c r="B37" s="21"/>
      <c r="C37" s="14"/>
      <c r="D37" s="14"/>
      <c r="E37" s="322"/>
      <c r="F37" s="14"/>
      <c r="G37" s="321"/>
      <c r="H37" s="14"/>
      <c r="I37" s="201" t="s">
        <v>26</v>
      </c>
      <c r="J37" s="194">
        <f>'Check de dieta'!E80</f>
        <v>11.624399999999998</v>
      </c>
      <c r="K37" s="195" t="str">
        <f>'Check de dieta'!F80</f>
        <v/>
      </c>
      <c r="L37" s="14"/>
      <c r="M37" s="322"/>
      <c r="N37" s="14"/>
      <c r="O37" s="14"/>
      <c r="P37" s="14"/>
      <c r="Q37" s="14"/>
      <c r="R37" s="321"/>
      <c r="S37" s="14"/>
      <c r="T37" s="14"/>
      <c r="U37" s="14"/>
      <c r="V37" s="14"/>
      <c r="W37" s="14"/>
      <c r="X37" s="14"/>
      <c r="Y37" s="14"/>
      <c r="Z37" s="14"/>
    </row>
    <row r="38" spans="1:26" ht="15.75" customHeight="1">
      <c r="A38" s="14"/>
      <c r="B38" s="21"/>
      <c r="C38" s="14"/>
      <c r="D38" s="14"/>
      <c r="E38" s="322"/>
      <c r="F38" s="14"/>
      <c r="G38" s="321"/>
      <c r="H38" s="14"/>
      <c r="I38" s="208" t="s">
        <v>27</v>
      </c>
      <c r="J38" s="209">
        <f>'Check de dieta'!E81</f>
        <v>1299.72</v>
      </c>
      <c r="K38" s="210" t="str">
        <f>'Check de dieta'!F81</f>
        <v/>
      </c>
      <c r="L38" s="14"/>
      <c r="M38" s="322"/>
      <c r="N38" s="14"/>
      <c r="O38" s="14"/>
      <c r="P38" s="14"/>
      <c r="Q38" s="14"/>
      <c r="R38" s="321"/>
      <c r="S38" s="14"/>
      <c r="T38" s="14"/>
      <c r="U38" s="14"/>
      <c r="V38" s="14"/>
      <c r="W38" s="14"/>
      <c r="X38" s="14"/>
      <c r="Y38" s="14"/>
      <c r="Z38" s="14"/>
    </row>
    <row r="39" spans="1:26" ht="15.75" customHeight="1">
      <c r="A39" s="14"/>
      <c r="B39" s="21"/>
      <c r="C39" s="14"/>
      <c r="D39" s="14"/>
      <c r="E39" s="322"/>
      <c r="F39" s="14"/>
      <c r="G39" s="321"/>
      <c r="H39" s="14"/>
      <c r="I39" s="213"/>
      <c r="J39" s="213"/>
      <c r="K39" s="213"/>
      <c r="L39" s="14"/>
      <c r="M39" s="322"/>
      <c r="N39" s="14"/>
      <c r="O39" s="14"/>
      <c r="P39" s="14"/>
      <c r="Q39" s="14"/>
      <c r="R39" s="321"/>
      <c r="S39" s="14"/>
      <c r="T39" s="14"/>
      <c r="U39" s="14"/>
      <c r="V39" s="14"/>
      <c r="W39" s="14"/>
      <c r="X39" s="14"/>
      <c r="Y39" s="14"/>
      <c r="Z39" s="14"/>
    </row>
    <row r="40" spans="1:26" ht="15.75" customHeight="1">
      <c r="A40" s="14"/>
      <c r="B40" s="21"/>
      <c r="C40" s="14"/>
      <c r="D40" s="14"/>
      <c r="E40" s="322"/>
      <c r="F40" s="14"/>
      <c r="G40" s="321"/>
      <c r="H40" s="14"/>
      <c r="I40" s="334" t="s">
        <v>339</v>
      </c>
      <c r="J40" s="230" t="s">
        <v>302</v>
      </c>
      <c r="K40" s="242" t="s">
        <v>303</v>
      </c>
      <c r="L40" s="14"/>
      <c r="M40" s="322"/>
      <c r="N40" s="14"/>
      <c r="O40" s="14"/>
      <c r="P40" s="14"/>
      <c r="Q40" s="14"/>
      <c r="R40" s="321"/>
      <c r="S40" s="14"/>
      <c r="T40" s="14"/>
      <c r="U40" s="14"/>
      <c r="V40" s="14"/>
      <c r="W40" s="14"/>
      <c r="X40" s="14"/>
      <c r="Y40" s="14"/>
      <c r="Z40" s="14"/>
    </row>
    <row r="41" spans="1:26" ht="15.75" customHeight="1">
      <c r="A41" s="14"/>
      <c r="B41" s="22"/>
      <c r="C41" s="14"/>
      <c r="D41" s="14"/>
      <c r="E41" s="335"/>
      <c r="F41" s="72"/>
      <c r="G41" s="336"/>
      <c r="H41" s="14"/>
      <c r="I41" s="238" t="s">
        <v>28</v>
      </c>
      <c r="J41" s="194">
        <f>'Check de dieta'!E84</f>
        <v>1507.3740000000003</v>
      </c>
      <c r="K41" s="195" t="str">
        <f>'Check de dieta'!F84</f>
        <v/>
      </c>
      <c r="L41" s="14"/>
      <c r="M41" s="322"/>
      <c r="N41" s="14"/>
      <c r="O41" s="14"/>
      <c r="P41" s="14"/>
      <c r="Q41" s="14"/>
      <c r="R41" s="321"/>
      <c r="S41" s="14"/>
      <c r="T41" s="14"/>
      <c r="U41" s="14"/>
      <c r="V41" s="14"/>
      <c r="W41" s="14"/>
      <c r="X41" s="14"/>
      <c r="Y41" s="14"/>
      <c r="Z41" s="14"/>
    </row>
    <row r="42" spans="1:26" ht="15.75" customHeight="1">
      <c r="A42" s="14"/>
      <c r="B42" s="15"/>
      <c r="C42" s="14"/>
      <c r="D42" s="14"/>
      <c r="E42" s="14"/>
      <c r="F42" s="14"/>
      <c r="G42" s="14"/>
      <c r="H42" s="14"/>
      <c r="I42" s="201" t="s">
        <v>29</v>
      </c>
      <c r="J42" s="194">
        <f>'Check de dieta'!E85</f>
        <v>6160.9679999999998</v>
      </c>
      <c r="K42" s="195" t="str">
        <f>'Check de dieta'!F85</f>
        <v/>
      </c>
      <c r="L42" s="14"/>
      <c r="M42" s="322"/>
      <c r="N42" s="14"/>
      <c r="O42" s="14"/>
      <c r="P42" s="14"/>
      <c r="Q42" s="14"/>
      <c r="R42" s="321"/>
      <c r="S42" s="14"/>
      <c r="T42" s="14"/>
      <c r="U42" s="14"/>
      <c r="V42" s="14"/>
      <c r="W42" s="14"/>
      <c r="X42" s="14"/>
      <c r="Y42" s="14"/>
      <c r="Z42" s="14"/>
    </row>
    <row r="43" spans="1:26" ht="15.75" customHeight="1">
      <c r="A43" s="14"/>
      <c r="B43" s="15"/>
      <c r="C43" s="14"/>
      <c r="D43" s="14"/>
      <c r="E43" s="14"/>
      <c r="F43" s="14"/>
      <c r="G43" s="14"/>
      <c r="H43" s="14"/>
      <c r="I43" s="201" t="s">
        <v>30</v>
      </c>
      <c r="J43" s="194">
        <f>'Check de dieta'!E86</f>
        <v>696.66600000000005</v>
      </c>
      <c r="K43" s="195" t="str">
        <f>'Check de dieta'!F86</f>
        <v/>
      </c>
      <c r="L43" s="14"/>
      <c r="M43" s="322"/>
      <c r="N43" s="14"/>
      <c r="O43" s="14"/>
      <c r="P43" s="14"/>
      <c r="Q43" s="14"/>
      <c r="R43" s="321"/>
      <c r="S43" s="14"/>
      <c r="T43" s="14"/>
      <c r="U43" s="14"/>
      <c r="V43" s="14"/>
      <c r="W43" s="14"/>
      <c r="X43" s="14"/>
      <c r="Y43" s="14"/>
      <c r="Z43" s="14"/>
    </row>
    <row r="44" spans="1:26" ht="15.75" customHeight="1">
      <c r="A44" s="14"/>
      <c r="B44" s="15"/>
      <c r="C44" s="14"/>
      <c r="D44" s="14"/>
      <c r="E44" s="14"/>
      <c r="F44" s="14"/>
      <c r="G44" s="14"/>
      <c r="H44" s="14"/>
      <c r="I44" s="201" t="s">
        <v>31</v>
      </c>
      <c r="J44" s="194">
        <f>'Check de dieta'!E87</f>
        <v>2.1749999999999998</v>
      </c>
      <c r="K44" s="195" t="str">
        <f>'Check de dieta'!F87</f>
        <v/>
      </c>
      <c r="L44" s="14"/>
      <c r="M44" s="322"/>
      <c r="N44" s="14"/>
      <c r="O44" s="14"/>
      <c r="P44" s="14"/>
      <c r="Q44" s="14"/>
      <c r="R44" s="321"/>
      <c r="S44" s="14"/>
      <c r="T44" s="14"/>
      <c r="U44" s="14"/>
      <c r="V44" s="14"/>
      <c r="W44" s="14"/>
      <c r="X44" s="14"/>
      <c r="Y44" s="14"/>
      <c r="Z44" s="14"/>
    </row>
    <row r="45" spans="1:26" ht="15.75" customHeight="1">
      <c r="A45" s="14"/>
      <c r="B45" s="15"/>
      <c r="C45" s="14"/>
      <c r="D45" s="14"/>
      <c r="E45" s="14"/>
      <c r="F45" s="14"/>
      <c r="G45" s="14"/>
      <c r="H45" s="14"/>
      <c r="I45" s="208" t="s">
        <v>32</v>
      </c>
      <c r="J45" s="209">
        <f>'Check de dieta'!E88</f>
        <v>1.0874999999999999</v>
      </c>
      <c r="K45" s="210" t="str">
        <f>'Check de dieta'!F88</f>
        <v/>
      </c>
      <c r="L45" s="14"/>
      <c r="M45" s="335"/>
      <c r="N45" s="72"/>
      <c r="O45" s="72"/>
      <c r="P45" s="72"/>
      <c r="Q45" s="72"/>
      <c r="R45" s="336"/>
      <c r="S45" s="14"/>
      <c r="T45" s="14"/>
      <c r="U45" s="14"/>
      <c r="V45" s="14"/>
      <c r="W45" s="14"/>
      <c r="X45" s="14"/>
      <c r="Y45" s="14"/>
      <c r="Z45" s="14"/>
    </row>
    <row r="46" spans="1:26" ht="15.75" customHeight="1">
      <c r="A46" s="14"/>
      <c r="B46" s="15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5.75" customHeight="1">
      <c r="A47" s="14"/>
      <c r="B47" s="15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5.75" customHeight="1">
      <c r="A48" s="14"/>
      <c r="B48" s="15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5.75" customHeight="1">
      <c r="A49" s="14"/>
      <c r="B49" s="15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5.75" customHeight="1">
      <c r="A50" s="14"/>
      <c r="B50" s="15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5.75" customHeight="1">
      <c r="A51" s="14"/>
      <c r="B51" s="15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5.75" customHeight="1">
      <c r="A52" s="14"/>
      <c r="B52" s="15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5.75" customHeight="1">
      <c r="A53" s="14"/>
      <c r="B53" s="15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5.75" customHeight="1">
      <c r="A54" s="14"/>
      <c r="B54" s="15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5.75" customHeight="1">
      <c r="A55" s="14"/>
      <c r="B55" s="15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5.75" customHeight="1">
      <c r="A56" s="14"/>
      <c r="B56" s="15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5.75" customHeight="1">
      <c r="A57" s="14"/>
      <c r="B57" s="15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5.75" customHeight="1">
      <c r="A58" s="14"/>
      <c r="B58" s="15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5.75" customHeight="1">
      <c r="A59" s="14"/>
      <c r="B59" s="15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5.75" customHeight="1">
      <c r="A60" s="14"/>
      <c r="B60" s="15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5.75" customHeight="1">
      <c r="A61" s="14"/>
      <c r="B61" s="15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5.75" customHeight="1">
      <c r="A62" s="14"/>
      <c r="B62" s="15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5.75" customHeight="1">
      <c r="A63" s="14"/>
      <c r="B63" s="15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5.75" customHeight="1">
      <c r="A64" s="14"/>
      <c r="B64" s="15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5.75" customHeight="1">
      <c r="A65" s="14"/>
      <c r="B65" s="15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5.75" customHeight="1">
      <c r="A66" s="14"/>
      <c r="B66" s="15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5.75" customHeight="1">
      <c r="A67" s="14"/>
      <c r="B67" s="15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5.75" customHeight="1">
      <c r="A68" s="14"/>
      <c r="B68" s="15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5.75" customHeight="1">
      <c r="A69" s="14"/>
      <c r="B69" s="15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5.75" customHeight="1">
      <c r="A70" s="14"/>
      <c r="B70" s="15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5.75" customHeight="1">
      <c r="A71" s="14"/>
      <c r="B71" s="15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5.75" customHeight="1">
      <c r="A72" s="14"/>
      <c r="B72" s="15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5.75" customHeight="1">
      <c r="A73" s="14"/>
      <c r="B73" s="15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5.75" customHeight="1">
      <c r="A74" s="14"/>
      <c r="B74" s="15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5.75" customHeight="1">
      <c r="A75" s="14"/>
      <c r="B75" s="15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5.75" customHeight="1">
      <c r="A76" s="14"/>
      <c r="B76" s="15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5.75" customHeight="1">
      <c r="A77" s="14"/>
      <c r="B77" s="15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5.75" customHeight="1">
      <c r="A78" s="14"/>
      <c r="B78" s="15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5.75" customHeight="1">
      <c r="A79" s="14"/>
      <c r="B79" s="15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5.75" customHeight="1">
      <c r="A80" s="14"/>
      <c r="B80" s="15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5.75" customHeight="1">
      <c r="A81" s="14"/>
      <c r="B81" s="29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5.75" customHeight="1">
      <c r="A82" s="14"/>
      <c r="B82" s="29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5.75" customHeight="1">
      <c r="A83" s="14"/>
      <c r="B83" s="29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5.75" customHeight="1">
      <c r="A84" s="14"/>
      <c r="B84" s="29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5.75" customHeight="1">
      <c r="A85" s="14"/>
      <c r="B85" s="29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5.75" customHeight="1">
      <c r="A86" s="14"/>
      <c r="B86" s="29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5.75" customHeight="1">
      <c r="A87" s="14"/>
      <c r="B87" s="29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5.75" customHeight="1">
      <c r="A88" s="14"/>
      <c r="B88" s="29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5.75" customHeight="1">
      <c r="A89" s="14"/>
      <c r="B89" s="29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5.75" customHeight="1">
      <c r="A90" s="14"/>
      <c r="B90" s="29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5.75" customHeight="1">
      <c r="A91" s="14"/>
      <c r="B91" s="29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5.75" customHeight="1">
      <c r="A92" s="14"/>
      <c r="B92" s="29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5.75" customHeight="1">
      <c r="A93" s="14"/>
      <c r="B93" s="29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5.75" customHeight="1">
      <c r="A94" s="14"/>
      <c r="B94" s="29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5.75" customHeight="1">
      <c r="A95" s="14"/>
      <c r="B95" s="29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5.75" customHeight="1">
      <c r="A96" s="14"/>
      <c r="B96" s="29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5.75" customHeight="1">
      <c r="A97" s="14"/>
      <c r="B97" s="29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5.75" customHeight="1">
      <c r="A98" s="14"/>
      <c r="B98" s="29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5.75" customHeight="1">
      <c r="A99" s="14"/>
      <c r="B99" s="29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5.75" customHeight="1">
      <c r="A100" s="14"/>
      <c r="B100" s="29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5.75" customHeight="1">
      <c r="A101" s="14"/>
      <c r="B101" s="29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5.75" customHeight="1">
      <c r="A102" s="14"/>
      <c r="B102" s="29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5.75" customHeight="1">
      <c r="A103" s="14"/>
      <c r="B103" s="29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5.75" customHeight="1">
      <c r="A104" s="14"/>
      <c r="B104" s="29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5.75" customHeight="1">
      <c r="A105" s="14"/>
      <c r="B105" s="29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5.75" customHeight="1">
      <c r="A106" s="14"/>
      <c r="B106" s="29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5.75" customHeight="1">
      <c r="A107" s="14"/>
      <c r="B107" s="29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5.75" customHeight="1">
      <c r="A108" s="14"/>
      <c r="B108" s="29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5.75" customHeight="1">
      <c r="A109" s="14"/>
      <c r="B109" s="29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5.75" customHeight="1">
      <c r="A110" s="14"/>
      <c r="B110" s="29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5.75" customHeight="1">
      <c r="A111" s="14"/>
      <c r="B111" s="29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5.75" customHeight="1">
      <c r="A112" s="14"/>
      <c r="B112" s="29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5.75" customHeight="1">
      <c r="A113" s="14"/>
      <c r="B113" s="29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5.75" customHeight="1">
      <c r="A114" s="14"/>
      <c r="B114" s="29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5.75" customHeight="1">
      <c r="A115" s="14"/>
      <c r="B115" s="29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5.75" customHeight="1">
      <c r="A116" s="14"/>
      <c r="B116" s="29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5.75" customHeight="1">
      <c r="A117" s="14"/>
      <c r="B117" s="29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5.75" customHeight="1">
      <c r="A118" s="14"/>
      <c r="B118" s="29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5.75" customHeight="1">
      <c r="A119" s="14"/>
      <c r="B119" s="29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5.75" customHeight="1">
      <c r="A120" s="14"/>
      <c r="B120" s="29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5.75" customHeight="1">
      <c r="A121" s="14"/>
      <c r="B121" s="29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5.75" customHeight="1">
      <c r="A122" s="14"/>
      <c r="B122" s="29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5.75" customHeight="1">
      <c r="A123" s="14"/>
      <c r="B123" s="29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5.75" customHeight="1">
      <c r="A124" s="14"/>
      <c r="B124" s="29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5.75" customHeight="1">
      <c r="A125" s="14"/>
      <c r="B125" s="29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5.75" customHeight="1">
      <c r="A126" s="14"/>
      <c r="B126" s="29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5.75" customHeight="1">
      <c r="A127" s="14"/>
      <c r="B127" s="29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5.75" customHeight="1">
      <c r="A128" s="14"/>
      <c r="B128" s="29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5.75" customHeight="1">
      <c r="A129" s="14"/>
      <c r="B129" s="29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5.75" customHeight="1">
      <c r="A130" s="14"/>
      <c r="B130" s="29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5.75" customHeight="1">
      <c r="A131" s="14"/>
      <c r="B131" s="29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5.75" customHeight="1">
      <c r="A132" s="14"/>
      <c r="B132" s="29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5.75" customHeight="1">
      <c r="A133" s="14"/>
      <c r="B133" s="29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5.75" customHeight="1">
      <c r="A134" s="14"/>
      <c r="B134" s="29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5.75" customHeight="1">
      <c r="A135" s="14"/>
      <c r="B135" s="29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5.75" customHeight="1">
      <c r="A136" s="14"/>
      <c r="B136" s="29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5.75" customHeight="1">
      <c r="A137" s="14"/>
      <c r="B137" s="29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5.75" customHeight="1">
      <c r="A138" s="14"/>
      <c r="B138" s="29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5.75" customHeight="1">
      <c r="A139" s="14"/>
      <c r="B139" s="29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5.75" customHeight="1">
      <c r="A140" s="14"/>
      <c r="B140" s="29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5.75" customHeight="1">
      <c r="A141" s="14"/>
      <c r="B141" s="29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5.75" customHeight="1">
      <c r="A142" s="14"/>
      <c r="B142" s="29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5.75" customHeight="1">
      <c r="A143" s="14"/>
      <c r="B143" s="29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5.75" customHeight="1">
      <c r="A144" s="14"/>
      <c r="B144" s="29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5.75" customHeight="1">
      <c r="A145" s="14"/>
      <c r="B145" s="29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5.75" customHeight="1">
      <c r="A146" s="14"/>
      <c r="B146" s="29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5.75" customHeight="1">
      <c r="A147" s="14"/>
      <c r="B147" s="29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5.75" customHeight="1">
      <c r="A148" s="14"/>
      <c r="B148" s="29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5.75" customHeight="1">
      <c r="A149" s="14"/>
      <c r="B149" s="29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5.75" customHeight="1">
      <c r="A150" s="14"/>
      <c r="B150" s="29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5.75" customHeight="1">
      <c r="A151" s="14"/>
      <c r="B151" s="29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5.75" customHeight="1">
      <c r="A152" s="14"/>
      <c r="B152" s="29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5.75" customHeight="1">
      <c r="A153" s="14"/>
      <c r="B153" s="29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</row>
    <row r="373" spans="1:26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</row>
    <row r="374" spans="1:26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</row>
    <row r="375" spans="1:26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</row>
    <row r="376" spans="1:26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</row>
    <row r="377" spans="1:26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</row>
    <row r="378" spans="1:26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</row>
    <row r="379" spans="1:26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</row>
    <row r="380" spans="1:26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</row>
    <row r="381" spans="1:26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</row>
    <row r="382" spans="1:26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</row>
    <row r="383" spans="1:26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</row>
    <row r="384" spans="1:26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</row>
    <row r="385" spans="1:26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</row>
    <row r="386" spans="1:26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</row>
    <row r="387" spans="1:26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</row>
    <row r="388" spans="1:26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</row>
    <row r="389" spans="1:26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</row>
    <row r="390" spans="1:26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</row>
    <row r="391" spans="1:26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</row>
    <row r="392" spans="1:26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</row>
    <row r="393" spans="1:26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</row>
    <row r="394" spans="1:26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</row>
    <row r="395" spans="1:26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</row>
    <row r="396" spans="1:26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</row>
    <row r="397" spans="1:26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</row>
    <row r="398" spans="1:26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</row>
    <row r="399" spans="1:26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</row>
    <row r="400" spans="1:26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</row>
    <row r="401" spans="1:26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</row>
    <row r="402" spans="1:26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</row>
    <row r="403" spans="1:26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</row>
    <row r="404" spans="1:26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</row>
    <row r="405" spans="1:26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</row>
    <row r="406" spans="1:26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</row>
    <row r="407" spans="1:26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</row>
    <row r="408" spans="1:26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</row>
    <row r="409" spans="1:26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</row>
    <row r="410" spans="1:26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</row>
    <row r="411" spans="1:26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</row>
    <row r="412" spans="1:26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</row>
    <row r="413" spans="1:26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</row>
    <row r="414" spans="1:26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</row>
    <row r="415" spans="1:26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</row>
    <row r="416" spans="1:26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</row>
    <row r="417" spans="1:26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</row>
    <row r="418" spans="1:26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</row>
    <row r="419" spans="1:26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</row>
    <row r="420" spans="1:26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</row>
    <row r="421" spans="1:26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</row>
    <row r="422" spans="1:26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</row>
    <row r="423" spans="1:26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</row>
    <row r="424" spans="1:26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</row>
    <row r="425" spans="1:26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</row>
    <row r="426" spans="1:26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</row>
    <row r="427" spans="1:26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</row>
    <row r="428" spans="1:26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</row>
    <row r="429" spans="1:26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</row>
    <row r="430" spans="1:26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</row>
    <row r="431" spans="1:26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</row>
    <row r="432" spans="1:26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</row>
    <row r="433" spans="1:26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</row>
    <row r="434" spans="1:26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</row>
    <row r="435" spans="1:26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</row>
    <row r="436" spans="1:26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</row>
    <row r="437" spans="1:26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</row>
    <row r="438" spans="1:26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</row>
    <row r="439" spans="1:26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</row>
    <row r="440" spans="1:26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</row>
    <row r="441" spans="1:26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</row>
    <row r="442" spans="1:26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</row>
    <row r="443" spans="1:26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</row>
    <row r="444" spans="1:26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</row>
    <row r="445" spans="1:26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</row>
    <row r="446" spans="1:26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</row>
    <row r="447" spans="1:26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</row>
    <row r="448" spans="1:26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</row>
    <row r="449" spans="1:26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</row>
    <row r="450" spans="1:26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</row>
    <row r="451" spans="1:26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</row>
    <row r="452" spans="1:26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</row>
    <row r="453" spans="1:26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</row>
    <row r="454" spans="1:26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</row>
    <row r="455" spans="1:26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</row>
    <row r="456" spans="1:26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</row>
    <row r="457" spans="1:26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</row>
    <row r="458" spans="1:26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</row>
    <row r="459" spans="1:26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</row>
    <row r="460" spans="1:26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</row>
    <row r="461" spans="1:26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</row>
    <row r="462" spans="1:26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</row>
    <row r="463" spans="1:26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</row>
    <row r="464" spans="1:26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</row>
    <row r="465" spans="1:26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</row>
    <row r="466" spans="1:26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</row>
    <row r="467" spans="1:26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</row>
    <row r="468" spans="1:26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</row>
    <row r="469" spans="1:26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</row>
    <row r="470" spans="1:26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</row>
    <row r="471" spans="1:26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</row>
    <row r="472" spans="1:26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</row>
    <row r="473" spans="1:26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</row>
    <row r="474" spans="1:26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</row>
    <row r="475" spans="1:26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</row>
    <row r="476" spans="1:26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</row>
    <row r="477" spans="1:26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</row>
    <row r="478" spans="1:26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</row>
    <row r="479" spans="1:26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</row>
    <row r="480" spans="1:26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</row>
    <row r="481" spans="1:26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</row>
    <row r="482" spans="1:26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</row>
    <row r="483" spans="1:26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</row>
    <row r="484" spans="1:26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</row>
    <row r="485" spans="1:26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</row>
    <row r="486" spans="1:26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</row>
    <row r="487" spans="1:26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</row>
    <row r="488" spans="1:26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</row>
    <row r="489" spans="1:26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</row>
    <row r="490" spans="1:26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</row>
    <row r="491" spans="1:26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</row>
    <row r="492" spans="1:26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</row>
    <row r="493" spans="1:26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</row>
    <row r="494" spans="1:26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</row>
    <row r="495" spans="1:26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</row>
    <row r="496" spans="1:26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</row>
    <row r="497" spans="1:26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</row>
    <row r="498" spans="1:26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</row>
    <row r="499" spans="1:26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</row>
    <row r="500" spans="1:26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</row>
    <row r="501" spans="1:26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</row>
    <row r="502" spans="1:26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</row>
    <row r="503" spans="1:26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</row>
    <row r="504" spans="1:26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</row>
    <row r="505" spans="1:26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</row>
    <row r="506" spans="1:26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</row>
    <row r="507" spans="1:26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</row>
    <row r="508" spans="1:26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</row>
    <row r="509" spans="1:26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</row>
    <row r="510" spans="1:26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</row>
    <row r="511" spans="1:26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</row>
    <row r="512" spans="1:26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</row>
    <row r="513" spans="1:26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</row>
    <row r="514" spans="1:26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</row>
    <row r="515" spans="1:26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</row>
    <row r="516" spans="1:26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</row>
    <row r="517" spans="1:26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</row>
    <row r="518" spans="1:26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</row>
    <row r="519" spans="1:26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</row>
    <row r="520" spans="1:26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</row>
    <row r="521" spans="1:26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</row>
    <row r="522" spans="1:26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</row>
    <row r="523" spans="1:26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</row>
    <row r="524" spans="1:26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</row>
    <row r="525" spans="1:26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</row>
    <row r="526" spans="1:26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</row>
    <row r="527" spans="1:26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</row>
    <row r="528" spans="1:26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</row>
    <row r="529" spans="1:26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</row>
    <row r="530" spans="1:26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</row>
    <row r="531" spans="1:26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</row>
    <row r="532" spans="1:26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</row>
    <row r="533" spans="1:26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</row>
    <row r="534" spans="1:26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</row>
    <row r="535" spans="1:26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</row>
    <row r="536" spans="1:26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</row>
    <row r="537" spans="1:26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</row>
    <row r="538" spans="1:26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</row>
    <row r="539" spans="1:26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</row>
    <row r="540" spans="1:26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</row>
    <row r="541" spans="1:26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</row>
    <row r="542" spans="1:26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</row>
    <row r="543" spans="1:26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</row>
    <row r="544" spans="1:26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</row>
    <row r="545" spans="1:26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</row>
    <row r="546" spans="1:26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</row>
    <row r="547" spans="1:26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</row>
    <row r="548" spans="1:26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</row>
    <row r="549" spans="1:26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</row>
    <row r="550" spans="1:26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</row>
    <row r="551" spans="1:26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</row>
    <row r="552" spans="1:26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</row>
    <row r="553" spans="1:26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</row>
    <row r="554" spans="1:26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</row>
    <row r="555" spans="1:26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</row>
    <row r="556" spans="1:26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</row>
    <row r="557" spans="1:26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</row>
    <row r="558" spans="1:26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</row>
    <row r="559" spans="1:26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</row>
    <row r="560" spans="1:26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</row>
    <row r="561" spans="1:26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</row>
    <row r="562" spans="1:26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</row>
    <row r="563" spans="1:26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</row>
    <row r="564" spans="1:26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</row>
    <row r="565" spans="1:26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</row>
    <row r="566" spans="1:26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</row>
    <row r="567" spans="1:26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</row>
    <row r="568" spans="1:26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</row>
    <row r="569" spans="1:26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</row>
    <row r="570" spans="1:26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</row>
    <row r="571" spans="1:26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</row>
    <row r="572" spans="1:26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</row>
    <row r="573" spans="1:26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</row>
    <row r="574" spans="1:26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</row>
    <row r="575" spans="1:26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</row>
    <row r="576" spans="1:26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</row>
    <row r="577" spans="1:26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</row>
    <row r="578" spans="1:26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</row>
    <row r="579" spans="1:26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</row>
    <row r="580" spans="1:26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</row>
    <row r="581" spans="1:26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</row>
    <row r="582" spans="1:26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</row>
    <row r="583" spans="1:26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</row>
    <row r="584" spans="1:26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</row>
    <row r="585" spans="1:26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</row>
    <row r="586" spans="1:26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</row>
    <row r="587" spans="1:26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</row>
    <row r="588" spans="1:26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</row>
    <row r="589" spans="1:26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</row>
    <row r="590" spans="1:26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</row>
    <row r="591" spans="1:26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</row>
    <row r="592" spans="1:26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</row>
    <row r="593" spans="1:26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</row>
    <row r="594" spans="1:26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</row>
    <row r="595" spans="1:26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</row>
    <row r="596" spans="1:26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</row>
    <row r="597" spans="1:26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</row>
    <row r="598" spans="1:26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</row>
    <row r="599" spans="1:26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</row>
    <row r="600" spans="1:26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</row>
    <row r="601" spans="1:26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</row>
    <row r="602" spans="1:26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</row>
    <row r="603" spans="1:26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</row>
    <row r="604" spans="1:26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</row>
    <row r="605" spans="1:26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</row>
    <row r="606" spans="1:26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</row>
    <row r="607" spans="1:26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</row>
    <row r="608" spans="1:26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</row>
    <row r="609" spans="1:26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</row>
    <row r="610" spans="1:26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</row>
    <row r="611" spans="1:26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</row>
    <row r="612" spans="1:26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</row>
    <row r="613" spans="1:26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</row>
    <row r="614" spans="1:26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</row>
    <row r="615" spans="1:26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</row>
    <row r="616" spans="1:26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</row>
    <row r="617" spans="1:26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</row>
    <row r="618" spans="1:26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</row>
    <row r="619" spans="1:26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</row>
    <row r="620" spans="1:26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</row>
    <row r="621" spans="1:26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</row>
    <row r="622" spans="1:26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</row>
    <row r="623" spans="1:26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</row>
    <row r="624" spans="1:26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</row>
    <row r="625" spans="1:26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</row>
    <row r="626" spans="1:26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</row>
    <row r="627" spans="1:26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</row>
    <row r="628" spans="1:26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</row>
    <row r="629" spans="1:26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</row>
    <row r="630" spans="1:26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</row>
    <row r="631" spans="1:26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</row>
    <row r="632" spans="1:26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</row>
    <row r="633" spans="1:26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</row>
    <row r="634" spans="1:26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</row>
    <row r="635" spans="1:26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</row>
    <row r="636" spans="1:26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</row>
    <row r="637" spans="1:26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</row>
    <row r="638" spans="1:26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</row>
    <row r="639" spans="1:26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</row>
    <row r="640" spans="1:26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</row>
    <row r="641" spans="1:26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</row>
    <row r="642" spans="1:26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</row>
    <row r="643" spans="1:26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</row>
    <row r="644" spans="1:26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</row>
    <row r="645" spans="1:26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</row>
    <row r="646" spans="1:26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</row>
    <row r="647" spans="1:26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</row>
    <row r="648" spans="1:26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</row>
    <row r="649" spans="1:26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</row>
    <row r="650" spans="1:26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</row>
    <row r="651" spans="1:26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</row>
    <row r="652" spans="1:26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</row>
    <row r="653" spans="1:26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</row>
    <row r="654" spans="1:26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</row>
    <row r="655" spans="1:26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</row>
    <row r="656" spans="1:26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</row>
    <row r="657" spans="1:26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</row>
    <row r="658" spans="1:26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</row>
    <row r="659" spans="1:26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</row>
    <row r="660" spans="1:26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</row>
    <row r="661" spans="1:26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</row>
    <row r="662" spans="1:26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</row>
    <row r="663" spans="1:26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</row>
    <row r="664" spans="1:26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</row>
    <row r="665" spans="1:26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</row>
    <row r="666" spans="1:26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</row>
    <row r="667" spans="1:26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</row>
    <row r="668" spans="1:26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</row>
    <row r="669" spans="1:26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</row>
    <row r="670" spans="1:26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</row>
    <row r="671" spans="1:26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</row>
    <row r="672" spans="1:26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</row>
    <row r="673" spans="1:26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</row>
    <row r="674" spans="1:26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</row>
    <row r="675" spans="1:26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</row>
    <row r="676" spans="1:26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</row>
    <row r="677" spans="1:26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</row>
    <row r="678" spans="1:26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</row>
    <row r="679" spans="1:26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</row>
    <row r="680" spans="1:26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</row>
    <row r="681" spans="1:26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</row>
    <row r="682" spans="1:26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</row>
    <row r="683" spans="1:26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</row>
    <row r="684" spans="1:26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</row>
    <row r="685" spans="1:26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</row>
    <row r="686" spans="1:26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</row>
    <row r="687" spans="1:26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</row>
    <row r="688" spans="1:26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</row>
    <row r="689" spans="1:26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</row>
    <row r="690" spans="1:26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</row>
    <row r="691" spans="1:26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</row>
    <row r="692" spans="1:26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</row>
    <row r="693" spans="1:26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</row>
    <row r="694" spans="1:26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</row>
    <row r="695" spans="1:26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</row>
    <row r="696" spans="1:26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</row>
    <row r="697" spans="1:26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</row>
    <row r="698" spans="1:26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</row>
    <row r="699" spans="1:26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</row>
    <row r="700" spans="1:26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</row>
    <row r="701" spans="1:26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</row>
    <row r="702" spans="1:26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</row>
    <row r="703" spans="1:26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</row>
    <row r="704" spans="1:26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</row>
    <row r="705" spans="1:26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</row>
    <row r="706" spans="1:26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</row>
    <row r="707" spans="1:26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</row>
    <row r="708" spans="1:26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</row>
    <row r="709" spans="1:26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</row>
    <row r="710" spans="1:26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</row>
    <row r="711" spans="1:26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</row>
    <row r="712" spans="1:26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</row>
    <row r="713" spans="1:26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</row>
    <row r="714" spans="1:26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</row>
    <row r="715" spans="1:26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</row>
    <row r="716" spans="1:26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</row>
    <row r="717" spans="1:26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</row>
    <row r="718" spans="1:26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</row>
    <row r="719" spans="1:26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</row>
    <row r="720" spans="1:26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</row>
    <row r="721" spans="1:26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</row>
    <row r="722" spans="1:26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</row>
    <row r="723" spans="1:26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</row>
    <row r="724" spans="1:26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</row>
    <row r="725" spans="1:26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</row>
    <row r="726" spans="1:26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</row>
    <row r="727" spans="1:26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</row>
    <row r="728" spans="1:26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</row>
    <row r="729" spans="1:26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</row>
    <row r="730" spans="1:26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</row>
    <row r="731" spans="1:26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</row>
    <row r="732" spans="1:26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</row>
    <row r="733" spans="1:26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</row>
    <row r="734" spans="1:26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</row>
    <row r="735" spans="1:26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</row>
    <row r="736" spans="1:26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</row>
    <row r="737" spans="1:26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</row>
    <row r="738" spans="1:26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</row>
    <row r="739" spans="1:26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</row>
    <row r="740" spans="1:26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</row>
    <row r="741" spans="1:26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</row>
    <row r="742" spans="1:26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</row>
    <row r="743" spans="1:26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</row>
    <row r="744" spans="1:26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</row>
    <row r="745" spans="1:26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</row>
    <row r="746" spans="1:26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</row>
    <row r="747" spans="1:26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</row>
    <row r="748" spans="1:26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</row>
    <row r="749" spans="1:26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</row>
    <row r="750" spans="1:26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</row>
    <row r="751" spans="1:26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</row>
    <row r="752" spans="1:26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</row>
    <row r="753" spans="1:26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</row>
    <row r="754" spans="1:26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</row>
    <row r="755" spans="1:26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</row>
    <row r="756" spans="1:26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</row>
    <row r="757" spans="1:26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</row>
    <row r="758" spans="1:26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</row>
    <row r="759" spans="1:26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</row>
    <row r="760" spans="1:26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</row>
    <row r="761" spans="1:26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</row>
    <row r="762" spans="1:26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</row>
    <row r="763" spans="1:26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</row>
    <row r="764" spans="1:26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</row>
    <row r="765" spans="1:26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</row>
    <row r="766" spans="1:26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</row>
    <row r="767" spans="1:26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</row>
    <row r="768" spans="1:26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</row>
    <row r="769" spans="1:26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</row>
    <row r="770" spans="1:26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</row>
    <row r="771" spans="1:26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</row>
    <row r="772" spans="1:26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</row>
    <row r="773" spans="1:26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</row>
    <row r="774" spans="1:26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</row>
    <row r="775" spans="1:26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</row>
    <row r="776" spans="1:26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</row>
    <row r="777" spans="1:26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</row>
    <row r="778" spans="1:26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</row>
    <row r="779" spans="1:26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</row>
    <row r="780" spans="1:26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</row>
    <row r="781" spans="1:26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</row>
    <row r="782" spans="1:26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</row>
    <row r="783" spans="1:26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</row>
    <row r="784" spans="1:26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</row>
    <row r="785" spans="1:26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</row>
    <row r="786" spans="1:26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</row>
    <row r="787" spans="1:26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</row>
    <row r="788" spans="1:26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</row>
    <row r="789" spans="1:26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</row>
    <row r="790" spans="1:26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</row>
    <row r="791" spans="1:26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</row>
    <row r="792" spans="1:26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</row>
    <row r="793" spans="1:26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</row>
    <row r="794" spans="1:26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</row>
    <row r="795" spans="1:26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</row>
    <row r="796" spans="1:26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</row>
    <row r="797" spans="1:26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</row>
    <row r="798" spans="1:26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</row>
    <row r="799" spans="1:26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</row>
    <row r="800" spans="1:26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</row>
    <row r="801" spans="1:26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</row>
    <row r="802" spans="1:26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</row>
    <row r="803" spans="1:26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</row>
    <row r="804" spans="1:26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</row>
    <row r="805" spans="1:26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</row>
    <row r="806" spans="1:26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</row>
    <row r="807" spans="1:26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</row>
    <row r="808" spans="1:26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</row>
    <row r="809" spans="1:26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</row>
    <row r="810" spans="1:26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</row>
    <row r="811" spans="1:26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</row>
    <row r="812" spans="1:26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</row>
    <row r="813" spans="1:26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</row>
    <row r="814" spans="1:26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</row>
    <row r="815" spans="1:26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</row>
    <row r="816" spans="1:26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</row>
    <row r="817" spans="1:26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</row>
    <row r="818" spans="1:26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</row>
    <row r="819" spans="1:26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</row>
    <row r="820" spans="1:26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</row>
    <row r="821" spans="1:26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</row>
    <row r="822" spans="1:26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</row>
    <row r="823" spans="1:26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</row>
    <row r="824" spans="1:26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</row>
    <row r="825" spans="1:26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</row>
    <row r="826" spans="1:26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</row>
    <row r="827" spans="1:26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</row>
    <row r="828" spans="1:26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</row>
    <row r="829" spans="1:26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</row>
    <row r="830" spans="1:26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</row>
    <row r="831" spans="1:26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</row>
    <row r="832" spans="1:26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</row>
    <row r="833" spans="1:26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</row>
    <row r="834" spans="1:26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</row>
    <row r="835" spans="1:26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</row>
    <row r="836" spans="1:26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</row>
    <row r="837" spans="1:26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</row>
    <row r="838" spans="1:26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</row>
    <row r="839" spans="1:26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</row>
    <row r="840" spans="1:26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</row>
    <row r="841" spans="1:26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</row>
    <row r="842" spans="1:26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</row>
    <row r="843" spans="1:26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</row>
    <row r="844" spans="1:26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</row>
    <row r="845" spans="1:26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</row>
    <row r="846" spans="1:26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</row>
    <row r="847" spans="1:26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</row>
    <row r="848" spans="1:26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</row>
    <row r="849" spans="1:26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</row>
    <row r="850" spans="1:26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</row>
    <row r="851" spans="1:26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</row>
    <row r="852" spans="1:26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</row>
    <row r="853" spans="1:26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</row>
    <row r="854" spans="1:26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</row>
    <row r="855" spans="1:26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</row>
    <row r="856" spans="1:26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</row>
    <row r="857" spans="1:26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</row>
    <row r="858" spans="1:26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</row>
    <row r="859" spans="1:26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</row>
    <row r="860" spans="1:26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</row>
    <row r="861" spans="1:26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</row>
    <row r="862" spans="1:26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</row>
    <row r="863" spans="1:26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</row>
    <row r="864" spans="1:26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</row>
    <row r="865" spans="1:26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</row>
    <row r="866" spans="1:26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</row>
    <row r="867" spans="1:26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</row>
    <row r="868" spans="1:26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</row>
    <row r="869" spans="1:26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</row>
    <row r="870" spans="1:26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</row>
    <row r="871" spans="1:26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</row>
    <row r="872" spans="1:26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</row>
    <row r="873" spans="1:26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</row>
    <row r="874" spans="1:26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</row>
    <row r="875" spans="1:26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</row>
    <row r="876" spans="1:26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</row>
    <row r="877" spans="1:26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</row>
    <row r="878" spans="1:26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</row>
    <row r="879" spans="1:26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</row>
    <row r="880" spans="1:26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</row>
    <row r="881" spans="1:26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</row>
    <row r="882" spans="1:26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</row>
    <row r="883" spans="1:26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</row>
    <row r="884" spans="1:26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</row>
    <row r="885" spans="1:26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</row>
    <row r="886" spans="1:26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</row>
    <row r="887" spans="1:26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</row>
    <row r="888" spans="1:26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</row>
    <row r="889" spans="1:26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</row>
    <row r="890" spans="1:26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</row>
    <row r="891" spans="1:26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</row>
    <row r="892" spans="1:26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</row>
    <row r="893" spans="1:26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</row>
    <row r="894" spans="1:26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</row>
    <row r="895" spans="1:26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</row>
    <row r="896" spans="1:26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</row>
    <row r="897" spans="1:26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</row>
    <row r="898" spans="1:26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</row>
    <row r="899" spans="1:26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</row>
    <row r="900" spans="1:26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</row>
    <row r="901" spans="1:26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</row>
    <row r="902" spans="1:26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</row>
    <row r="903" spans="1:26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</row>
    <row r="904" spans="1:26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</row>
    <row r="905" spans="1:26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</row>
    <row r="906" spans="1:26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</row>
    <row r="907" spans="1:26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</row>
    <row r="908" spans="1:26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</row>
    <row r="909" spans="1:26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</row>
    <row r="910" spans="1:26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</row>
    <row r="911" spans="1:26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</row>
    <row r="912" spans="1:26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</row>
    <row r="913" spans="1:26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</row>
    <row r="914" spans="1:26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</row>
    <row r="915" spans="1:26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</row>
    <row r="916" spans="1:26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</row>
    <row r="917" spans="1:26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</row>
    <row r="918" spans="1:26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</row>
    <row r="919" spans="1:26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</row>
    <row r="920" spans="1:26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</row>
    <row r="921" spans="1:26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</row>
    <row r="922" spans="1:26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</row>
    <row r="923" spans="1:26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</row>
    <row r="924" spans="1:26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</row>
    <row r="925" spans="1:26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</row>
    <row r="926" spans="1:26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</row>
    <row r="927" spans="1:26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</row>
    <row r="928" spans="1:26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</row>
    <row r="929" spans="1:26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</row>
    <row r="930" spans="1:26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</row>
    <row r="931" spans="1:26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</row>
    <row r="932" spans="1:26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</row>
    <row r="933" spans="1:26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</row>
    <row r="934" spans="1:26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</row>
    <row r="935" spans="1:26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</row>
    <row r="936" spans="1:26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</row>
    <row r="937" spans="1:26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</row>
    <row r="938" spans="1:26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</row>
    <row r="939" spans="1:26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</row>
    <row r="940" spans="1:26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</row>
    <row r="941" spans="1:26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</row>
    <row r="942" spans="1:26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</row>
    <row r="943" spans="1:26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</row>
    <row r="944" spans="1:26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</row>
    <row r="945" spans="1:26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</row>
    <row r="946" spans="1:26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</row>
    <row r="947" spans="1:26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</row>
    <row r="948" spans="1:26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</row>
    <row r="949" spans="1:26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</row>
    <row r="950" spans="1:26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</row>
    <row r="951" spans="1:26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</row>
    <row r="952" spans="1:26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</row>
    <row r="953" spans="1:26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</row>
    <row r="954" spans="1:26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</row>
    <row r="955" spans="1:26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</row>
    <row r="956" spans="1:26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</row>
    <row r="957" spans="1:26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</row>
    <row r="958" spans="1:26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</row>
    <row r="959" spans="1:26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</row>
    <row r="960" spans="1:26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</row>
    <row r="961" spans="1:26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</row>
    <row r="962" spans="1:26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</row>
    <row r="963" spans="1:26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</row>
    <row r="964" spans="1:26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</row>
    <row r="965" spans="1:26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</row>
    <row r="966" spans="1:26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</row>
    <row r="967" spans="1:26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</row>
    <row r="968" spans="1:26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</row>
    <row r="969" spans="1:26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</row>
    <row r="970" spans="1:26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</row>
    <row r="971" spans="1:26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</row>
    <row r="972" spans="1:26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</row>
    <row r="973" spans="1:26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</row>
    <row r="974" spans="1:26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</row>
    <row r="975" spans="1:26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</row>
    <row r="976" spans="1:26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</row>
    <row r="977" spans="1:26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</row>
    <row r="978" spans="1:26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</row>
    <row r="979" spans="1:26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</row>
    <row r="980" spans="1:26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</row>
    <row r="981" spans="1:26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</row>
    <row r="982" spans="1:26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</row>
    <row r="983" spans="1:26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</row>
    <row r="984" spans="1:26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</row>
    <row r="985" spans="1:26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</row>
    <row r="986" spans="1:26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</row>
    <row r="987" spans="1:26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</row>
    <row r="988" spans="1:26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</row>
    <row r="989" spans="1:26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</row>
    <row r="990" spans="1:26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</row>
    <row r="991" spans="1:26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</row>
    <row r="992" spans="1:26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</row>
    <row r="993" spans="1:26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</row>
    <row r="994" spans="1:26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</row>
    <row r="995" spans="1:26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</row>
    <row r="996" spans="1:26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</row>
    <row r="997" spans="1:26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</row>
    <row r="998" spans="1:26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</row>
    <row r="999" spans="1:26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</row>
    <row r="1000" spans="1:26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</row>
  </sheetData>
  <conditionalFormatting sqref="H11:H23 I5:K12 I13:J13 I15:K20 I22:K29 I31:K45 Q13:R18 R20:R28">
    <cfRule type="cellIs" dxfId="2" priority="1" stopIfTrue="1" operator="lessThan">
      <formula>0</formula>
    </cfRule>
  </conditionalFormatting>
  <conditionalFormatting sqref="Q20:Q28">
    <cfRule type="cellIs" dxfId="1" priority="2" operator="lessThan">
      <formula>0</formula>
    </cfRule>
  </conditionalFormatting>
  <conditionalFormatting sqref="E10:G11 E12:E26 F12:G21">
    <cfRule type="cellIs" dxfId="0" priority="3" stopIfTrue="1" operator="lessThan">
      <formula>0</formula>
    </cfRule>
  </conditionalFormatting>
  <pageMargins left="0.25" right="0.25" top="0.75" bottom="0.75" header="0" footer="0"/>
  <pageSetup paperSize="9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Início</vt:lpstr>
      <vt:lpstr>Alimentos</vt:lpstr>
      <vt:lpstr>Exigências</vt:lpstr>
      <vt:lpstr>ExigenciaLeitura</vt:lpstr>
      <vt:lpstr>Predição ED</vt:lpstr>
      <vt:lpstr>Check de dieta</vt:lpstr>
      <vt:lpstr>Relatório 1</vt:lpstr>
      <vt:lpstr>Relatório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Escola de Saúde Digestiva do Cavalo</dc:creator>
  <cp:lastModifiedBy>Luan Carlos</cp:lastModifiedBy>
  <cp:lastPrinted>2025-04-17T02:03:23Z</cp:lastPrinted>
  <dcterms:created xsi:type="dcterms:W3CDTF">2023-10-12T10:25:37Z</dcterms:created>
  <dcterms:modified xsi:type="dcterms:W3CDTF">2025-07-05T21:04:25Z</dcterms:modified>
</cp:coreProperties>
</file>