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Sales" sheetId="1" r:id="rId4"/>
    <sheet state="visible" name="Products" sheetId="2" r:id="rId5"/>
    <sheet state="visible" name="Customers" sheetId="3" r:id="rId6"/>
    <sheet state="visible" name="Transactions" sheetId="4" r:id="rId7"/>
    <sheet state="visible" name=" Dashboard" sheetId="5" r:id="rId8"/>
  </sheets>
  <definedNames/>
  <calcPr/>
</workbook>
</file>

<file path=xl/sharedStrings.xml><?xml version="1.0" encoding="utf-8"?>
<sst xmlns="http://schemas.openxmlformats.org/spreadsheetml/2006/main" count="11645" uniqueCount="6202">
  <si>
    <t>transaction_id</t>
  </si>
  <si>
    <t>product_id</t>
  </si>
  <si>
    <t>customer_id</t>
  </si>
  <si>
    <t>transaction_date</t>
  </si>
  <si>
    <t>product_name</t>
  </si>
  <si>
    <t>product_category</t>
  </si>
  <si>
    <t>product_price</t>
  </si>
  <si>
    <t>customer_first_name</t>
  </si>
  <si>
    <t>customer_last_name</t>
  </si>
  <si>
    <t>customer_email</t>
  </si>
  <si>
    <t>customer_country</t>
  </si>
  <si>
    <t>customer_postal_code</t>
  </si>
  <si>
    <t>transaction_quantity</t>
  </si>
  <si>
    <t>transaction_total</t>
  </si>
  <si>
    <t>payment_method</t>
  </si>
  <si>
    <t>shipping_address</t>
  </si>
  <si>
    <t>shipping_city</t>
  </si>
  <si>
    <t>shipping_state</t>
  </si>
  <si>
    <t>shipping_zip_code</t>
  </si>
  <si>
    <t>shipping_country</t>
  </si>
  <si>
    <t>transaction_status</t>
  </si>
  <si>
    <t>Ultra-Thin Laptop Sleeve</t>
  </si>
  <si>
    <t>Accessories</t>
  </si>
  <si>
    <t>Gayelord</t>
  </si>
  <si>
    <t>Vieyra</t>
  </si>
  <si>
    <t>gvieyra0@noaa.gov</t>
  </si>
  <si>
    <t>France</t>
  </si>
  <si>
    <t>67454 CEDEX</t>
  </si>
  <si>
    <t>Credit Card</t>
  </si>
  <si>
    <t>Room 589</t>
  </si>
  <si>
    <t>Mundolsheim</t>
  </si>
  <si>
    <t>Alsace</t>
  </si>
  <si>
    <t>China</t>
  </si>
  <si>
    <t>Delivered</t>
  </si>
  <si>
    <t>Sweet Chili Thai Sauce</t>
  </si>
  <si>
    <t>Food - Condiments</t>
  </si>
  <si>
    <t>Luce</t>
  </si>
  <si>
    <t>McIlwraith</t>
  </si>
  <si>
    <t>lmcilwraith1@eventbrite.com</t>
  </si>
  <si>
    <t>Sweden</t>
  </si>
  <si>
    <t>601 81</t>
  </si>
  <si>
    <t>PayPal</t>
  </si>
  <si>
    <t>1st Floor</t>
  </si>
  <si>
    <t>Norrköping</t>
  </si>
  <si>
    <t>Östergötland</t>
  </si>
  <si>
    <t>Pakistan</t>
  </si>
  <si>
    <t>Shipped</t>
  </si>
  <si>
    <t>Wireless Induction Charger</t>
  </si>
  <si>
    <t>Electronics</t>
  </si>
  <si>
    <t>Melisent</t>
  </si>
  <si>
    <t>Beglin</t>
  </si>
  <si>
    <t>mbeglin2@webs.com</t>
  </si>
  <si>
    <t>Cash</t>
  </si>
  <si>
    <t>Room 1337</t>
  </si>
  <si>
    <t>Zhenjiang</t>
  </si>
  <si>
    <t>Herbed Mushroom Risotto</t>
  </si>
  <si>
    <t>Food - Prepared Foods</t>
  </si>
  <si>
    <t>Giustina</t>
  </si>
  <si>
    <t>Hares</t>
  </si>
  <si>
    <t>ghares3@phoca.cz</t>
  </si>
  <si>
    <t>PO Box 9341</t>
  </si>
  <si>
    <t>Zhuxi</t>
  </si>
  <si>
    <t>Israel</t>
  </si>
  <si>
    <t>Pesto Pasta Sauce</t>
  </si>
  <si>
    <t>Food - Sauces</t>
  </si>
  <si>
    <t>Burch</t>
  </si>
  <si>
    <t>Spurden</t>
  </si>
  <si>
    <t>bspurden4@chicagotribune.com</t>
  </si>
  <si>
    <t>Russia</t>
  </si>
  <si>
    <t>Apt 1994</t>
  </si>
  <si>
    <t>Vishnyakovskiye Dachi</t>
  </si>
  <si>
    <t>Pending</t>
  </si>
  <si>
    <t>Digital Food Thermometer</t>
  </si>
  <si>
    <t>Kitchen</t>
  </si>
  <si>
    <t>D'arcy</t>
  </si>
  <si>
    <t>Norvel</t>
  </si>
  <si>
    <t>dnorvel5@deviantart.com</t>
  </si>
  <si>
    <t>Tanzania</t>
  </si>
  <si>
    <t>Room 414</t>
  </si>
  <si>
    <t>Lulindi</t>
  </si>
  <si>
    <t>Vegetable Spiralizer</t>
  </si>
  <si>
    <t>Westley</t>
  </si>
  <si>
    <t>Krier</t>
  </si>
  <si>
    <t>wkrier6@jalbum.net</t>
  </si>
  <si>
    <t>Suite 91</t>
  </si>
  <si>
    <t>Daxi</t>
  </si>
  <si>
    <t>Angola</t>
  </si>
  <si>
    <t>Travel Hair Straightener</t>
  </si>
  <si>
    <t>Beauty</t>
  </si>
  <si>
    <t>Clayton</t>
  </si>
  <si>
    <t>Quenby</t>
  </si>
  <si>
    <t>cquenby7@ebay.com</t>
  </si>
  <si>
    <t>South Korea</t>
  </si>
  <si>
    <t>Apt 106</t>
  </si>
  <si>
    <t>Reiko</t>
  </si>
  <si>
    <t>Sudan</t>
  </si>
  <si>
    <t>Dog Collar</t>
  </si>
  <si>
    <t>Pets</t>
  </si>
  <si>
    <t>Dalston</t>
  </si>
  <si>
    <t>Darkins</t>
  </si>
  <si>
    <t>ddarkins8@vinaora.com</t>
  </si>
  <si>
    <t>United States</t>
  </si>
  <si>
    <t>Apt 1795</t>
  </si>
  <si>
    <t>Pasadena</t>
  </si>
  <si>
    <t>California</t>
  </si>
  <si>
    <t>511-0514</t>
  </si>
  <si>
    <t>Japan</t>
  </si>
  <si>
    <t>Compact Electric Kettle</t>
  </si>
  <si>
    <t>Courtenay</t>
  </si>
  <si>
    <t>Gilpillan</t>
  </si>
  <si>
    <t>cgilpillan9@elpais.com</t>
  </si>
  <si>
    <t>PO Box 16379</t>
  </si>
  <si>
    <t>Yongfeng</t>
  </si>
  <si>
    <t>89-620</t>
  </si>
  <si>
    <t>Poland</t>
  </si>
  <si>
    <t>Italian Herb Balsamic Marinade</t>
  </si>
  <si>
    <t>Pernell</t>
  </si>
  <si>
    <t>Sawley</t>
  </si>
  <si>
    <t>psawleya@nydailynews.com</t>
  </si>
  <si>
    <t>Indonesia</t>
  </si>
  <si>
    <t>Room 1261</t>
  </si>
  <si>
    <t>Baturaja</t>
  </si>
  <si>
    <t>Whipped Cream Cheese</t>
  </si>
  <si>
    <t>Food - Dairy</t>
  </si>
  <si>
    <t>Kristyn</t>
  </si>
  <si>
    <t>Alejandre</t>
  </si>
  <si>
    <t>kalejandreb@google.fr</t>
  </si>
  <si>
    <t>Czech Republic</t>
  </si>
  <si>
    <t>679 11</t>
  </si>
  <si>
    <t>Room 663</t>
  </si>
  <si>
    <t>Doubravice nad Svitavou</t>
  </si>
  <si>
    <t>Netherlands</t>
  </si>
  <si>
    <t>Lemon Lime Sparkling Water</t>
  </si>
  <si>
    <t>Food - Beverages</t>
  </si>
  <si>
    <t>Donnajean</t>
  </si>
  <si>
    <t>Truitt</t>
  </si>
  <si>
    <t>dtruittc@networkadvertising.org</t>
  </si>
  <si>
    <t>Peru</t>
  </si>
  <si>
    <t>Apt 1330</t>
  </si>
  <si>
    <t>Palca</t>
  </si>
  <si>
    <t>Nepal</t>
  </si>
  <si>
    <t>Over-The-Door Shoe Organizer</t>
  </si>
  <si>
    <t>Home</t>
  </si>
  <si>
    <t>Moe</t>
  </si>
  <si>
    <t>Siebart</t>
  </si>
  <si>
    <t>msiebartd@census.gov</t>
  </si>
  <si>
    <t>Belarus</t>
  </si>
  <si>
    <t>PO Box 11253</t>
  </si>
  <si>
    <t>Khodasy</t>
  </si>
  <si>
    <t>Trackpad for Laptop</t>
  </si>
  <si>
    <t>Gibby</t>
  </si>
  <si>
    <t>Ibanez</t>
  </si>
  <si>
    <t>gibaneze@oakley.com</t>
  </si>
  <si>
    <t>Room 724</t>
  </si>
  <si>
    <t>Puncakwangi</t>
  </si>
  <si>
    <t>555 94</t>
  </si>
  <si>
    <t>Electric Griddle with Lid</t>
  </si>
  <si>
    <t>Bartholomeo</t>
  </si>
  <si>
    <t>Huggons</t>
  </si>
  <si>
    <t>bhuggonsf@bandcamp.com</t>
  </si>
  <si>
    <t>Apt 342</t>
  </si>
  <si>
    <t>Nangkapayung</t>
  </si>
  <si>
    <t>29000-000</t>
  </si>
  <si>
    <t>Brazil</t>
  </si>
  <si>
    <t>Smart Plug</t>
  </si>
  <si>
    <t>Smart Home</t>
  </si>
  <si>
    <t>Carolee</t>
  </si>
  <si>
    <t>Lossman</t>
  </si>
  <si>
    <t>clossmang@usnews.com</t>
  </si>
  <si>
    <t>Switzerland</t>
  </si>
  <si>
    <t>Room 971</t>
  </si>
  <si>
    <t>Chur</t>
  </si>
  <si>
    <t>Kanton Graubünden</t>
  </si>
  <si>
    <t>58305-000</t>
  </si>
  <si>
    <t>Microfiber Cleaning Cloth Set</t>
  </si>
  <si>
    <t>Hill</t>
  </si>
  <si>
    <t>Izsak</t>
  </si>
  <si>
    <t>hizsakh@hubpages.com</t>
  </si>
  <si>
    <t>Argentina</t>
  </si>
  <si>
    <t>Apt 751</t>
  </si>
  <si>
    <t>Curuzú Cuatiá</t>
  </si>
  <si>
    <t>393 53</t>
  </si>
  <si>
    <t>Mediterranean Couscous</t>
  </si>
  <si>
    <t>Food - Grains</t>
  </si>
  <si>
    <t>Hayley</t>
  </si>
  <si>
    <t>Schurcke</t>
  </si>
  <si>
    <t>hschurckei@barnesandnoble.com</t>
  </si>
  <si>
    <t>PO Box 94503</t>
  </si>
  <si>
    <t>Popovo</t>
  </si>
  <si>
    <t>Jamaica</t>
  </si>
  <si>
    <t>Weighted Jump Rope</t>
  </si>
  <si>
    <t>Fitness</t>
  </si>
  <si>
    <t>Cristionna</t>
  </si>
  <si>
    <t>Tresise</t>
  </si>
  <si>
    <t>ctresisej@zdnet.com</t>
  </si>
  <si>
    <t>PO Box 32698</t>
  </si>
  <si>
    <t>Srunikrajan</t>
  </si>
  <si>
    <t>Instant Mashed Potatoes</t>
  </si>
  <si>
    <t>Food - Sides</t>
  </si>
  <si>
    <t>Gherardo</t>
  </si>
  <si>
    <t>Bonnell</t>
  </si>
  <si>
    <t>gbonnellk@senate.gov</t>
  </si>
  <si>
    <t>Suite 3</t>
  </si>
  <si>
    <t>Socos</t>
  </si>
  <si>
    <t>71109 CEDEX</t>
  </si>
  <si>
    <t>Vintage Button-Down Shirt</t>
  </si>
  <si>
    <t>Clothing - Shirts</t>
  </si>
  <si>
    <t>Dorry</t>
  </si>
  <si>
    <t>Benwell</t>
  </si>
  <si>
    <t>dbenwelll@soundcloud.com</t>
  </si>
  <si>
    <t>Room 1799</t>
  </si>
  <si>
    <t>Seren Barat</t>
  </si>
  <si>
    <t>Black Bean Soup</t>
  </si>
  <si>
    <t>Food - Soups</t>
  </si>
  <si>
    <t>Sherwin</t>
  </si>
  <si>
    <t>Golds</t>
  </si>
  <si>
    <t>sgoldsm@wisc.edu</t>
  </si>
  <si>
    <t>Croatia</t>
  </si>
  <si>
    <t>Suite 10</t>
  </si>
  <si>
    <t>Lopar</t>
  </si>
  <si>
    <t>Home Office Chair</t>
  </si>
  <si>
    <t>Furniture</t>
  </si>
  <si>
    <t>Nichols</t>
  </si>
  <si>
    <t>Edmenson</t>
  </si>
  <si>
    <t>nedmensonn@blogs.com</t>
  </si>
  <si>
    <t>Ukraine</t>
  </si>
  <si>
    <t>PO Box 67814</t>
  </si>
  <si>
    <t>Tul’chyn</t>
  </si>
  <si>
    <t>Honduras</t>
  </si>
  <si>
    <t>Car Vacuum Cleaner</t>
  </si>
  <si>
    <t>Automotive</t>
  </si>
  <si>
    <t>Jorey</t>
  </si>
  <si>
    <t>Haker</t>
  </si>
  <si>
    <t>jhakero@mozilla.org</t>
  </si>
  <si>
    <t>Suite 78</t>
  </si>
  <si>
    <t>Krajan Tengah</t>
  </si>
  <si>
    <t>Savory Rice Cakes</t>
  </si>
  <si>
    <t>Food - Snacks</t>
  </si>
  <si>
    <t>Chas</t>
  </si>
  <si>
    <t>Chagg</t>
  </si>
  <si>
    <t>cchaggp@addthis.com</t>
  </si>
  <si>
    <t>Philippines</t>
  </si>
  <si>
    <t>Apt 813</t>
  </si>
  <si>
    <t>San Emilio</t>
  </si>
  <si>
    <t>Digital Drawing Tablet</t>
  </si>
  <si>
    <t>Art Supplies</t>
  </si>
  <si>
    <t>Kirbie</t>
  </si>
  <si>
    <t>Rothon</t>
  </si>
  <si>
    <t>krothonq@cbsnews.com</t>
  </si>
  <si>
    <t>Morocco</t>
  </si>
  <si>
    <t>PO Box 55080</t>
  </si>
  <si>
    <t>Timoulilt</t>
  </si>
  <si>
    <t>Cambodia</t>
  </si>
  <si>
    <t>Biodegradable Trash Bags</t>
  </si>
  <si>
    <t>Lotte</t>
  </si>
  <si>
    <t>Hazeldene</t>
  </si>
  <si>
    <t>lhazeldener@cbc.ca</t>
  </si>
  <si>
    <t>Portugal</t>
  </si>
  <si>
    <t>8400-661</t>
  </si>
  <si>
    <t>19th Floor</t>
  </si>
  <si>
    <t>Aldeia da Bela Vista</t>
  </si>
  <si>
    <t>Faro</t>
  </si>
  <si>
    <t>Camera Lens Cleaning Kit</t>
  </si>
  <si>
    <t>Photography</t>
  </si>
  <si>
    <t>Lida</t>
  </si>
  <si>
    <t>Ades</t>
  </si>
  <si>
    <t>ladess@fda.gov</t>
  </si>
  <si>
    <t>Vietnam</t>
  </si>
  <si>
    <t>PO Box 22575</t>
  </si>
  <si>
    <t>Lâm Thao</t>
  </si>
  <si>
    <t>83087 CEDEX 9</t>
  </si>
  <si>
    <t>Ribbed Knit Dress</t>
  </si>
  <si>
    <t>Clothing - Dresses</t>
  </si>
  <si>
    <t>Sullivan</t>
  </si>
  <si>
    <t>Huster</t>
  </si>
  <si>
    <t>shustert@nih.gov</t>
  </si>
  <si>
    <t>Panama</t>
  </si>
  <si>
    <t>7th Floor</t>
  </si>
  <si>
    <t>Plaza de Caisán</t>
  </si>
  <si>
    <t>Shower Curtain Hooks</t>
  </si>
  <si>
    <t>Eimile</t>
  </si>
  <si>
    <t>Boase</t>
  </si>
  <si>
    <t>eboaseu@gov.uk</t>
  </si>
  <si>
    <t>57800-000</t>
  </si>
  <si>
    <t>Room 447</t>
  </si>
  <si>
    <t>União dos Palmares</t>
  </si>
  <si>
    <t>987-0352</t>
  </si>
  <si>
    <t>Guitar Tuner</t>
  </si>
  <si>
    <t>Music</t>
  </si>
  <si>
    <t>Jude</t>
  </si>
  <si>
    <t>Monery</t>
  </si>
  <si>
    <t>jmoneryv@cbslocal.com</t>
  </si>
  <si>
    <t>Greece</t>
  </si>
  <si>
    <t>2nd Floor</t>
  </si>
  <si>
    <t>Níkaia</t>
  </si>
  <si>
    <t>Thai Basil Fried Rice</t>
  </si>
  <si>
    <t>Food - Frozen</t>
  </si>
  <si>
    <t>Fania</t>
  </si>
  <si>
    <t>Breheny</t>
  </si>
  <si>
    <t>fbrehenyw@buzzfeed.com</t>
  </si>
  <si>
    <t>11th Floor</t>
  </si>
  <si>
    <t>Arenal</t>
  </si>
  <si>
    <t>648-0002</t>
  </si>
  <si>
    <t>Rechargeable Hand Warmer</t>
  </si>
  <si>
    <t>Dex</t>
  </si>
  <si>
    <t>Pinner</t>
  </si>
  <si>
    <t>dpinnerx@skype.com</t>
  </si>
  <si>
    <t>Suite 68</t>
  </si>
  <si>
    <t>Huangdu</t>
  </si>
  <si>
    <t>Canned Coconut Milk</t>
  </si>
  <si>
    <t>Food - Canned Goods</t>
  </si>
  <si>
    <t>Glendon</t>
  </si>
  <si>
    <t>Boome</t>
  </si>
  <si>
    <t>gboomey@mashable.com</t>
  </si>
  <si>
    <t>Room 191</t>
  </si>
  <si>
    <t>Novyy Nekouz</t>
  </si>
  <si>
    <t>Cuba</t>
  </si>
  <si>
    <t>Tuna Fish (canned)</t>
  </si>
  <si>
    <t>Celestia</t>
  </si>
  <si>
    <t>Guerrieri</t>
  </si>
  <si>
    <t>cguerrieriz@amazon.de</t>
  </si>
  <si>
    <t>Suite 14</t>
  </si>
  <si>
    <t>Luojiang</t>
  </si>
  <si>
    <t>BBQ Lentil Chips</t>
  </si>
  <si>
    <t>Karlotta</t>
  </si>
  <si>
    <t>Burrell</t>
  </si>
  <si>
    <t>kburrell10@nps.gov</t>
  </si>
  <si>
    <t>Bulgaria</t>
  </si>
  <si>
    <t>Room 653</t>
  </si>
  <si>
    <t>Belene</t>
  </si>
  <si>
    <t>Syria</t>
  </si>
  <si>
    <t>Honey BBQ Ribs</t>
  </si>
  <si>
    <t>Food - Meat</t>
  </si>
  <si>
    <t>Ulises</t>
  </si>
  <si>
    <t>Scutts</t>
  </si>
  <si>
    <t>uscutts11@meetup.com</t>
  </si>
  <si>
    <t>Apt 1162</t>
  </si>
  <si>
    <t>Saint Paul</t>
  </si>
  <si>
    <t>Minnesota</t>
  </si>
  <si>
    <t>97404 CEDEX</t>
  </si>
  <si>
    <t>Reunion</t>
  </si>
  <si>
    <t>Foot Spa Bath Massager</t>
  </si>
  <si>
    <t>Health</t>
  </si>
  <si>
    <t>Tristam</t>
  </si>
  <si>
    <t>Tofanelli</t>
  </si>
  <si>
    <t>ttofanelli12@guardian.co.uk</t>
  </si>
  <si>
    <t>4625-220</t>
  </si>
  <si>
    <t>Room 1351</t>
  </si>
  <si>
    <t>Eira Nova</t>
  </si>
  <si>
    <t>Porto</t>
  </si>
  <si>
    <t>2775-035</t>
  </si>
  <si>
    <t>Electric Kettle with Temperature Control</t>
  </si>
  <si>
    <t>Shandeigh</t>
  </si>
  <si>
    <t>Scarbarrow</t>
  </si>
  <si>
    <t>sscarbarrow13@zimbio.com</t>
  </si>
  <si>
    <t>8th Floor</t>
  </si>
  <si>
    <t>Cipasung</t>
  </si>
  <si>
    <t>Classic Black Dress</t>
  </si>
  <si>
    <t>Ivie</t>
  </si>
  <si>
    <t>Trusdale</t>
  </si>
  <si>
    <t>itrusdale14@army.mil</t>
  </si>
  <si>
    <t>PO Box 41004</t>
  </si>
  <si>
    <t>Lunang</t>
  </si>
  <si>
    <t>Chile</t>
  </si>
  <si>
    <t>Pasta Portion Control Measure</t>
  </si>
  <si>
    <t>Winny</t>
  </si>
  <si>
    <t>Sissens</t>
  </si>
  <si>
    <t>wsissens15@aboutads.info</t>
  </si>
  <si>
    <t>2425-702</t>
  </si>
  <si>
    <t>PO Box 25324</t>
  </si>
  <si>
    <t>Ameixoeira</t>
  </si>
  <si>
    <t>Leiria</t>
  </si>
  <si>
    <t>Ice Cream Maker</t>
  </si>
  <si>
    <t>Rickey</t>
  </si>
  <si>
    <t>Sydenham</t>
  </si>
  <si>
    <t>rsydenham16@blogger.com</t>
  </si>
  <si>
    <t>PO Box 12617</t>
  </si>
  <si>
    <t>Jing’an</t>
  </si>
  <si>
    <t>G5J</t>
  </si>
  <si>
    <t>Canada</t>
  </si>
  <si>
    <t>Organic Italian Seasoning</t>
  </si>
  <si>
    <t>Food - Spices</t>
  </si>
  <si>
    <t>Enrique</t>
  </si>
  <si>
    <t>Mustin</t>
  </si>
  <si>
    <t>emustin17@elegantthemes.com</t>
  </si>
  <si>
    <t>Bangladesh</t>
  </si>
  <si>
    <t>Apt 949</t>
  </si>
  <si>
    <t>Phultala</t>
  </si>
  <si>
    <t>Clyde</t>
  </si>
  <si>
    <t>Sawkin</t>
  </si>
  <si>
    <t>csawkin18@wordpress.com</t>
  </si>
  <si>
    <t>Suite 94</t>
  </si>
  <si>
    <t>Dongsheng</t>
  </si>
  <si>
    <t>Zambia</t>
  </si>
  <si>
    <t>Teriyaki Stir-Fry Sauce</t>
  </si>
  <si>
    <t>Veronica</t>
  </si>
  <si>
    <t>Woodroffe</t>
  </si>
  <si>
    <t>vwoodroffe19@facebook.com</t>
  </si>
  <si>
    <t>Suite 20</t>
  </si>
  <si>
    <t>Campaka</t>
  </si>
  <si>
    <t>Smashed Avocado with Lime</t>
  </si>
  <si>
    <t>Niel</t>
  </si>
  <si>
    <t>Fillingham</t>
  </si>
  <si>
    <t>nfillingham1a@noaa.gov</t>
  </si>
  <si>
    <t>Apt 1493</t>
  </si>
  <si>
    <t>Lengkeng</t>
  </si>
  <si>
    <t>Fridge Magnet Set</t>
  </si>
  <si>
    <t>Derrek</t>
  </si>
  <si>
    <t>Cranefield</t>
  </si>
  <si>
    <t>dcranefield1b@economist.com</t>
  </si>
  <si>
    <t>Apt 6</t>
  </si>
  <si>
    <t>Ramat Gan</t>
  </si>
  <si>
    <t>Gardening Kneeler and Seat</t>
  </si>
  <si>
    <t>Garden</t>
  </si>
  <si>
    <t>Sammy</t>
  </si>
  <si>
    <t>Noel</t>
  </si>
  <si>
    <t>snoel1c@shop-pro.jp</t>
  </si>
  <si>
    <t>PO Box 97556</t>
  </si>
  <si>
    <t>Pueblo Nuevo</t>
  </si>
  <si>
    <t>58028 CEDEX</t>
  </si>
  <si>
    <t>Peanut Butter Chocolate Chip Bars</t>
  </si>
  <si>
    <t>Ibbie</t>
  </si>
  <si>
    <t>Ravenscroft</t>
  </si>
  <si>
    <t>iravenscroft1d@istockphoto.com</t>
  </si>
  <si>
    <t>13th Floor</t>
  </si>
  <si>
    <t>Wuli</t>
  </si>
  <si>
    <t>Classic Minestrone Soup</t>
  </si>
  <si>
    <t>Agna</t>
  </si>
  <si>
    <t>Pawelczyk</t>
  </si>
  <si>
    <t>apawelczyk1e@merriam-webster.com</t>
  </si>
  <si>
    <t>77004 CEDEX</t>
  </si>
  <si>
    <t>PO Box 26505</t>
  </si>
  <si>
    <t>Melun</t>
  </si>
  <si>
    <t>Île-de-France</t>
  </si>
  <si>
    <t>Kazakhstan</t>
  </si>
  <si>
    <t>Thyme</t>
  </si>
  <si>
    <t>Food - Fresh Produce</t>
  </si>
  <si>
    <t>Judy</t>
  </si>
  <si>
    <t>Huet</t>
  </si>
  <si>
    <t>jhuet1f@bloglovin.com</t>
  </si>
  <si>
    <t>Apt 1253</t>
  </si>
  <si>
    <t>Krajan</t>
  </si>
  <si>
    <t>Uruguay</t>
  </si>
  <si>
    <t>Instant Pot</t>
  </si>
  <si>
    <t>Gunilla</t>
  </si>
  <si>
    <t>Voss</t>
  </si>
  <si>
    <t>gvoss1g@nydailynews.com</t>
  </si>
  <si>
    <t>PO Box 6554</t>
  </si>
  <si>
    <t>Aniso</t>
  </si>
  <si>
    <t>Portable Pet Bathing Tool</t>
  </si>
  <si>
    <t>Nani</t>
  </si>
  <si>
    <t>Veschi</t>
  </si>
  <si>
    <t>nveschi1h@google.co.jp</t>
  </si>
  <si>
    <t>Norway</t>
  </si>
  <si>
    <t>12th Floor</t>
  </si>
  <si>
    <t>Oslo</t>
  </si>
  <si>
    <t>Blackberry Jam</t>
  </si>
  <si>
    <t>Roseanna</t>
  </si>
  <si>
    <t>Rolf</t>
  </si>
  <si>
    <t>rrolf1i@squidoo.com</t>
  </si>
  <si>
    <t>South Africa</t>
  </si>
  <si>
    <t>Room 784</t>
  </si>
  <si>
    <t>East London</t>
  </si>
  <si>
    <t>Senegal</t>
  </si>
  <si>
    <t>Cinnamon Roll Protein Bar</t>
  </si>
  <si>
    <t>Johannah</t>
  </si>
  <si>
    <t>Gland</t>
  </si>
  <si>
    <t>jgland1j@360.cn</t>
  </si>
  <si>
    <t>751 87</t>
  </si>
  <si>
    <t>15th Floor</t>
  </si>
  <si>
    <t>Uppsala</t>
  </si>
  <si>
    <t>03006 CEDEX</t>
  </si>
  <si>
    <t>Energy Bites</t>
  </si>
  <si>
    <t>Merell</t>
  </si>
  <si>
    <t>Kittiman</t>
  </si>
  <si>
    <t>mkittiman1k@usda.gov</t>
  </si>
  <si>
    <t>PO Box 33496</t>
  </si>
  <si>
    <t>Seoam</t>
  </si>
  <si>
    <t>Palestinian Territory</t>
  </si>
  <si>
    <t>Trendy Bomber Jacket</t>
  </si>
  <si>
    <t>Clothing - Outerwear</t>
  </si>
  <si>
    <t>Anya</t>
  </si>
  <si>
    <t>Steventon</t>
  </si>
  <si>
    <t>asteventon1l@biglobe.ne.jp</t>
  </si>
  <si>
    <t>PO Box 76231</t>
  </si>
  <si>
    <t>Salt Lake City</t>
  </si>
  <si>
    <t>Utah</t>
  </si>
  <si>
    <t>Portable Blender</t>
  </si>
  <si>
    <t>Jasmina</t>
  </si>
  <si>
    <t>Weatherhead</t>
  </si>
  <si>
    <t>jweatherhead1m@baidu.com</t>
  </si>
  <si>
    <t>El Salvador</t>
  </si>
  <si>
    <t>Suite 46</t>
  </si>
  <si>
    <t>Tenancingo</t>
  </si>
  <si>
    <t>Cilantro Lime Rice</t>
  </si>
  <si>
    <t>Enrichetta</t>
  </si>
  <si>
    <t>Brundell</t>
  </si>
  <si>
    <t>ebrundell1n@bloglines.com</t>
  </si>
  <si>
    <t>PO Box 82130</t>
  </si>
  <si>
    <t>Sagua de Tánamo</t>
  </si>
  <si>
    <t>Hiking Gaiters</t>
  </si>
  <si>
    <t>Outdoor</t>
  </si>
  <si>
    <t>Barbi</t>
  </si>
  <si>
    <t>Scobie</t>
  </si>
  <si>
    <t>bscobie1o@spotify.com</t>
  </si>
  <si>
    <t>Saudi Arabia</t>
  </si>
  <si>
    <t>Room 240</t>
  </si>
  <si>
    <t>Abha</t>
  </si>
  <si>
    <t>Pretzel Bites</t>
  </si>
  <si>
    <t>Baryram</t>
  </si>
  <si>
    <t>Muckian</t>
  </si>
  <si>
    <t>bmuckian1p@comcast.net</t>
  </si>
  <si>
    <t>6230-636</t>
  </si>
  <si>
    <t>Room 964</t>
  </si>
  <si>
    <t>Silvares</t>
  </si>
  <si>
    <t>Castelo Branco</t>
  </si>
  <si>
    <t>Homestyle Chicken Noodle Soup</t>
  </si>
  <si>
    <t>Barri</t>
  </si>
  <si>
    <t>Brownsword</t>
  </si>
  <si>
    <t>bbrownsword1q@wikimedia.org</t>
  </si>
  <si>
    <t>788 14</t>
  </si>
  <si>
    <t>PO Box 84104</t>
  </si>
  <si>
    <t>Terezín</t>
  </si>
  <si>
    <t>Dog Training Clicker</t>
  </si>
  <si>
    <t>Emelda</t>
  </si>
  <si>
    <t>Hafner</t>
  </si>
  <si>
    <t>ehafner1r@privacy.gov.au</t>
  </si>
  <si>
    <t>PO Box 15435</t>
  </si>
  <si>
    <t>Al Hadā</t>
  </si>
  <si>
    <t>Mexico</t>
  </si>
  <si>
    <t>Siphon Coffee Maker</t>
  </si>
  <si>
    <t>Annabela</t>
  </si>
  <si>
    <t>Pavlata</t>
  </si>
  <si>
    <t>apavlata1s@ucoz.com</t>
  </si>
  <si>
    <t>Benin</t>
  </si>
  <si>
    <t>PO Box 86955</t>
  </si>
  <si>
    <t>Dassa-Zoumé</t>
  </si>
  <si>
    <t>Compressible Packing Cubes</t>
  </si>
  <si>
    <t>Travel</t>
  </si>
  <si>
    <t>Perrine</t>
  </si>
  <si>
    <t>Luipold</t>
  </si>
  <si>
    <t>pluipold1t@moonfruit.com</t>
  </si>
  <si>
    <t>55400-000</t>
  </si>
  <si>
    <t>9th Floor</t>
  </si>
  <si>
    <t>Catende</t>
  </si>
  <si>
    <t>Sweet Potatoes</t>
  </si>
  <si>
    <t>Food - Produce</t>
  </si>
  <si>
    <t>Kathi</t>
  </si>
  <si>
    <t>Jopling</t>
  </si>
  <si>
    <t>kjopling1u@exblog.jp</t>
  </si>
  <si>
    <t>Suite 97</t>
  </si>
  <si>
    <t>Cibatu</t>
  </si>
  <si>
    <t>62-641</t>
  </si>
  <si>
    <t>Herb Garden Planter Box</t>
  </si>
  <si>
    <t>Annie</t>
  </si>
  <si>
    <t>Sodo</t>
  </si>
  <si>
    <t>asodo1v@rediff.com</t>
  </si>
  <si>
    <t>11250-000</t>
  </si>
  <si>
    <t>Apt 205</t>
  </si>
  <si>
    <t>Bertioga</t>
  </si>
  <si>
    <t>Almond Butter</t>
  </si>
  <si>
    <t>Alysia</t>
  </si>
  <si>
    <t>Withers</t>
  </si>
  <si>
    <t>awithers1w@delicious.com</t>
  </si>
  <si>
    <t>Apt 714</t>
  </si>
  <si>
    <t>Polovinnoye</t>
  </si>
  <si>
    <t>Frozen Chicken Nuggets</t>
  </si>
  <si>
    <t>Food - Frozen Foods</t>
  </si>
  <si>
    <t>Nata</t>
  </si>
  <si>
    <t>Stirley</t>
  </si>
  <si>
    <t>nstirley1x@adobe.com</t>
  </si>
  <si>
    <t>Apt 549</t>
  </si>
  <si>
    <t>Koltubanovskiy</t>
  </si>
  <si>
    <t>Madagascar</t>
  </si>
  <si>
    <t>Over-the-Door Shoe Organizer</t>
  </si>
  <si>
    <t>Shirlee</t>
  </si>
  <si>
    <t>Boatwright</t>
  </si>
  <si>
    <t>sboatwright1y@prweb.com</t>
  </si>
  <si>
    <t>Room 1264</t>
  </si>
  <si>
    <t>Lesogorsk</t>
  </si>
  <si>
    <t>59-330</t>
  </si>
  <si>
    <t>Honey Sesame Cashews</t>
  </si>
  <si>
    <t>Geoffry</t>
  </si>
  <si>
    <t>Dybell</t>
  </si>
  <si>
    <t>gdybell1z@technorati.com</t>
  </si>
  <si>
    <t>Myanmar</t>
  </si>
  <si>
    <t>Room 479</t>
  </si>
  <si>
    <t>Mudon</t>
  </si>
  <si>
    <t>14000-000</t>
  </si>
  <si>
    <t>Watercolor Set</t>
  </si>
  <si>
    <t>Jelene</t>
  </si>
  <si>
    <t>Kyllford</t>
  </si>
  <si>
    <t>jkyllford20@cdbaby.com</t>
  </si>
  <si>
    <t>949-1742</t>
  </si>
  <si>
    <t>10th Floor</t>
  </si>
  <si>
    <t>Jōetsu</t>
  </si>
  <si>
    <t>Pest Control Traps</t>
  </si>
  <si>
    <t>Dix</t>
  </si>
  <si>
    <t>Greenroad</t>
  </si>
  <si>
    <t>dgreenroad21@ning.com</t>
  </si>
  <si>
    <t>16th Floor</t>
  </si>
  <si>
    <t>Chengxi</t>
  </si>
  <si>
    <t>345 35</t>
  </si>
  <si>
    <t>Portable Jump Starter</t>
  </si>
  <si>
    <t>Jeno</t>
  </si>
  <si>
    <t>McManamon</t>
  </si>
  <si>
    <t>jmcmanamon22@webmd.com</t>
  </si>
  <si>
    <t>Peicheng</t>
  </si>
  <si>
    <t>Tropical Fruit Bowl</t>
  </si>
  <si>
    <t>Timoteo</t>
  </si>
  <si>
    <t>Kryska</t>
  </si>
  <si>
    <t>tkryska23@eepurl.com</t>
  </si>
  <si>
    <t>Ecuador</t>
  </si>
  <si>
    <t>20th Floor</t>
  </si>
  <si>
    <t>Eloy Alfaro</t>
  </si>
  <si>
    <t>Essential Oil Diffuser</t>
  </si>
  <si>
    <t>Constancia</t>
  </si>
  <si>
    <t>Hickinbottom</t>
  </si>
  <si>
    <t>chickinbottom24@mysql.com</t>
  </si>
  <si>
    <t>Room 548</t>
  </si>
  <si>
    <t>Shuanghekou</t>
  </si>
  <si>
    <t>Trinidad and Tobago</t>
  </si>
  <si>
    <t>Pumpkin Spice Pancake Mix</t>
  </si>
  <si>
    <t>Food - Breakfast</t>
  </si>
  <si>
    <t>Barret</t>
  </si>
  <si>
    <t>Bernhart</t>
  </si>
  <si>
    <t>bbernhart25@intel.com</t>
  </si>
  <si>
    <t>Thailand</t>
  </si>
  <si>
    <t>Suite 80</t>
  </si>
  <si>
    <t>Na Tan</t>
  </si>
  <si>
    <t>Germany</t>
  </si>
  <si>
    <t>Inspirational Wall Art</t>
  </si>
  <si>
    <t>Raimundo</t>
  </si>
  <si>
    <t>Moxted</t>
  </si>
  <si>
    <t>rmoxted26@amazon.co.jp</t>
  </si>
  <si>
    <t>Room 1081</t>
  </si>
  <si>
    <t>Wuxiang</t>
  </si>
  <si>
    <t>58300-000</t>
  </si>
  <si>
    <t>Maple Cinnamon Almonds</t>
  </si>
  <si>
    <t>Food - Nuts</t>
  </si>
  <si>
    <t>Gay</t>
  </si>
  <si>
    <t>Fairholme</t>
  </si>
  <si>
    <t>gfairholme27@army.mil</t>
  </si>
  <si>
    <t>4th Floor</t>
  </si>
  <si>
    <t>Dayanggezhuang</t>
  </si>
  <si>
    <t>37-230</t>
  </si>
  <si>
    <t>Honey Glazed Carrots</t>
  </si>
  <si>
    <t>Sancho</t>
  </si>
  <si>
    <t>Featherby</t>
  </si>
  <si>
    <t>sfeatherby28@addtoany.com</t>
  </si>
  <si>
    <t>Mongolia</t>
  </si>
  <si>
    <t>Badrah</t>
  </si>
  <si>
    <t>652 17</t>
  </si>
  <si>
    <t>Electric Wax Warmer</t>
  </si>
  <si>
    <t>Kimmy</t>
  </si>
  <si>
    <t>Beardsall</t>
  </si>
  <si>
    <t>kbeardsall29@pinterest.com</t>
  </si>
  <si>
    <t>82070 CEDEX</t>
  </si>
  <si>
    <t>PO Box 26836</t>
  </si>
  <si>
    <t>Montauban</t>
  </si>
  <si>
    <t>Midi-Pyrénées</t>
  </si>
  <si>
    <t>Artisan Cornbread Mix</t>
  </si>
  <si>
    <t>Food - Baking</t>
  </si>
  <si>
    <t>Ralph</t>
  </si>
  <si>
    <t>Giorgietto</t>
  </si>
  <si>
    <t>rgiorgietto2a@tuttocitta.it</t>
  </si>
  <si>
    <t>Wichita</t>
  </si>
  <si>
    <t>Kansas</t>
  </si>
  <si>
    <t>Screen Cleaning Kit</t>
  </si>
  <si>
    <t>Sonnie</t>
  </si>
  <si>
    <t>Brettoner</t>
  </si>
  <si>
    <t>sbrettoner2b@dropbox.com</t>
  </si>
  <si>
    <t>7480-205</t>
  </si>
  <si>
    <t>Benavila</t>
  </si>
  <si>
    <t>Portalegre</t>
  </si>
  <si>
    <t>Sliced Ham</t>
  </si>
  <si>
    <t>Beverley</t>
  </si>
  <si>
    <t>Argue</t>
  </si>
  <si>
    <t>bargue2c@bbb.org</t>
  </si>
  <si>
    <t>69814 CEDEX</t>
  </si>
  <si>
    <t>Room 1518</t>
  </si>
  <si>
    <t>Tassin-la-Demi-Lune</t>
  </si>
  <si>
    <t>Rhône-Alpes</t>
  </si>
  <si>
    <t>Thai Red Curry Paste</t>
  </si>
  <si>
    <t>Sylvester</t>
  </si>
  <si>
    <t>Bolwell</t>
  </si>
  <si>
    <t>sbolwell2d@de.vu</t>
  </si>
  <si>
    <t>Suite 34</t>
  </si>
  <si>
    <t>Kastsyukovichy</t>
  </si>
  <si>
    <t>89200-000</t>
  </si>
  <si>
    <t>Pumpkin Pie Spice</t>
  </si>
  <si>
    <t>Cornelia</t>
  </si>
  <si>
    <t>Shapcote</t>
  </si>
  <si>
    <t>cshapcote2e@state.tx.us</t>
  </si>
  <si>
    <t>PO Box 91928</t>
  </si>
  <si>
    <t>Wahang Dua</t>
  </si>
  <si>
    <t>Cauliflower Pizza Crust</t>
  </si>
  <si>
    <t>Gwendolin</t>
  </si>
  <si>
    <t>Marl</t>
  </si>
  <si>
    <t>gmarl2f@hexun.com</t>
  </si>
  <si>
    <t>PO Box 8383</t>
  </si>
  <si>
    <t>Loakulu</t>
  </si>
  <si>
    <t>504 75</t>
  </si>
  <si>
    <t>Gaming Mousepad</t>
  </si>
  <si>
    <t>Gaming</t>
  </si>
  <si>
    <t>Connie</t>
  </si>
  <si>
    <t>Swalteridge</t>
  </si>
  <si>
    <t>cswalteridge2g@sun.com</t>
  </si>
  <si>
    <t>Sewon</t>
  </si>
  <si>
    <t>Electric Heat Press Machine</t>
  </si>
  <si>
    <t>Crafts</t>
  </si>
  <si>
    <t>Maggie</t>
  </si>
  <si>
    <t>Trappe</t>
  </si>
  <si>
    <t>mtrappe2h@xinhuanet.com</t>
  </si>
  <si>
    <t>Afghanistan</t>
  </si>
  <si>
    <t>PO Box 1125</t>
  </si>
  <si>
    <t>Mīrābād</t>
  </si>
  <si>
    <t>Chocolate Mint Protein Shake</t>
  </si>
  <si>
    <t>Meredithe</t>
  </si>
  <si>
    <t>Kelwick</t>
  </si>
  <si>
    <t>mkelwick2i@wufoo.com</t>
  </si>
  <si>
    <t>Room 874</t>
  </si>
  <si>
    <t>Venustiano Carranza</t>
  </si>
  <si>
    <t>Chiapas</t>
  </si>
  <si>
    <t>Popcorn Chicken</t>
  </si>
  <si>
    <t>Zondra</t>
  </si>
  <si>
    <t>Maskrey</t>
  </si>
  <si>
    <t>zmaskrey2j@bloomberg.com</t>
  </si>
  <si>
    <t>Room 1221</t>
  </si>
  <si>
    <t>Sanya</t>
  </si>
  <si>
    <t>Spicy Kimchi</t>
  </si>
  <si>
    <t>Howey</t>
  </si>
  <si>
    <t>Keaveney</t>
  </si>
  <si>
    <t>hkeaveney2k@microsoft.com</t>
  </si>
  <si>
    <t>117 43</t>
  </si>
  <si>
    <t>PO Box 36717</t>
  </si>
  <si>
    <t>Stockholm</t>
  </si>
  <si>
    <t>Black Bean Spaghetti</t>
  </si>
  <si>
    <t>Food - Pasta</t>
  </si>
  <si>
    <t>Ollie</t>
  </si>
  <si>
    <t>Jakubowsky</t>
  </si>
  <si>
    <t>ojakubowsky2l@ted.com</t>
  </si>
  <si>
    <t>34-105</t>
  </si>
  <si>
    <t>Apt 1965</t>
  </si>
  <si>
    <t>Tomice</t>
  </si>
  <si>
    <t>Malawi</t>
  </si>
  <si>
    <t>Sports Water Bottle with Infuser</t>
  </si>
  <si>
    <t>Luciana</t>
  </si>
  <si>
    <t>Deniseau</t>
  </si>
  <si>
    <t>ldeniseau2m@columbia.edu</t>
  </si>
  <si>
    <t>541 33</t>
  </si>
  <si>
    <t>Room 901</t>
  </si>
  <si>
    <t>Skövde</t>
  </si>
  <si>
    <t>Västra Götaland</t>
  </si>
  <si>
    <t>Beef Taco Skillet</t>
  </si>
  <si>
    <t>Food - Meal Kits</t>
  </si>
  <si>
    <t>Nataline</t>
  </si>
  <si>
    <t>Marklin</t>
  </si>
  <si>
    <t>nmarklin2n@furl.net</t>
  </si>
  <si>
    <t>77-140</t>
  </si>
  <si>
    <t>Suite 93</t>
  </si>
  <si>
    <t>Kołczygłowy</t>
  </si>
  <si>
    <t>Organic Whole Grain Oats</t>
  </si>
  <si>
    <t>Cristin</t>
  </si>
  <si>
    <t>Veracruysse</t>
  </si>
  <si>
    <t>cveracruysse2o@sphinn.com</t>
  </si>
  <si>
    <t>Apt 1910</t>
  </si>
  <si>
    <t>Vónitsa</t>
  </si>
  <si>
    <t>Thai Peanut Dressing</t>
  </si>
  <si>
    <t>Bradford</t>
  </si>
  <si>
    <t>Ewers</t>
  </si>
  <si>
    <t>bewers2p@photobucket.com</t>
  </si>
  <si>
    <t>Laohekou</t>
  </si>
  <si>
    <t>43-229</t>
  </si>
  <si>
    <t>Sushi Rice</t>
  </si>
  <si>
    <t>Evelina</t>
  </si>
  <si>
    <t>Izacenko</t>
  </si>
  <si>
    <t>eizacenko2q@google.fr</t>
  </si>
  <si>
    <t>Huayan</t>
  </si>
  <si>
    <t>Classic Caesar Dressing</t>
  </si>
  <si>
    <t>Alameda</t>
  </si>
  <si>
    <t>Rabson</t>
  </si>
  <si>
    <t>arabson2r@hhs.gov</t>
  </si>
  <si>
    <t>Suite 82</t>
  </si>
  <si>
    <t>Maagnas</t>
  </si>
  <si>
    <t>Yoga Mat</t>
  </si>
  <si>
    <t>Zacharie</t>
  </si>
  <si>
    <t>Aronowicz</t>
  </si>
  <si>
    <t>zaronowicz2s@reuters.com</t>
  </si>
  <si>
    <t>Apt 1945</t>
  </si>
  <si>
    <t>Xinminxiang</t>
  </si>
  <si>
    <t>Bolivia</t>
  </si>
  <si>
    <t>Wireless HDMI Receiver</t>
  </si>
  <si>
    <t>Darice</t>
  </si>
  <si>
    <t>Sanz</t>
  </si>
  <si>
    <t>dsanz2t@lycos.com</t>
  </si>
  <si>
    <t>Macedonia</t>
  </si>
  <si>
    <t>PO Box 70952</t>
  </si>
  <si>
    <t>Debar</t>
  </si>
  <si>
    <t>Fleece Lined Leggings</t>
  </si>
  <si>
    <t>Clothing</t>
  </si>
  <si>
    <t>Nixie</t>
  </si>
  <si>
    <t>Grix</t>
  </si>
  <si>
    <t>ngrix2u@cam.ac.uk</t>
  </si>
  <si>
    <t>102 63</t>
  </si>
  <si>
    <t>PO Box 33540</t>
  </si>
  <si>
    <t>432 93</t>
  </si>
  <si>
    <t>Mushrooms</t>
  </si>
  <si>
    <t>Agata</t>
  </si>
  <si>
    <t>Legat</t>
  </si>
  <si>
    <t>alegat2v@latimes.com</t>
  </si>
  <si>
    <t>33070 CEDEX</t>
  </si>
  <si>
    <t>Room 815</t>
  </si>
  <si>
    <t>Bordeaux</t>
  </si>
  <si>
    <t>Aquitaine</t>
  </si>
  <si>
    <t>Smart Thermostat</t>
  </si>
  <si>
    <t>Phedra</t>
  </si>
  <si>
    <t>Heinsh</t>
  </si>
  <si>
    <t>pheinsh2w@shop-pro.jp</t>
  </si>
  <si>
    <t>Colombia</t>
  </si>
  <si>
    <t>Anolaima</t>
  </si>
  <si>
    <t>Vintage Graphic Tee</t>
  </si>
  <si>
    <t>Clothing - Tops</t>
  </si>
  <si>
    <t>Theodoric</t>
  </si>
  <si>
    <t>Rubie</t>
  </si>
  <si>
    <t>trubie2x@lulu.com</t>
  </si>
  <si>
    <t>Room 1680</t>
  </si>
  <si>
    <t>San Miguel</t>
  </si>
  <si>
    <t>Michoacan De Ocampo</t>
  </si>
  <si>
    <t>Cinnamon Apple Sauce</t>
  </si>
  <si>
    <t>Rinaldo</t>
  </si>
  <si>
    <t>Harbach</t>
  </si>
  <si>
    <t>rharbach2y@state.gov</t>
  </si>
  <si>
    <t>Room 1925</t>
  </si>
  <si>
    <t>Belčišta</t>
  </si>
  <si>
    <t>58-371</t>
  </si>
  <si>
    <t>Cotton Quilted Throw Blanket</t>
  </si>
  <si>
    <t>Corrine</t>
  </si>
  <si>
    <t>Hannabuss</t>
  </si>
  <si>
    <t>channabuss2z@soundcloud.com</t>
  </si>
  <si>
    <t>6th Floor</t>
  </si>
  <si>
    <t>Gujiang</t>
  </si>
  <si>
    <t>Mayonnaise</t>
  </si>
  <si>
    <t>Corbie</t>
  </si>
  <si>
    <t>Coneybeer</t>
  </si>
  <si>
    <t>cconeybeer30@accuweather.com</t>
  </si>
  <si>
    <t>13155 CEDEX</t>
  </si>
  <si>
    <t>Suite 76</t>
  </si>
  <si>
    <t>Tarascon</t>
  </si>
  <si>
    <t>Provence-Alpes-Côte d'Azur</t>
  </si>
  <si>
    <t>87-601</t>
  </si>
  <si>
    <t>Car Phone Mount</t>
  </si>
  <si>
    <t>Tallulah</t>
  </si>
  <si>
    <t>Pleven</t>
  </si>
  <si>
    <t>tpleven31@guardian.co.uk</t>
  </si>
  <si>
    <t>9630-189</t>
  </si>
  <si>
    <t>Room 474</t>
  </si>
  <si>
    <t>Pedreira</t>
  </si>
  <si>
    <t>Ilha de São Miguel</t>
  </si>
  <si>
    <t>Carrot Sticks</t>
  </si>
  <si>
    <t>Rem</t>
  </si>
  <si>
    <t>Haddeston</t>
  </si>
  <si>
    <t>rhaddeston32@timesonline.co.uk</t>
  </si>
  <si>
    <t>Suite 38</t>
  </si>
  <si>
    <t>Xinsheng</t>
  </si>
  <si>
    <t>Indestructible Dog Toy</t>
  </si>
  <si>
    <t>Estell</t>
  </si>
  <si>
    <t>Grahamslaw</t>
  </si>
  <si>
    <t>egrahamslaw33@time.com</t>
  </si>
  <si>
    <t>861-1686</t>
  </si>
  <si>
    <t>Kikuchi</t>
  </si>
  <si>
    <t>05-850</t>
  </si>
  <si>
    <t>Sesame Seeds</t>
  </si>
  <si>
    <t>Jeane</t>
  </si>
  <si>
    <t>Readwin</t>
  </si>
  <si>
    <t>jreadwin34@cyberchimps.com</t>
  </si>
  <si>
    <t>PO Box 15231</t>
  </si>
  <si>
    <t>Roun Satu</t>
  </si>
  <si>
    <t>Vegan Tacos</t>
  </si>
  <si>
    <t>Creighton</t>
  </si>
  <si>
    <t>Henaughan</t>
  </si>
  <si>
    <t>chenaughan35@soundcloud.com</t>
  </si>
  <si>
    <t>Costa Rica</t>
  </si>
  <si>
    <t>5th Floor</t>
  </si>
  <si>
    <t>San Rafael Abajo</t>
  </si>
  <si>
    <t>Finland</t>
  </si>
  <si>
    <t>Robot Vacuum Cleaner</t>
  </si>
  <si>
    <t>Home Appliances</t>
  </si>
  <si>
    <t>Silvie</t>
  </si>
  <si>
    <t>Collings</t>
  </si>
  <si>
    <t>scollings36@answers.com</t>
  </si>
  <si>
    <t>Room 469</t>
  </si>
  <si>
    <t>Dongqu</t>
  </si>
  <si>
    <t>Infrared Thermometer Gun</t>
  </si>
  <si>
    <t>Andie</t>
  </si>
  <si>
    <t>Buer</t>
  </si>
  <si>
    <t>abuer37@state.tx.us</t>
  </si>
  <si>
    <t>45435-000</t>
  </si>
  <si>
    <t>PO Box 28438</t>
  </si>
  <si>
    <t>Ituberá</t>
  </si>
  <si>
    <t>Microwave Popcorn Maker</t>
  </si>
  <si>
    <t>Cob</t>
  </si>
  <si>
    <t>De Simoni</t>
  </si>
  <si>
    <t>cdesimoni38@squidoo.com</t>
  </si>
  <si>
    <t>Nanggela</t>
  </si>
  <si>
    <t>Malaysia</t>
  </si>
  <si>
    <t>Blackberry Compote</t>
  </si>
  <si>
    <t>Jeanne</t>
  </si>
  <si>
    <t>Locksley</t>
  </si>
  <si>
    <t>jlocksley39@amazonaws.com</t>
  </si>
  <si>
    <t>Kudang</t>
  </si>
  <si>
    <t>Rechargeable Laptop Battery Pack</t>
  </si>
  <si>
    <t>Evy</t>
  </si>
  <si>
    <t>Crosi</t>
  </si>
  <si>
    <t>ecrosi3a@simplemachines.org</t>
  </si>
  <si>
    <t>Room 99</t>
  </si>
  <si>
    <t>Saraktash</t>
  </si>
  <si>
    <t>Phone Screen Protector</t>
  </si>
  <si>
    <t>Sherman</t>
  </si>
  <si>
    <t>Chaves</t>
  </si>
  <si>
    <t>schaves3b@theguardian.com</t>
  </si>
  <si>
    <t>Tabuny</t>
  </si>
  <si>
    <t>Sliced Cucumbers</t>
  </si>
  <si>
    <t>Johannes</t>
  </si>
  <si>
    <t>Gadault</t>
  </si>
  <si>
    <t>jgadault3c@nationalgeographic.com</t>
  </si>
  <si>
    <t>PO Box 74053</t>
  </si>
  <si>
    <t>Strunino</t>
  </si>
  <si>
    <t>44-120</t>
  </si>
  <si>
    <t>Savory Trail Mix</t>
  </si>
  <si>
    <t>Tadeas</t>
  </si>
  <si>
    <t>Kings</t>
  </si>
  <si>
    <t>tkings3d@bbc.co.uk</t>
  </si>
  <si>
    <t>3rd Floor</t>
  </si>
  <si>
    <t>San Carlos</t>
  </si>
  <si>
    <t>Insulated Lunch Bag</t>
  </si>
  <si>
    <t>Araldo</t>
  </si>
  <si>
    <t>Curling</t>
  </si>
  <si>
    <t>acurling3e@liveinternet.ru</t>
  </si>
  <si>
    <t>14th Floor</t>
  </si>
  <si>
    <t>Grebenskaya</t>
  </si>
  <si>
    <t>2120-185</t>
  </si>
  <si>
    <t>Halloween Decoration Set</t>
  </si>
  <si>
    <t>Grace</t>
  </si>
  <si>
    <t>Laroze</t>
  </si>
  <si>
    <t>glaroze3f@utexas.edu</t>
  </si>
  <si>
    <t>PO Box 78930</t>
  </si>
  <si>
    <t>Cuauhtemoc</t>
  </si>
  <si>
    <t>Tamaulipas</t>
  </si>
  <si>
    <t>09500-000</t>
  </si>
  <si>
    <t>Granola Clusters</t>
  </si>
  <si>
    <t>Food - Cereal</t>
  </si>
  <si>
    <t>Juana</t>
  </si>
  <si>
    <t>Milella</t>
  </si>
  <si>
    <t>jmilella3g@cyberchimps.com</t>
  </si>
  <si>
    <t>42-270</t>
  </si>
  <si>
    <t>Kłomnice</t>
  </si>
  <si>
    <t>Garlic Herb Seasoning</t>
  </si>
  <si>
    <t>Boy</t>
  </si>
  <si>
    <t>Hoggetts</t>
  </si>
  <si>
    <t>bhoggetts3h@youku.com</t>
  </si>
  <si>
    <t>Chad</t>
  </si>
  <si>
    <t>Massenya</t>
  </si>
  <si>
    <t>82-400</t>
  </si>
  <si>
    <t>Smart LED Desk Lamp</t>
  </si>
  <si>
    <t>Office</t>
  </si>
  <si>
    <t>Huntley</t>
  </si>
  <si>
    <t>Northridge</t>
  </si>
  <si>
    <t>hnorthridge3i@yellowpages.com</t>
  </si>
  <si>
    <t>Room 1169</t>
  </si>
  <si>
    <t>Cojata</t>
  </si>
  <si>
    <t>Californian Raisins</t>
  </si>
  <si>
    <t>Food - Dried Fruits</t>
  </si>
  <si>
    <t>Gibb</t>
  </si>
  <si>
    <t>Thorsen</t>
  </si>
  <si>
    <t>gthorsen3j@java.com</t>
  </si>
  <si>
    <t>PO Box 35449</t>
  </si>
  <si>
    <t>Lincheng</t>
  </si>
  <si>
    <t>32-432</t>
  </si>
  <si>
    <t>Chocolate Chip Energy Balls</t>
  </si>
  <si>
    <t>Jermaine</t>
  </si>
  <si>
    <t>Rannigan</t>
  </si>
  <si>
    <t>jrannigan3k@dailymail.co.uk</t>
  </si>
  <si>
    <t>Apt 1952</t>
  </si>
  <si>
    <t>Yinjiaxi</t>
  </si>
  <si>
    <t>Spinach and Ricotta Ravioli</t>
  </si>
  <si>
    <t>Robyn</t>
  </si>
  <si>
    <t>Breeds</t>
  </si>
  <si>
    <t>rbreeds3l@guardian.co.uk</t>
  </si>
  <si>
    <t>Beregovoy</t>
  </si>
  <si>
    <t>3800-854</t>
  </si>
  <si>
    <t>Lentil Vegetable Curry</t>
  </si>
  <si>
    <t>Food - Prepared Meals</t>
  </si>
  <si>
    <t>Marquita</t>
  </si>
  <si>
    <t>Hayler</t>
  </si>
  <si>
    <t>mhayler3m@si.edu</t>
  </si>
  <si>
    <t>Suite 11</t>
  </si>
  <si>
    <t>Antimácheia</t>
  </si>
  <si>
    <t>Vegetable Chips</t>
  </si>
  <si>
    <t>Joann</t>
  </si>
  <si>
    <t>Loseby</t>
  </si>
  <si>
    <t>jloseby3n@51.la</t>
  </si>
  <si>
    <t>Apt 12</t>
  </si>
  <si>
    <t>Lazaro Cardenas</t>
  </si>
  <si>
    <t>LED Camping Lantern with USB Charging</t>
  </si>
  <si>
    <t>Cecilius</t>
  </si>
  <si>
    <t>Pettwood</t>
  </si>
  <si>
    <t>cpettwood3o@sakura.ne.jp</t>
  </si>
  <si>
    <t>Armenia</t>
  </si>
  <si>
    <t>Ddmashen</t>
  </si>
  <si>
    <t>4620-400</t>
  </si>
  <si>
    <t>Vegan Cheese</t>
  </si>
  <si>
    <t>Food - Dairy Alternatives</t>
  </si>
  <si>
    <t>Judith</t>
  </si>
  <si>
    <t>Sante</t>
  </si>
  <si>
    <t>jsante3p@webnode.com</t>
  </si>
  <si>
    <t>Suite 81</t>
  </si>
  <si>
    <t>Prakhon Chai</t>
  </si>
  <si>
    <t>R3L</t>
  </si>
  <si>
    <t>Car Diagnostic Scanner</t>
  </si>
  <si>
    <t>Hasheem</t>
  </si>
  <si>
    <t>M'Chirrie</t>
  </si>
  <si>
    <t>hmchirrie3q@earthlink.net</t>
  </si>
  <si>
    <t>Apt 386</t>
  </si>
  <si>
    <t>Shangyong</t>
  </si>
  <si>
    <t>4890-341</t>
  </si>
  <si>
    <t>Fitness Smartwatch</t>
  </si>
  <si>
    <t>Wearable Tech</t>
  </si>
  <si>
    <t>Audy</t>
  </si>
  <si>
    <t>De Michele</t>
  </si>
  <si>
    <t>ademichele3r@hubpages.com</t>
  </si>
  <si>
    <t>Suite 27</t>
  </si>
  <si>
    <t>Xiaruyue</t>
  </si>
  <si>
    <t>Smartphone Camera Lens Kit</t>
  </si>
  <si>
    <t>Susanna</t>
  </si>
  <si>
    <t>Brimner</t>
  </si>
  <si>
    <t>sbrimner3s@gmpg.org</t>
  </si>
  <si>
    <t>Room 958</t>
  </si>
  <si>
    <t>Ampasimanolotra</t>
  </si>
  <si>
    <t>Flavored Popcorn Mix</t>
  </si>
  <si>
    <t>Jen</t>
  </si>
  <si>
    <t>Littlejohn</t>
  </si>
  <si>
    <t>jlittlejohn3t@skyrock.com</t>
  </si>
  <si>
    <t>783 06</t>
  </si>
  <si>
    <t>Město Libavá</t>
  </si>
  <si>
    <t>Sourdough Bread</t>
  </si>
  <si>
    <t>Food - Bakery</t>
  </si>
  <si>
    <t>Francois</t>
  </si>
  <si>
    <t>Sievewright</t>
  </si>
  <si>
    <t>fsievewright3u@hostgator.com</t>
  </si>
  <si>
    <t>98280-000</t>
  </si>
  <si>
    <t>Panambi</t>
  </si>
  <si>
    <t>76304 CEDEX</t>
  </si>
  <si>
    <t>Chili Garlic Sauce</t>
  </si>
  <si>
    <t>Sylas</t>
  </si>
  <si>
    <t>Sailor</t>
  </si>
  <si>
    <t>ssailor3v@ebay.co.uk</t>
  </si>
  <si>
    <t>Room 1325</t>
  </si>
  <si>
    <t>Matang</t>
  </si>
  <si>
    <t>Chocolate Almond Milk</t>
  </si>
  <si>
    <t>Woodie</t>
  </si>
  <si>
    <t>Oxborough</t>
  </si>
  <si>
    <t>woxborough3w@bloglovin.com</t>
  </si>
  <si>
    <t>Room 738</t>
  </si>
  <si>
    <t>Zhangfeng</t>
  </si>
  <si>
    <t>Baked Mac and Cheese</t>
  </si>
  <si>
    <t>Cordi</t>
  </si>
  <si>
    <t>Van Salzberger</t>
  </si>
  <si>
    <t>cvansalzberger3x@bluehost.com</t>
  </si>
  <si>
    <t>Jiaze</t>
  </si>
  <si>
    <t>Nutritional Yeast</t>
  </si>
  <si>
    <t>Food - Pantry</t>
  </si>
  <si>
    <t>Erinn</t>
  </si>
  <si>
    <t>Esson</t>
  </si>
  <si>
    <t>eesson3y@imageshack.us</t>
  </si>
  <si>
    <t>PO Box 50781</t>
  </si>
  <si>
    <t>Padilla</t>
  </si>
  <si>
    <t>Wireless Game Controller</t>
  </si>
  <si>
    <t>Sandy</t>
  </si>
  <si>
    <t>Aukland</t>
  </si>
  <si>
    <t>saukland3z@walmart.com</t>
  </si>
  <si>
    <t>Suite 79</t>
  </si>
  <si>
    <t>Pamungguan</t>
  </si>
  <si>
    <t>Creamy Ranch Dressing</t>
  </si>
  <si>
    <t>Food - Dressings</t>
  </si>
  <si>
    <t>Rex</t>
  </si>
  <si>
    <t>McCrillis</t>
  </si>
  <si>
    <t>rmccrillis40@shareasale.com</t>
  </si>
  <si>
    <t>PO Box 29312</t>
  </si>
  <si>
    <t>Nagorsk</t>
  </si>
  <si>
    <t>Baby Safety Corner Guards</t>
  </si>
  <si>
    <t>Baby</t>
  </si>
  <si>
    <t>Rhiamon</t>
  </si>
  <si>
    <t>Dabbes</t>
  </si>
  <si>
    <t>rdabbes41@blinklist.com</t>
  </si>
  <si>
    <t>PO Box 10602</t>
  </si>
  <si>
    <t>Guiset East</t>
  </si>
  <si>
    <t>Pumpkin Puree</t>
  </si>
  <si>
    <t>Vi</t>
  </si>
  <si>
    <t>Renzullo</t>
  </si>
  <si>
    <t>vrenzullo42@ocn.ne.jp</t>
  </si>
  <si>
    <t>Room 872</t>
  </si>
  <si>
    <t>Guoduwan</t>
  </si>
  <si>
    <t>Portable Hand Warmer</t>
  </si>
  <si>
    <t>Lindsy</t>
  </si>
  <si>
    <t>Lundon</t>
  </si>
  <si>
    <t>llundon43@uol.com.br</t>
  </si>
  <si>
    <t>Apt 312</t>
  </si>
  <si>
    <t>Kinalansan</t>
  </si>
  <si>
    <t>Basil-infused Olive Oil</t>
  </si>
  <si>
    <t>Food - Cooking Oil</t>
  </si>
  <si>
    <t>Dag</t>
  </si>
  <si>
    <t>Quogan</t>
  </si>
  <si>
    <t>dquogan44@nifty.com</t>
  </si>
  <si>
    <t>Gubo</t>
  </si>
  <si>
    <t>Travel Jewelry Organizer</t>
  </si>
  <si>
    <t>Byrann</t>
  </si>
  <si>
    <t>Johnston</t>
  </si>
  <si>
    <t>bjohnston45@dagondesign.com</t>
  </si>
  <si>
    <t>51715 CEDEX</t>
  </si>
  <si>
    <t>Apt 1998</t>
  </si>
  <si>
    <t>Reims</t>
  </si>
  <si>
    <t>Champagne-Ardenne</t>
  </si>
  <si>
    <t>Cotton Basic Tank</t>
  </si>
  <si>
    <t>Annaliese</t>
  </si>
  <si>
    <t>Bollen</t>
  </si>
  <si>
    <t>abollen46@hao123.com</t>
  </si>
  <si>
    <t>Kambar</t>
  </si>
  <si>
    <t>Aeropress Coffee Maker</t>
  </si>
  <si>
    <t>Carlyle</t>
  </si>
  <si>
    <t>Drummer</t>
  </si>
  <si>
    <t>cdrummer47@icio.us</t>
  </si>
  <si>
    <t>Room 1451</t>
  </si>
  <si>
    <t>Gaxung</t>
  </si>
  <si>
    <t>Lyman</t>
  </si>
  <si>
    <t>Constance</t>
  </si>
  <si>
    <t>lconstance48@simplemachines.org</t>
  </si>
  <si>
    <t>929-0341</t>
  </si>
  <si>
    <t>Yokohama</t>
  </si>
  <si>
    <t>Multi-Purpose Scissors</t>
  </si>
  <si>
    <t>Dunstan</t>
  </si>
  <si>
    <t>Wynes</t>
  </si>
  <si>
    <t>dwynes49@naver.com</t>
  </si>
  <si>
    <t>Apt 1310</t>
  </si>
  <si>
    <t>Xibu</t>
  </si>
  <si>
    <t>Digital Camera</t>
  </si>
  <si>
    <t>Valentine</t>
  </si>
  <si>
    <t>Fishburn</t>
  </si>
  <si>
    <t>vfishburn4a@qq.com</t>
  </si>
  <si>
    <t>Suite 35</t>
  </si>
  <si>
    <t>Shayu</t>
  </si>
  <si>
    <t>Protein Pancake Mix</t>
  </si>
  <si>
    <t>Julissa</t>
  </si>
  <si>
    <t>Egell</t>
  </si>
  <si>
    <t>jegell4b@ted.com</t>
  </si>
  <si>
    <t>Suite 32</t>
  </si>
  <si>
    <t>Termas de Río Hondo</t>
  </si>
  <si>
    <t>Dog Training Whistle</t>
  </si>
  <si>
    <t>Kennett</t>
  </si>
  <si>
    <t>Wrathall</t>
  </si>
  <si>
    <t>kwrathall4c@lulu.com</t>
  </si>
  <si>
    <t>PO Box 93128</t>
  </si>
  <si>
    <t>Acobamba</t>
  </si>
  <si>
    <t>Jump Rope with Counter</t>
  </si>
  <si>
    <t>Torrey</t>
  </si>
  <si>
    <t>Halbard</t>
  </si>
  <si>
    <t>thalbard4d@ucla.edu</t>
  </si>
  <si>
    <t>Sri Lanka</t>
  </si>
  <si>
    <t>Suite 24</t>
  </si>
  <si>
    <t>Kelaniya</t>
  </si>
  <si>
    <t>Magnetic Spice Containers</t>
  </si>
  <si>
    <t>Lauri</t>
  </si>
  <si>
    <t>Busch</t>
  </si>
  <si>
    <t>lbusch4e@trellian.com</t>
  </si>
  <si>
    <t>Room 1226</t>
  </si>
  <si>
    <t>Mangseng</t>
  </si>
  <si>
    <t>Over-the-Door Hooks</t>
  </si>
  <si>
    <t>Kaine</t>
  </si>
  <si>
    <t>Kyrkeman</t>
  </si>
  <si>
    <t>kkyrkeman4f@craigslist.org</t>
  </si>
  <si>
    <t>Albania</t>
  </si>
  <si>
    <t>Roshnik</t>
  </si>
  <si>
    <t>8650-153</t>
  </si>
  <si>
    <t>Surimi Crab Sticks</t>
  </si>
  <si>
    <t>Food - Seafood</t>
  </si>
  <si>
    <t>Cheri</t>
  </si>
  <si>
    <t>McKenney</t>
  </si>
  <si>
    <t>cmckenney4g@ftc.gov</t>
  </si>
  <si>
    <t>Suite 23</t>
  </si>
  <si>
    <t>Hengtanggang</t>
  </si>
  <si>
    <t>Kyrgyzstan</t>
  </si>
  <si>
    <t>Portable Hammock with Stand</t>
  </si>
  <si>
    <t>Cleo</t>
  </si>
  <si>
    <t>Roelofsen</t>
  </si>
  <si>
    <t>croelofsen4h@hao123.com</t>
  </si>
  <si>
    <t>Suite 28</t>
  </si>
  <si>
    <t>Cochrane</t>
  </si>
  <si>
    <t>756 11</t>
  </si>
  <si>
    <t>Mediterranean Couscous Salad</t>
  </si>
  <si>
    <t>Food - Salads</t>
  </si>
  <si>
    <t>Zaneta</t>
  </si>
  <si>
    <t>Dowsett</t>
  </si>
  <si>
    <t>zdowsett4i@myspace.com</t>
  </si>
  <si>
    <t>Shangfang</t>
  </si>
  <si>
    <t>Saint Lucia</t>
  </si>
  <si>
    <t>Matti</t>
  </si>
  <si>
    <t>de la Tremoille</t>
  </si>
  <si>
    <t>mdelatremoille4j@yale.edu</t>
  </si>
  <si>
    <t>Buenavista</t>
  </si>
  <si>
    <t>Spicy Tuna Salad</t>
  </si>
  <si>
    <t>Rochester</t>
  </si>
  <si>
    <t>Kemish</t>
  </si>
  <si>
    <t>rkemish4k@dion.ne.jp</t>
  </si>
  <si>
    <t>569 02</t>
  </si>
  <si>
    <t>PO Box 47600</t>
  </si>
  <si>
    <t>Březová nad Svitavou</t>
  </si>
  <si>
    <t>Tunisia</t>
  </si>
  <si>
    <t>Black Bean &amp; Corn Salad</t>
  </si>
  <si>
    <t>Hunter</t>
  </si>
  <si>
    <t>Grinyov</t>
  </si>
  <si>
    <t>hgrinyov4l@noaa.gov</t>
  </si>
  <si>
    <t>PO Box 63490</t>
  </si>
  <si>
    <t>Dniprodzerzhyns’k</t>
  </si>
  <si>
    <t>Self-Stirring Mug</t>
  </si>
  <si>
    <t>Alyosha</t>
  </si>
  <si>
    <t>Yeliashev</t>
  </si>
  <si>
    <t>ayeliashev4m@studiopress.com</t>
  </si>
  <si>
    <t>Serbia</t>
  </si>
  <si>
    <t>Room 345</t>
  </si>
  <si>
    <t>Ostojićevo</t>
  </si>
  <si>
    <t>Nutty Granola Clusters</t>
  </si>
  <si>
    <t>Clint</t>
  </si>
  <si>
    <t>Vanacci</t>
  </si>
  <si>
    <t>cvanacci4n@ca.gov</t>
  </si>
  <si>
    <t>Jinluo</t>
  </si>
  <si>
    <t>Weighted Jump Rope with Counter</t>
  </si>
  <si>
    <t>Bathsheba</t>
  </si>
  <si>
    <t>Oswick</t>
  </si>
  <si>
    <t>boswick4o@japanpost.jp</t>
  </si>
  <si>
    <t>Apt 503</t>
  </si>
  <si>
    <t>Jinzipai</t>
  </si>
  <si>
    <t>98670-000</t>
  </si>
  <si>
    <t>Portable Refrigerator Freezer</t>
  </si>
  <si>
    <t>Lanny</t>
  </si>
  <si>
    <t>Leary</t>
  </si>
  <si>
    <t>lleary4p@smugmug.com</t>
  </si>
  <si>
    <t>Las Vegas</t>
  </si>
  <si>
    <t>Nevada</t>
  </si>
  <si>
    <t>Dog Waste Bag Dispenser</t>
  </si>
  <si>
    <t>Robinet</t>
  </si>
  <si>
    <t>Massen</t>
  </si>
  <si>
    <t>rmassen4q@arizona.edu</t>
  </si>
  <si>
    <t>Room 1446</t>
  </si>
  <si>
    <t>Kalaxilike</t>
  </si>
  <si>
    <t>Compact Hair Dryer</t>
  </si>
  <si>
    <t>Jamie</t>
  </si>
  <si>
    <t>Twydell</t>
  </si>
  <si>
    <t>jtwydell4r@sphinn.com</t>
  </si>
  <si>
    <t>Apt 565</t>
  </si>
  <si>
    <t>Partang</t>
  </si>
  <si>
    <t>Burkina Faso</t>
  </si>
  <si>
    <t>Eco-Friendly Disposable Plates</t>
  </si>
  <si>
    <t>Marya</t>
  </si>
  <si>
    <t>Binden</t>
  </si>
  <si>
    <t>mbinden4s@prnewswire.com</t>
  </si>
  <si>
    <t>Room 338</t>
  </si>
  <si>
    <t>Bazzāryah</t>
  </si>
  <si>
    <t>64-061</t>
  </si>
  <si>
    <t>Mini Indoor Hydroponic Garden</t>
  </si>
  <si>
    <t>Martguerita</t>
  </si>
  <si>
    <t>Kinnoch</t>
  </si>
  <si>
    <t>mkinnoch4t@sina.com.cn</t>
  </si>
  <si>
    <t>Montenegro</t>
  </si>
  <si>
    <t>PO Box 13622</t>
  </si>
  <si>
    <t>Bijela</t>
  </si>
  <si>
    <t>Rustic Italian Breads</t>
  </si>
  <si>
    <t>Kimberly</t>
  </si>
  <si>
    <t>Baleine</t>
  </si>
  <si>
    <t>kbaleine4u@aboutads.info</t>
  </si>
  <si>
    <t>Somalia</t>
  </si>
  <si>
    <t>Room 1847</t>
  </si>
  <si>
    <t>Dhuusamarreeb</t>
  </si>
  <si>
    <t>10606 CEDEX</t>
  </si>
  <si>
    <t>Greek Yogurt Parfait</t>
  </si>
  <si>
    <t>Josi</t>
  </si>
  <si>
    <t>Sybbe</t>
  </si>
  <si>
    <t>jsybbe4v@yahoo.co.jp</t>
  </si>
  <si>
    <t>791 14</t>
  </si>
  <si>
    <t>Suite 21</t>
  </si>
  <si>
    <t>Falun</t>
  </si>
  <si>
    <t>Dalarna</t>
  </si>
  <si>
    <t>68064 CEDEX 3</t>
  </si>
  <si>
    <t>Set of Gardening Gloves with Claws</t>
  </si>
  <si>
    <t>Darsie</t>
  </si>
  <si>
    <t>Lavrick</t>
  </si>
  <si>
    <t>dlavrick4w@yahoo.com</t>
  </si>
  <si>
    <t>Wa’erma</t>
  </si>
  <si>
    <t>Mozambique</t>
  </si>
  <si>
    <t>Pasta Maker</t>
  </si>
  <si>
    <t>Meredeth</t>
  </si>
  <si>
    <t>Covendon</t>
  </si>
  <si>
    <t>mcovendon4x@wordpress.org</t>
  </si>
  <si>
    <t>PO Box 60590</t>
  </si>
  <si>
    <t>Neundeut</t>
  </si>
  <si>
    <t>Coffee Grinder</t>
  </si>
  <si>
    <t>Trueman</t>
  </si>
  <si>
    <t>Morcom</t>
  </si>
  <si>
    <t>tmorcom4y@nasa.gov</t>
  </si>
  <si>
    <t>57230-000</t>
  </si>
  <si>
    <t>Apt 1180</t>
  </si>
  <si>
    <t>Coruripe</t>
  </si>
  <si>
    <t>144 40</t>
  </si>
  <si>
    <t>Margherita Pizza</t>
  </si>
  <si>
    <t>Burtie</t>
  </si>
  <si>
    <t>Westmerland</t>
  </si>
  <si>
    <t>bwestmerland4z@fotki.com</t>
  </si>
  <si>
    <t>Niger</t>
  </si>
  <si>
    <t>Tanout</t>
  </si>
  <si>
    <t>539 43</t>
  </si>
  <si>
    <t>Bodyweight Resistance Bands</t>
  </si>
  <si>
    <t>Davie</t>
  </si>
  <si>
    <t>Reijmers</t>
  </si>
  <si>
    <t>dreijmers50@youtu.be</t>
  </si>
  <si>
    <t>Hīsh</t>
  </si>
  <si>
    <t>15170-000</t>
  </si>
  <si>
    <t>Kaitlyn</t>
  </si>
  <si>
    <t>Benka</t>
  </si>
  <si>
    <t>kbenka51@barnesandnoble.com</t>
  </si>
  <si>
    <t>Nigeria</t>
  </si>
  <si>
    <t>Room 1622</t>
  </si>
  <si>
    <t>Shagamu</t>
  </si>
  <si>
    <t>Sour Cream</t>
  </si>
  <si>
    <t>Jesselyn</t>
  </si>
  <si>
    <t>McGrorty</t>
  </si>
  <si>
    <t>jmcgrorty52@free.fr</t>
  </si>
  <si>
    <t>Suite 100</t>
  </si>
  <si>
    <t>Sivers’k</t>
  </si>
  <si>
    <t>Organic Cereal Bars</t>
  </si>
  <si>
    <t>Teodora</t>
  </si>
  <si>
    <t>Beton</t>
  </si>
  <si>
    <t>tbeton53@java.com</t>
  </si>
  <si>
    <t>K6K</t>
  </si>
  <si>
    <t>Apt 618</t>
  </si>
  <si>
    <t>Iqaluit</t>
  </si>
  <si>
    <t>Nunavut</t>
  </si>
  <si>
    <t>Personal Blender with Travel Cup</t>
  </si>
  <si>
    <t>Myrah</t>
  </si>
  <si>
    <t>Emm</t>
  </si>
  <si>
    <t>memm54@vistaprint.com</t>
  </si>
  <si>
    <t>Nong Hi</t>
  </si>
  <si>
    <t>Ceramic Bakeware Set</t>
  </si>
  <si>
    <t>Binni</t>
  </si>
  <si>
    <t>Bendin</t>
  </si>
  <si>
    <t>bbendin55@usgs.gov</t>
  </si>
  <si>
    <t>33400-000</t>
  </si>
  <si>
    <t>Room 1022</t>
  </si>
  <si>
    <t>Lagoa Santa</t>
  </si>
  <si>
    <t>Coconut Cream Pie</t>
  </si>
  <si>
    <t>Berty</t>
  </si>
  <si>
    <t>Risen</t>
  </si>
  <si>
    <t>brisen56@over-blog.com</t>
  </si>
  <si>
    <t>Apt 577</t>
  </si>
  <si>
    <t>Kemendung</t>
  </si>
  <si>
    <t>Libya</t>
  </si>
  <si>
    <t>Chewy Granola Bars</t>
  </si>
  <si>
    <t>Woodyatt</t>
  </si>
  <si>
    <t>cwoodyatt57@netlog.com</t>
  </si>
  <si>
    <t>5155-305</t>
  </si>
  <si>
    <t>18th Floor</t>
  </si>
  <si>
    <t>Horta</t>
  </si>
  <si>
    <t>Guarda</t>
  </si>
  <si>
    <t>Ranch Dressing</t>
  </si>
  <si>
    <t>Della</t>
  </si>
  <si>
    <t>Hercock</t>
  </si>
  <si>
    <t>dhercock58@4shared.com</t>
  </si>
  <si>
    <t>Shatian</t>
  </si>
  <si>
    <t>Gardening Tool Belt</t>
  </si>
  <si>
    <t>Thorn</t>
  </si>
  <si>
    <t>Cisco</t>
  </si>
  <si>
    <t>tcisco59@usnews.com</t>
  </si>
  <si>
    <t>Yemen</t>
  </si>
  <si>
    <t>Suite 8</t>
  </si>
  <si>
    <t>‘Ubāl</t>
  </si>
  <si>
    <t>Herbed Couscous</t>
  </si>
  <si>
    <t>Julia</t>
  </si>
  <si>
    <t>Ketts</t>
  </si>
  <si>
    <t>jketts5a@blog.com</t>
  </si>
  <si>
    <t>Chamlykskaya</t>
  </si>
  <si>
    <t>Coconut Lime Rice</t>
  </si>
  <si>
    <t>Jillian</t>
  </si>
  <si>
    <t>Jados</t>
  </si>
  <si>
    <t>jjados5b@engadget.com</t>
  </si>
  <si>
    <t>580 07</t>
  </si>
  <si>
    <t>Apt 1701</t>
  </si>
  <si>
    <t>Linköping</t>
  </si>
  <si>
    <t>Eco-Friendly Stainless Steel Straws</t>
  </si>
  <si>
    <t>Goldarina</t>
  </si>
  <si>
    <t>Kilkenny</t>
  </si>
  <si>
    <t>gkilkenny5c@elegantthemes.com</t>
  </si>
  <si>
    <t>Turkmenistan</t>
  </si>
  <si>
    <t>Suite 13</t>
  </si>
  <si>
    <t>Büzmeýin</t>
  </si>
  <si>
    <t>H4J</t>
  </si>
  <si>
    <t>Cream Cheese</t>
  </si>
  <si>
    <t>Colet</t>
  </si>
  <si>
    <t>Drake</t>
  </si>
  <si>
    <t>cdrake5d@techcrunch.com</t>
  </si>
  <si>
    <t>Apt 1370</t>
  </si>
  <si>
    <t>Cam Ranh</t>
  </si>
  <si>
    <t>7100-150</t>
  </si>
  <si>
    <t>Oatmeal Raisin Cookies</t>
  </si>
  <si>
    <t>Food - Baked Goods</t>
  </si>
  <si>
    <t>Osbourn</t>
  </si>
  <si>
    <t>Dwelly</t>
  </si>
  <si>
    <t>odwelly5e@tuttocitta.it</t>
  </si>
  <si>
    <t>PO Box 87311</t>
  </si>
  <si>
    <t>Huyu</t>
  </si>
  <si>
    <t>4980-125</t>
  </si>
  <si>
    <t>Mini Cordless Vacuum Cleaner</t>
  </si>
  <si>
    <t>Aymer</t>
  </si>
  <si>
    <t>Doorey</t>
  </si>
  <si>
    <t>adoorey5f@rakuten.co.jp</t>
  </si>
  <si>
    <t>Northern Mariana Islands</t>
  </si>
  <si>
    <t>San Jose Village</t>
  </si>
  <si>
    <t>Rechargeable Electric Toothbrush</t>
  </si>
  <si>
    <t>Delmar</t>
  </si>
  <si>
    <t>Tebb</t>
  </si>
  <si>
    <t>dtebb5g@bing.com</t>
  </si>
  <si>
    <t>Apt 1028</t>
  </si>
  <si>
    <t>Subottsi</t>
  </si>
  <si>
    <t>Guatemala</t>
  </si>
  <si>
    <t>Pasta Salad Kit</t>
  </si>
  <si>
    <t>Tyne</t>
  </si>
  <si>
    <t>Peachey</t>
  </si>
  <si>
    <t>tpeachey5h@google.com.br</t>
  </si>
  <si>
    <t>Apt 1555</t>
  </si>
  <si>
    <t>Hushan</t>
  </si>
  <si>
    <t>Warm Knit Beanie</t>
  </si>
  <si>
    <t>Clothing - Accessories</t>
  </si>
  <si>
    <t>Cacilie</t>
  </si>
  <si>
    <t>Lambin</t>
  </si>
  <si>
    <t>clambin5i@oakley.com</t>
  </si>
  <si>
    <t>Room 1889</t>
  </si>
  <si>
    <t>Sungi Liput</t>
  </si>
  <si>
    <t>11730-000</t>
  </si>
  <si>
    <t>Rustic Italian Bread</t>
  </si>
  <si>
    <t>Constancy</t>
  </si>
  <si>
    <t>Ogdahl</t>
  </si>
  <si>
    <t>cogdahl5j@macromedia.com</t>
  </si>
  <si>
    <t>Ransang</t>
  </si>
  <si>
    <t>Ivory Coast</t>
  </si>
  <si>
    <t>Sweet Chili Sauce</t>
  </si>
  <si>
    <t>Colly</t>
  </si>
  <si>
    <t>Dillamore</t>
  </si>
  <si>
    <t>cdillamore5k@aboutads.info</t>
  </si>
  <si>
    <t>2840-284</t>
  </si>
  <si>
    <t>Apt 1597</t>
  </si>
  <si>
    <t>Pinhal de Frades</t>
  </si>
  <si>
    <t>Setúbal</t>
  </si>
  <si>
    <t>509-0201</t>
  </si>
  <si>
    <t>Raspberry Tart</t>
  </si>
  <si>
    <t>Kimberlyn</t>
  </si>
  <si>
    <t>Forsard</t>
  </si>
  <si>
    <t>kforsard5l@parallels.com</t>
  </si>
  <si>
    <t>Maba</t>
  </si>
  <si>
    <t>34-103</t>
  </si>
  <si>
    <t>Carlie</t>
  </si>
  <si>
    <t>Hannah</t>
  </si>
  <si>
    <t>channah5m@1und1.de</t>
  </si>
  <si>
    <t>20184 CEDEX 1</t>
  </si>
  <si>
    <t>Suite 66</t>
  </si>
  <si>
    <t>Ajaccio</t>
  </si>
  <si>
    <t>Corse</t>
  </si>
  <si>
    <t>Bosnia and Herzegovina</t>
  </si>
  <si>
    <t>LED Flashlight</t>
  </si>
  <si>
    <t>Jolee</t>
  </si>
  <si>
    <t>Capaldi</t>
  </si>
  <si>
    <t>jcapaldi5n@samsung.com</t>
  </si>
  <si>
    <t>Koten</t>
  </si>
  <si>
    <t>Pet Safety Harness</t>
  </si>
  <si>
    <t>Clarice</t>
  </si>
  <si>
    <t>Segeswoeth</t>
  </si>
  <si>
    <t>csegeswoeth5o@npr.org</t>
  </si>
  <si>
    <t>Room 1163</t>
  </si>
  <si>
    <t>Tulsīpur</t>
  </si>
  <si>
    <t>Fashionable Fanny Pack</t>
  </si>
  <si>
    <t>Marline</t>
  </si>
  <si>
    <t>Comley</t>
  </si>
  <si>
    <t>mcomley5p@booking.com</t>
  </si>
  <si>
    <t>Suite 90</t>
  </si>
  <si>
    <t>Piñahan</t>
  </si>
  <si>
    <t>Y25</t>
  </si>
  <si>
    <t>Ireland</t>
  </si>
  <si>
    <t>Silicone Ice Cube Tray</t>
  </si>
  <si>
    <t>Shell</t>
  </si>
  <si>
    <t>Yurocjkin</t>
  </si>
  <si>
    <t>syurocjkin5q@google.ca</t>
  </si>
  <si>
    <t>Sepulu</t>
  </si>
  <si>
    <t>Maple Pecan Pancake Mix</t>
  </si>
  <si>
    <t>Solomon</t>
  </si>
  <si>
    <t>Cella</t>
  </si>
  <si>
    <t>scella5r@statcounter.com</t>
  </si>
  <si>
    <t>Yushan</t>
  </si>
  <si>
    <t>2750-015</t>
  </si>
  <si>
    <t>Canned Sardines</t>
  </si>
  <si>
    <t>Jone</t>
  </si>
  <si>
    <t>Lake</t>
  </si>
  <si>
    <t>jlake5s@feedburner.com</t>
  </si>
  <si>
    <t>Apt 76</t>
  </si>
  <si>
    <t>Magtangol</t>
  </si>
  <si>
    <t>Sliced Olives</t>
  </si>
  <si>
    <t>Isabelle</t>
  </si>
  <si>
    <t>Rawls</t>
  </si>
  <si>
    <t>irawls5t@ftc.gov</t>
  </si>
  <si>
    <t>17700-000</t>
  </si>
  <si>
    <t>Osvaldo Cruz</t>
  </si>
  <si>
    <t>Savory Quinoa Pudding</t>
  </si>
  <si>
    <t>Jodee</t>
  </si>
  <si>
    <t>Norgate</t>
  </si>
  <si>
    <t>jnorgate5u@plala.or.jp</t>
  </si>
  <si>
    <t>Comoros</t>
  </si>
  <si>
    <t>Apt 1248</t>
  </si>
  <si>
    <t>Moya</t>
  </si>
  <si>
    <t>Herbal Garden Starter Kit</t>
  </si>
  <si>
    <t>Puff</t>
  </si>
  <si>
    <t>Muckleston</t>
  </si>
  <si>
    <t>pmuckleston5v@technorati.com</t>
  </si>
  <si>
    <t>Zemun</t>
  </si>
  <si>
    <t>Avocado Oil</t>
  </si>
  <si>
    <t>Food - Oils</t>
  </si>
  <si>
    <t>Roskelly</t>
  </si>
  <si>
    <t>froskelly5w@rakuten.co.jp</t>
  </si>
  <si>
    <t>PO Box 69907</t>
  </si>
  <si>
    <t>Laocheng</t>
  </si>
  <si>
    <t>779-1122</t>
  </si>
  <si>
    <t>Folding Pocket Knife</t>
  </si>
  <si>
    <t>Tools</t>
  </si>
  <si>
    <t>Diarmid</t>
  </si>
  <si>
    <t>Caudle</t>
  </si>
  <si>
    <t>dcaudle5x@tmall.com</t>
  </si>
  <si>
    <t>Suite 98</t>
  </si>
  <si>
    <t>Chenjiatan</t>
  </si>
  <si>
    <t>Cacao Powder</t>
  </si>
  <si>
    <t>Cecilio</t>
  </si>
  <si>
    <t>Stebbings</t>
  </si>
  <si>
    <t>cstebbings5y@ask.com</t>
  </si>
  <si>
    <t>35560-000</t>
  </si>
  <si>
    <t>PO Box 27746</t>
  </si>
  <si>
    <t>Santo Antônio do Monte</t>
  </si>
  <si>
    <t>793 05</t>
  </si>
  <si>
    <t>Stainless Steel Water Pitcher</t>
  </si>
  <si>
    <t>Keelinge</t>
  </si>
  <si>
    <t>jkeelinge5z@ft.com</t>
  </si>
  <si>
    <t>Suite 12</t>
  </si>
  <si>
    <t>Shuiji</t>
  </si>
  <si>
    <t>Sweetened Condensed Milk</t>
  </si>
  <si>
    <t>Food - Baking Goods</t>
  </si>
  <si>
    <t>Arvin</t>
  </si>
  <si>
    <t>Hyndson</t>
  </si>
  <si>
    <t>ahyndson60@shareasale.com</t>
  </si>
  <si>
    <t>Bilyayivka</t>
  </si>
  <si>
    <t>Classic Cheesecake Mix</t>
  </si>
  <si>
    <t>Food - Desserts</t>
  </si>
  <si>
    <t>Martha</t>
  </si>
  <si>
    <t>Litzmann</t>
  </si>
  <si>
    <t>mlitzmann61@sciencedaily.com</t>
  </si>
  <si>
    <t>99000-000</t>
  </si>
  <si>
    <t>Passo Fundo</t>
  </si>
  <si>
    <t>Cooking Utensil Set</t>
  </si>
  <si>
    <t>Laurie</t>
  </si>
  <si>
    <t>Vinten</t>
  </si>
  <si>
    <t>lvinten62@parallels.com</t>
  </si>
  <si>
    <t>85009 CEDEX</t>
  </si>
  <si>
    <t>Room 1456</t>
  </si>
  <si>
    <t>La Roche-sur-Yon</t>
  </si>
  <si>
    <t>Pays de la Loire</t>
  </si>
  <si>
    <t>Eco-Friendly Cleaning Cloths</t>
  </si>
  <si>
    <t>Philippine</t>
  </si>
  <si>
    <t>Solon</t>
  </si>
  <si>
    <t>psolon63@skype.com</t>
  </si>
  <si>
    <t>Yidu</t>
  </si>
  <si>
    <t>Buffalo Sauce</t>
  </si>
  <si>
    <t>Milli</t>
  </si>
  <si>
    <t>Stonier</t>
  </si>
  <si>
    <t>mstonier64@newsvine.com</t>
  </si>
  <si>
    <t>Apt 277</t>
  </si>
  <si>
    <t>Phumĭ Véal Srê</t>
  </si>
  <si>
    <t>Dog Car Seat Cover</t>
  </si>
  <si>
    <t>Kenneth</t>
  </si>
  <si>
    <t>Tremontana</t>
  </si>
  <si>
    <t>ktremontana65@seesaa.net</t>
  </si>
  <si>
    <t>PO Box 42997</t>
  </si>
  <si>
    <t>Plumbon</t>
  </si>
  <si>
    <t>Art Supplies Organizer</t>
  </si>
  <si>
    <t>Tani</t>
  </si>
  <si>
    <t>Antczak</t>
  </si>
  <si>
    <t>tantczak66@smh.com.au</t>
  </si>
  <si>
    <t>PO Box 83511</t>
  </si>
  <si>
    <t>Kuršumlija</t>
  </si>
  <si>
    <t>Oven Thermometer</t>
  </si>
  <si>
    <t>Hilda</t>
  </si>
  <si>
    <t>Bisgrove</t>
  </si>
  <si>
    <t>hbisgrove67@comcast.net</t>
  </si>
  <si>
    <t>Denmark</t>
  </si>
  <si>
    <t>København</t>
  </si>
  <si>
    <t>Region Hovedstaden</t>
  </si>
  <si>
    <t>Chicken Fajita Kit</t>
  </si>
  <si>
    <t>Rory</t>
  </si>
  <si>
    <t>Hearsum</t>
  </si>
  <si>
    <t>rhearsum68@bizjournals.com</t>
  </si>
  <si>
    <t>PO Box 66604</t>
  </si>
  <si>
    <t>Dongshan</t>
  </si>
  <si>
    <t>Pet Leash</t>
  </si>
  <si>
    <t>Christian</t>
  </si>
  <si>
    <t>Cundy</t>
  </si>
  <si>
    <t>ccundy69@yellowbook.com</t>
  </si>
  <si>
    <t>65-980</t>
  </si>
  <si>
    <t>Suite 54</t>
  </si>
  <si>
    <t>Ochla</t>
  </si>
  <si>
    <t>East Timor</t>
  </si>
  <si>
    <t>Electric Stool Heater</t>
  </si>
  <si>
    <t>Carlin</t>
  </si>
  <si>
    <t>Kilshaw</t>
  </si>
  <si>
    <t>ckilshaw6a@de.vu</t>
  </si>
  <si>
    <t>Gunungmalang Satu</t>
  </si>
  <si>
    <t>Suede Ankle Booties</t>
  </si>
  <si>
    <t>Clothing - Footwear</t>
  </si>
  <si>
    <t>Leigh</t>
  </si>
  <si>
    <t>Cruess</t>
  </si>
  <si>
    <t>lcruess6b@google.ru</t>
  </si>
  <si>
    <t>PO Box 50953</t>
  </si>
  <si>
    <t>Tolitoli</t>
  </si>
  <si>
    <t>Coconut Chia Pudding</t>
  </si>
  <si>
    <t>Ethelin</t>
  </si>
  <si>
    <t>Brickell</t>
  </si>
  <si>
    <t>ebrickell6c@hatena.ne.jp</t>
  </si>
  <si>
    <t>Room 530</t>
  </si>
  <si>
    <t>Scented Candles</t>
  </si>
  <si>
    <t>Duke</t>
  </si>
  <si>
    <t>Hadlee</t>
  </si>
  <si>
    <t>dhadlee6d@weather.com</t>
  </si>
  <si>
    <t>Suite 17</t>
  </si>
  <si>
    <t>Shedok</t>
  </si>
  <si>
    <t>Biodegradable Phone Case</t>
  </si>
  <si>
    <t>Danna</t>
  </si>
  <si>
    <t>Doni</t>
  </si>
  <si>
    <t>ddoni6e@dion.ne.jp</t>
  </si>
  <si>
    <t>Horad Smalyavichy</t>
  </si>
  <si>
    <t>Vegetable Lasagna</t>
  </si>
  <si>
    <t>Hamilton</t>
  </si>
  <si>
    <t>Guillard</t>
  </si>
  <si>
    <t>hguillard6f@reuters.com</t>
  </si>
  <si>
    <t>86160-000</t>
  </si>
  <si>
    <t>Apt 1938</t>
  </si>
  <si>
    <t>Porecatu</t>
  </si>
  <si>
    <t>75434 CEDEX 09</t>
  </si>
  <si>
    <t>Compact Refrigerator</t>
  </si>
  <si>
    <t>Lambert</t>
  </si>
  <si>
    <t>Morten</t>
  </si>
  <si>
    <t>lmorten6g@stanford.edu</t>
  </si>
  <si>
    <t>Luxembourg</t>
  </si>
  <si>
    <t>L-5431</t>
  </si>
  <si>
    <t>Lenningen</t>
  </si>
  <si>
    <t>Venezuela</t>
  </si>
  <si>
    <t>Insulated Cooler</t>
  </si>
  <si>
    <t>Mable</t>
  </si>
  <si>
    <t>Conley</t>
  </si>
  <si>
    <t>mconley6h@histats.com</t>
  </si>
  <si>
    <t>Room 965</t>
  </si>
  <si>
    <t>Calatrava</t>
  </si>
  <si>
    <t>Puzzle Game Set</t>
  </si>
  <si>
    <t>Toys</t>
  </si>
  <si>
    <t>Laverna</t>
  </si>
  <si>
    <t>Beardsell</t>
  </si>
  <si>
    <t>lbeardsell6i@gmpg.org</t>
  </si>
  <si>
    <t>61015 CEDEX</t>
  </si>
  <si>
    <t>Apt 1929</t>
  </si>
  <si>
    <t>Alençon</t>
  </si>
  <si>
    <t>Basse-Normandie</t>
  </si>
  <si>
    <t>Peach &amp; Mango Salsa</t>
  </si>
  <si>
    <t>Herrick</t>
  </si>
  <si>
    <t>Wyer</t>
  </si>
  <si>
    <t>hwyer6j@arizona.edu</t>
  </si>
  <si>
    <t>Room 395</t>
  </si>
  <si>
    <t>Öldziyt</t>
  </si>
  <si>
    <t>12030 CEDEX 9</t>
  </si>
  <si>
    <t>Bicycle Repair Kit</t>
  </si>
  <si>
    <t>Clarita</t>
  </si>
  <si>
    <t>Aartsen</t>
  </si>
  <si>
    <t>caartsen6k@vistaprint.com</t>
  </si>
  <si>
    <t>Suite 72</t>
  </si>
  <si>
    <t>Boston</t>
  </si>
  <si>
    <t>Massachusetts</t>
  </si>
  <si>
    <t>Pet Carrier</t>
  </si>
  <si>
    <t>Maurice</t>
  </si>
  <si>
    <t>Goodband</t>
  </si>
  <si>
    <t>mgoodband6l@aboutads.info</t>
  </si>
  <si>
    <t>Australia</t>
  </si>
  <si>
    <t>Room 351</t>
  </si>
  <si>
    <t>Sydney</t>
  </si>
  <si>
    <t>New South Wales</t>
  </si>
  <si>
    <t>472 01</t>
  </si>
  <si>
    <t>Red Lentils</t>
  </si>
  <si>
    <t>Mendy</t>
  </si>
  <si>
    <t>Bauldrey</t>
  </si>
  <si>
    <t>mbauldrey6m@microsoft.com</t>
  </si>
  <si>
    <t>Room 122</t>
  </si>
  <si>
    <t>Melissochóri</t>
  </si>
  <si>
    <t>Democratic Republic of the Congo</t>
  </si>
  <si>
    <t>Frozen Cauliflower Rice</t>
  </si>
  <si>
    <t>Sybyl</t>
  </si>
  <si>
    <t>Kofax</t>
  </si>
  <si>
    <t>skofax6n@europa.eu</t>
  </si>
  <si>
    <t>Room 1596</t>
  </si>
  <si>
    <t>Dvorovi</t>
  </si>
  <si>
    <t>Hand Crank Blender</t>
  </si>
  <si>
    <t>Clari</t>
  </si>
  <si>
    <t>Gurden</t>
  </si>
  <si>
    <t>cgurden6o@economist.com</t>
  </si>
  <si>
    <t>Kebonagung</t>
  </si>
  <si>
    <t>Car Sunshade</t>
  </si>
  <si>
    <t>Luisa</t>
  </si>
  <si>
    <t>Royan</t>
  </si>
  <si>
    <t>lroyan6p@diigo.com</t>
  </si>
  <si>
    <t>PO Box 79314</t>
  </si>
  <si>
    <t>Warren</t>
  </si>
  <si>
    <t>Ohio</t>
  </si>
  <si>
    <t>Apple Cinnamon Breakfast Muffins</t>
  </si>
  <si>
    <t>Grover</t>
  </si>
  <si>
    <t>Hambridge</t>
  </si>
  <si>
    <t>ghambridge6q@answers.com</t>
  </si>
  <si>
    <t>PO Box 46820</t>
  </si>
  <si>
    <t>Nijmegen</t>
  </si>
  <si>
    <t>Provincie Gelderland</t>
  </si>
  <si>
    <t>314 32</t>
  </si>
  <si>
    <t>Honey Wheat Pretzels</t>
  </si>
  <si>
    <t>Kennan</t>
  </si>
  <si>
    <t>Priddie</t>
  </si>
  <si>
    <t>kpriddie6r@reference.com</t>
  </si>
  <si>
    <t>Room 999</t>
  </si>
  <si>
    <t>Raşad</t>
  </si>
  <si>
    <t>Classic Bagels</t>
  </si>
  <si>
    <t>Cinderella</t>
  </si>
  <si>
    <t>Wike</t>
  </si>
  <si>
    <t>cwike6s@sphinn.com</t>
  </si>
  <si>
    <t>262 23</t>
  </si>
  <si>
    <t>Apt 1290</t>
  </si>
  <si>
    <t>Jince</t>
  </si>
  <si>
    <t>86430-000</t>
  </si>
  <si>
    <t>Electric Egg Cooker</t>
  </si>
  <si>
    <t>Fanya</t>
  </si>
  <si>
    <t>Engley</t>
  </si>
  <si>
    <t>fengley6t@tmall.com</t>
  </si>
  <si>
    <t>59468 CEDEX</t>
  </si>
  <si>
    <t>PO Box 77851</t>
  </si>
  <si>
    <t>Lomme</t>
  </si>
  <si>
    <t>Nord-Pas-de-Calais</t>
  </si>
  <si>
    <t>Zimbabwe</t>
  </si>
  <si>
    <t>Foot Massager Machine</t>
  </si>
  <si>
    <t>Angele</t>
  </si>
  <si>
    <t>Goranov</t>
  </si>
  <si>
    <t>agoranov6u@whitehouse.gov</t>
  </si>
  <si>
    <t>Luyi</t>
  </si>
  <si>
    <t>2300-320</t>
  </si>
  <si>
    <t>Coffee Maker</t>
  </si>
  <si>
    <t>Dall</t>
  </si>
  <si>
    <t>Grishmanov</t>
  </si>
  <si>
    <t>dgrishmanov6v@vk.com</t>
  </si>
  <si>
    <t>Rijeka</t>
  </si>
  <si>
    <t>Peach Slices (canned)</t>
  </si>
  <si>
    <t>Connor</t>
  </si>
  <si>
    <t>Wenderoth</t>
  </si>
  <si>
    <t>cwenderoth6w@yellowbook.com</t>
  </si>
  <si>
    <t>L-6562</t>
  </si>
  <si>
    <t>Room 824</t>
  </si>
  <si>
    <t>Berdorf</t>
  </si>
  <si>
    <t>Bluetooth Tracker</t>
  </si>
  <si>
    <t>Pierson</t>
  </si>
  <si>
    <t>Feavearyear</t>
  </si>
  <si>
    <t>pfeavearyear6x@cbc.ca</t>
  </si>
  <si>
    <t>PO Box 20876</t>
  </si>
  <si>
    <t>Guitang</t>
  </si>
  <si>
    <t>Pizza Stone</t>
  </si>
  <si>
    <t>Lodovico</t>
  </si>
  <si>
    <t>Bennough</t>
  </si>
  <si>
    <t>lbennough6y@forbes.com</t>
  </si>
  <si>
    <t>Room 513</t>
  </si>
  <si>
    <t>Kawayan</t>
  </si>
  <si>
    <t>Roasted Garlic</t>
  </si>
  <si>
    <t>Brod</t>
  </si>
  <si>
    <t>Inkpin</t>
  </si>
  <si>
    <t>binkpin6z@wired.com</t>
  </si>
  <si>
    <t>Bagrāmī</t>
  </si>
  <si>
    <t>Smart Thermostat with Wi-Fi</t>
  </si>
  <si>
    <t>Karpenya</t>
  </si>
  <si>
    <t>skarpenya70@narod.ru</t>
  </si>
  <si>
    <t>Pangkalanbuun</t>
  </si>
  <si>
    <t>Cinnamon Roll Kit</t>
  </si>
  <si>
    <t>Delinda</t>
  </si>
  <si>
    <t>Cinnamond</t>
  </si>
  <si>
    <t>dcinnamond71@xrea.com</t>
  </si>
  <si>
    <t>752 61</t>
  </si>
  <si>
    <t>Suite 51</t>
  </si>
  <si>
    <t>Sayer</t>
  </si>
  <si>
    <t>Augustus</t>
  </si>
  <si>
    <t>saugustus72@mayoclinic.com</t>
  </si>
  <si>
    <t>Suite 19</t>
  </si>
  <si>
    <t>Los Andes</t>
  </si>
  <si>
    <t>Chicken Breasts</t>
  </si>
  <si>
    <t>Ursala</t>
  </si>
  <si>
    <t>Izkoveski</t>
  </si>
  <si>
    <t>uizkoveski73@51.la</t>
  </si>
  <si>
    <t>17th Floor</t>
  </si>
  <si>
    <t>West Palm Beach</t>
  </si>
  <si>
    <t>Florida</t>
  </si>
  <si>
    <t>Fitness Resistance Bands Set</t>
  </si>
  <si>
    <t>Regine</t>
  </si>
  <si>
    <t>Longmuir</t>
  </si>
  <si>
    <t>rlongmuir74@1688.com</t>
  </si>
  <si>
    <t>Apt 899</t>
  </si>
  <si>
    <t>Boksitogorsk</t>
  </si>
  <si>
    <t>39-210</t>
  </si>
  <si>
    <t>Pet Grooming Glove</t>
  </si>
  <si>
    <t>Decca</t>
  </si>
  <si>
    <t>Featherstonhaugh</t>
  </si>
  <si>
    <t>dfeatherstonhaugh75@theguardian.com</t>
  </si>
  <si>
    <t>Iran</t>
  </si>
  <si>
    <t>Room 868</t>
  </si>
  <si>
    <t>Shahrud</t>
  </si>
  <si>
    <t>Sun Protection Clothing</t>
  </si>
  <si>
    <t>Pooh</t>
  </si>
  <si>
    <t>Riddall</t>
  </si>
  <si>
    <t>priddall76@storify.com</t>
  </si>
  <si>
    <t>Muranovo</t>
  </si>
  <si>
    <t>Adjustable Yoga Mat Strap</t>
  </si>
  <si>
    <t>Jyoti</t>
  </si>
  <si>
    <t>Sangwine</t>
  </si>
  <si>
    <t>jsangwine77@moonfruit.com</t>
  </si>
  <si>
    <t>Room 545</t>
  </si>
  <si>
    <t>Nanyulinxi</t>
  </si>
  <si>
    <t>Togo</t>
  </si>
  <si>
    <t>Electric Can Opener</t>
  </si>
  <si>
    <t>Katie</t>
  </si>
  <si>
    <t>Girardengo</t>
  </si>
  <si>
    <t>kgirardengo78@youku.com</t>
  </si>
  <si>
    <t>Apt 1638</t>
  </si>
  <si>
    <t>Utan</t>
  </si>
  <si>
    <t>Guam</t>
  </si>
  <si>
    <t>Votier</t>
  </si>
  <si>
    <t>lvotier79@scientificamerican.com</t>
  </si>
  <si>
    <t>88-115</t>
  </si>
  <si>
    <t>Room 1363</t>
  </si>
  <si>
    <t>Inowrocław</t>
  </si>
  <si>
    <t>Cat Tree</t>
  </si>
  <si>
    <t>Alexandra</t>
  </si>
  <si>
    <t>Standall</t>
  </si>
  <si>
    <t>astandall7a@fema.gov</t>
  </si>
  <si>
    <t>Micronesia</t>
  </si>
  <si>
    <t>Room 956</t>
  </si>
  <si>
    <t>Kolonia Town</t>
  </si>
  <si>
    <t>Shredded Cheese</t>
  </si>
  <si>
    <t>Darcy</t>
  </si>
  <si>
    <t>Hazelton</t>
  </si>
  <si>
    <t>dhazelton7b@cmu.edu</t>
  </si>
  <si>
    <t>Nay Pyi Taw</t>
  </si>
  <si>
    <t>Bamboo Memory Foam Pillow</t>
  </si>
  <si>
    <t>Wanids</t>
  </si>
  <si>
    <t>Rosiello</t>
  </si>
  <si>
    <t>wrosiello7c@example.com</t>
  </si>
  <si>
    <t>PO Box 35214</t>
  </si>
  <si>
    <t>Budënnovsk</t>
  </si>
  <si>
    <t>Adjustable Resistance Bands</t>
  </si>
  <si>
    <t>Erek</t>
  </si>
  <si>
    <t>Fruen</t>
  </si>
  <si>
    <t>efruen7d@ft.com</t>
  </si>
  <si>
    <t>Apt 1434</t>
  </si>
  <si>
    <t>Seremban</t>
  </si>
  <si>
    <t>Negeri Sembilan</t>
  </si>
  <si>
    <t>Dark Chocolate Bars</t>
  </si>
  <si>
    <t>Halette</t>
  </si>
  <si>
    <t>Palay</t>
  </si>
  <si>
    <t>hpalay7e@nih.gov</t>
  </si>
  <si>
    <t>Bhutan</t>
  </si>
  <si>
    <t>Apt 988</t>
  </si>
  <si>
    <t>Samdrup Jongkhar</t>
  </si>
  <si>
    <t>BBQ Sauce</t>
  </si>
  <si>
    <t>Marris</t>
  </si>
  <si>
    <t>Korpolak</t>
  </si>
  <si>
    <t>mkorpolak7f@marriott.com</t>
  </si>
  <si>
    <t>Suite 60</t>
  </si>
  <si>
    <t>Hongsipu</t>
  </si>
  <si>
    <t>Reversible Comforter Set</t>
  </si>
  <si>
    <t>Fabian</t>
  </si>
  <si>
    <t>Ricardet</t>
  </si>
  <si>
    <t>fricardet7g@cbslocal.com</t>
  </si>
  <si>
    <t>Slovenia</t>
  </si>
  <si>
    <t>Železniki</t>
  </si>
  <si>
    <t>2970-137</t>
  </si>
  <si>
    <t>Smartphone UV Sanitizer</t>
  </si>
  <si>
    <t>Laetitia</t>
  </si>
  <si>
    <t>Sarah</t>
  </si>
  <si>
    <t>lsarah7h@google.cn</t>
  </si>
  <si>
    <t>Apt 398</t>
  </si>
  <si>
    <t>Baqiao</t>
  </si>
  <si>
    <t>981 31</t>
  </si>
  <si>
    <t>Mathe</t>
  </si>
  <si>
    <t>Dransfield</t>
  </si>
  <si>
    <t>mdransfield7i@shinystat.com</t>
  </si>
  <si>
    <t>Uganda</t>
  </si>
  <si>
    <t>Adjumani</t>
  </si>
  <si>
    <t>Golf Polo Shirt</t>
  </si>
  <si>
    <t>Callendar</t>
  </si>
  <si>
    <t>mcallendar7j@is.gd</t>
  </si>
  <si>
    <t>Room 1385</t>
  </si>
  <si>
    <t>66-540</t>
  </si>
  <si>
    <t>Adjustable Laptop Desk</t>
  </si>
  <si>
    <t>Gilemette</t>
  </si>
  <si>
    <t>gcorse7k@comcast.net</t>
  </si>
  <si>
    <t>PO Box 76012</t>
  </si>
  <si>
    <t>Shinaihai</t>
  </si>
  <si>
    <t>Bamboo Utensil Set</t>
  </si>
  <si>
    <t>Corri</t>
  </si>
  <si>
    <t>Marchbank</t>
  </si>
  <si>
    <t>cmarchbank7l@hc360.com</t>
  </si>
  <si>
    <t>Kamal</t>
  </si>
  <si>
    <t>Body Wash</t>
  </si>
  <si>
    <t>Mikaela</t>
  </si>
  <si>
    <t>Duck</t>
  </si>
  <si>
    <t>mduck7m@google.com.hk</t>
  </si>
  <si>
    <t>Suite 92</t>
  </si>
  <si>
    <t>Manola</t>
  </si>
  <si>
    <t>Nert</t>
  </si>
  <si>
    <t>Mattheus</t>
  </si>
  <si>
    <t>nmattheus7n@networkadvertising.org</t>
  </si>
  <si>
    <t>Room 914</t>
  </si>
  <si>
    <t>Ngeni</t>
  </si>
  <si>
    <t>Sesame Garlic Noodles</t>
  </si>
  <si>
    <t>Hurford</t>
  </si>
  <si>
    <t>ohurford7o@google.com.hk</t>
  </si>
  <si>
    <t>Room 339</t>
  </si>
  <si>
    <t>Isabela</t>
  </si>
  <si>
    <t>Deep Tissue Massage Gun</t>
  </si>
  <si>
    <t>Cathrin</t>
  </si>
  <si>
    <t>Vidyapin</t>
  </si>
  <si>
    <t>cvidyapin7p@shinystat.com</t>
  </si>
  <si>
    <t>507 82</t>
  </si>
  <si>
    <t>Apt 1639</t>
  </si>
  <si>
    <t>Pecka</t>
  </si>
  <si>
    <t>Window Blinds</t>
  </si>
  <si>
    <t>Chanda</t>
  </si>
  <si>
    <t>Aleksidze</t>
  </si>
  <si>
    <t>caleksidze7q@examiner.com</t>
  </si>
  <si>
    <t>Room 497</t>
  </si>
  <si>
    <t>La Unión</t>
  </si>
  <si>
    <t>259-1220</t>
  </si>
  <si>
    <t>Cherry Almond Protein Bar</t>
  </si>
  <si>
    <t>Parsifal</t>
  </si>
  <si>
    <t>Reggiani</t>
  </si>
  <si>
    <t>preggiani7r@surveymonkey.com</t>
  </si>
  <si>
    <t>Nicaragua</t>
  </si>
  <si>
    <t>PO Box 98424</t>
  </si>
  <si>
    <t>Dolores</t>
  </si>
  <si>
    <t>Cordless Electric Screwdriver</t>
  </si>
  <si>
    <t>Kristel</t>
  </si>
  <si>
    <t>Milleton</t>
  </si>
  <si>
    <t>kmilleton7s@themeforest.net</t>
  </si>
  <si>
    <t>Room 1813</t>
  </si>
  <si>
    <t>Coayllo</t>
  </si>
  <si>
    <t>59700-000</t>
  </si>
  <si>
    <t>Italian Meatballs</t>
  </si>
  <si>
    <t>Griff</t>
  </si>
  <si>
    <t>Duval</t>
  </si>
  <si>
    <t>gduval7t@soup.io</t>
  </si>
  <si>
    <t>Bantiran</t>
  </si>
  <si>
    <t>Dominican Republic</t>
  </si>
  <si>
    <t>Ricotta Cheese</t>
  </si>
  <si>
    <t>Loni</t>
  </si>
  <si>
    <t>Lunney</t>
  </si>
  <si>
    <t>llunney7u@qq.com</t>
  </si>
  <si>
    <t>PO Box 17238</t>
  </si>
  <si>
    <t>San Antonio</t>
  </si>
  <si>
    <t>Non-Slip Yoga Socks</t>
  </si>
  <si>
    <t>Eleni</t>
  </si>
  <si>
    <t>O'Cahill</t>
  </si>
  <si>
    <t>eocahill7v@godaddy.com</t>
  </si>
  <si>
    <t>267 07</t>
  </si>
  <si>
    <t>PO Box 73968</t>
  </si>
  <si>
    <t>Chyňava</t>
  </si>
  <si>
    <t>New Zealand</t>
  </si>
  <si>
    <t>Air Purifier</t>
  </si>
  <si>
    <t>Lydon</t>
  </si>
  <si>
    <t>Barfford</t>
  </si>
  <si>
    <t>lbarfford7w@bing.com</t>
  </si>
  <si>
    <t>PO Box 63018</t>
  </si>
  <si>
    <t>Haurpanggung</t>
  </si>
  <si>
    <t>Frozen Acai Bowl</t>
  </si>
  <si>
    <t>Anderea</t>
  </si>
  <si>
    <t>Pietasch</t>
  </si>
  <si>
    <t>apietasch7x@hugedomains.com</t>
  </si>
  <si>
    <t>Apt 162</t>
  </si>
  <si>
    <t>Huangzhuang</t>
  </si>
  <si>
    <t>Dudley</t>
  </si>
  <si>
    <t>Di Angelo</t>
  </si>
  <si>
    <t>ddiangelo7y@cnet.com</t>
  </si>
  <si>
    <t>74999 CEDEX 9</t>
  </si>
  <si>
    <t>Room 1702</t>
  </si>
  <si>
    <t>Annecy</t>
  </si>
  <si>
    <t>57480-000</t>
  </si>
  <si>
    <t>Caramel Apple Chips</t>
  </si>
  <si>
    <t>Jo ann</t>
  </si>
  <si>
    <t>Dowbiggin</t>
  </si>
  <si>
    <t>jdowbiggin7z@stanford.edu</t>
  </si>
  <si>
    <t>44640-000</t>
  </si>
  <si>
    <t>PO Box 83156</t>
  </si>
  <si>
    <t>Riachão do Jacuípe</t>
  </si>
  <si>
    <t>987-0058</t>
  </si>
  <si>
    <t>Matcha Green Tea Powder</t>
  </si>
  <si>
    <t>Winthrop</t>
  </si>
  <si>
    <t>Beeke</t>
  </si>
  <si>
    <t>wbeeke80@about.me</t>
  </si>
  <si>
    <t>Room 350</t>
  </si>
  <si>
    <t>Banisilan</t>
  </si>
  <si>
    <t>Motorcycle Phone Mount</t>
  </si>
  <si>
    <t>Floris</t>
  </si>
  <si>
    <t>Treuge</t>
  </si>
  <si>
    <t>ftreuge81@cocolog-nifty.com</t>
  </si>
  <si>
    <t>509-0307</t>
  </si>
  <si>
    <t>Room 1001</t>
  </si>
  <si>
    <t>Minokamo</t>
  </si>
  <si>
    <t>USB Wall Charger</t>
  </si>
  <si>
    <t>Putnam</t>
  </si>
  <si>
    <t>Fantin</t>
  </si>
  <si>
    <t>pfantin82@bluehost.com</t>
  </si>
  <si>
    <t>Selopuro</t>
  </si>
  <si>
    <t>Sivyer</t>
  </si>
  <si>
    <t>msivyer83@123-reg.co.uk</t>
  </si>
  <si>
    <t>Room 1734</t>
  </si>
  <si>
    <t>Mandepa Barat</t>
  </si>
  <si>
    <t>Kale &amp; Quinoa Salad Mix</t>
  </si>
  <si>
    <t>Dori</t>
  </si>
  <si>
    <t>Miners</t>
  </si>
  <si>
    <t>dminers84@scribd.com</t>
  </si>
  <si>
    <t>Uzbekistan</t>
  </si>
  <si>
    <t>Toshbuloq</t>
  </si>
  <si>
    <t>Workstation Laptop Stand</t>
  </si>
  <si>
    <t>Dannye</t>
  </si>
  <si>
    <t>Elsmere</t>
  </si>
  <si>
    <t>delsmere85@mlb.com</t>
  </si>
  <si>
    <t>Marshall Islands</t>
  </si>
  <si>
    <t>Apt 379</t>
  </si>
  <si>
    <t>Ebaye</t>
  </si>
  <si>
    <t>Lanna</t>
  </si>
  <si>
    <t>Colman</t>
  </si>
  <si>
    <t>lcolman86@tmall.com</t>
  </si>
  <si>
    <t>Suite 75</t>
  </si>
  <si>
    <t>Liangdong</t>
  </si>
  <si>
    <t>Pet Travel Bowl</t>
  </si>
  <si>
    <t>Donni</t>
  </si>
  <si>
    <t>Skews</t>
  </si>
  <si>
    <t>dskews87@cmu.edu</t>
  </si>
  <si>
    <t>Al Wardānīn</t>
  </si>
  <si>
    <t>2970-079</t>
  </si>
  <si>
    <t>Brazil Nuts</t>
  </si>
  <si>
    <t>Kathleen</t>
  </si>
  <si>
    <t>Thebes</t>
  </si>
  <si>
    <t>kthebes88@infoseek.co.jp</t>
  </si>
  <si>
    <t>Suite 58</t>
  </si>
  <si>
    <t>Wangsi</t>
  </si>
  <si>
    <t>Solar Charger</t>
  </si>
  <si>
    <t>Federica</t>
  </si>
  <si>
    <t>Faireclough</t>
  </si>
  <si>
    <t>ffaireclough89@businesswire.com</t>
  </si>
  <si>
    <t>Room 650</t>
  </si>
  <si>
    <t>Oeleon</t>
  </si>
  <si>
    <t>Gaming Headset</t>
  </si>
  <si>
    <t>Nariko</t>
  </si>
  <si>
    <t>Monck</t>
  </si>
  <si>
    <t>nmonck8a@yolasite.com</t>
  </si>
  <si>
    <t>58750-000</t>
  </si>
  <si>
    <t>PO Box 19592</t>
  </si>
  <si>
    <t>Juru</t>
  </si>
  <si>
    <t>Coconut Flakes</t>
  </si>
  <si>
    <t>Javier</t>
  </si>
  <si>
    <t>Jeaves</t>
  </si>
  <si>
    <t>jjeaves8b@altervista.org</t>
  </si>
  <si>
    <t>PO Box 32478</t>
  </si>
  <si>
    <t>Xinye</t>
  </si>
  <si>
    <t>Sweet Potato and Chickpea Bowl</t>
  </si>
  <si>
    <t>Food - Frozen Food</t>
  </si>
  <si>
    <t>Aurore</t>
  </si>
  <si>
    <t>Wassell</t>
  </si>
  <si>
    <t>awassell8c@imgur.com</t>
  </si>
  <si>
    <t>69624 CEDEX</t>
  </si>
  <si>
    <t>Room 1071</t>
  </si>
  <si>
    <t>Villeurbanne</t>
  </si>
  <si>
    <t>Multicolored LED Strip Lights</t>
  </si>
  <si>
    <t>Reyna</t>
  </si>
  <si>
    <t>Gornall</t>
  </si>
  <si>
    <t>rgornall8d@tamu.edu</t>
  </si>
  <si>
    <t>Ocala</t>
  </si>
  <si>
    <t>Chickpea Salad</t>
  </si>
  <si>
    <t>Sibby</t>
  </si>
  <si>
    <t>Perrygo</t>
  </si>
  <si>
    <t>sperrygo8e@last.fm</t>
  </si>
  <si>
    <t>Room 657</t>
  </si>
  <si>
    <t>Lyntupy</t>
  </si>
  <si>
    <t>Westbrooke</t>
  </si>
  <si>
    <t>Filon</t>
  </si>
  <si>
    <t>wfilon8f@census.gov</t>
  </si>
  <si>
    <t>Apt 1216</t>
  </si>
  <si>
    <t>Mukacheve</t>
  </si>
  <si>
    <t>Latvia</t>
  </si>
  <si>
    <t>Stylish Wide-Leg Trousers</t>
  </si>
  <si>
    <t>Clothing - Bottoms</t>
  </si>
  <si>
    <t>Jule</t>
  </si>
  <si>
    <t>De la Yglesia</t>
  </si>
  <si>
    <t>jdelayglesia8g@yellowbook.com</t>
  </si>
  <si>
    <t>4580-245</t>
  </si>
  <si>
    <t>Agrela</t>
  </si>
  <si>
    <t>Almond Joy Bars</t>
  </si>
  <si>
    <t>Food - Confectionery</t>
  </si>
  <si>
    <t>Frannie</t>
  </si>
  <si>
    <t>Prati</t>
  </si>
  <si>
    <t>fprati8h@nymag.com</t>
  </si>
  <si>
    <t>Room 1315</t>
  </si>
  <si>
    <t>Kepahiang</t>
  </si>
  <si>
    <t>32-447</t>
  </si>
  <si>
    <t>Kids Tablet</t>
  </si>
  <si>
    <t>Teddi</t>
  </si>
  <si>
    <t>Whitear</t>
  </si>
  <si>
    <t>twhitear8i@bravesites.com</t>
  </si>
  <si>
    <t>Apt 1480</t>
  </si>
  <si>
    <t>Shajing</t>
  </si>
  <si>
    <t>Peach Halves (canned)</t>
  </si>
  <si>
    <t>Caldwell</t>
  </si>
  <si>
    <t>Tritton</t>
  </si>
  <si>
    <t>ctritton8j@issuu.com</t>
  </si>
  <si>
    <t>80-867</t>
  </si>
  <si>
    <t>Room 1035</t>
  </si>
  <si>
    <t>Przyborów</t>
  </si>
  <si>
    <t>Reusable Produce Bags Set</t>
  </si>
  <si>
    <t>Korrie</t>
  </si>
  <si>
    <t>Rawstorne</t>
  </si>
  <si>
    <t>krawstorne8k@flickr.com</t>
  </si>
  <si>
    <t>PO Box 31435</t>
  </si>
  <si>
    <t>Yaguachi Nuevo</t>
  </si>
  <si>
    <t>Vanilla Protein Powder</t>
  </si>
  <si>
    <t>Food - Health/Protein</t>
  </si>
  <si>
    <t>Iamittii</t>
  </si>
  <si>
    <t>iiamittii8l@cafepress.com</t>
  </si>
  <si>
    <t>172 29</t>
  </si>
  <si>
    <t>Room 1099</t>
  </si>
  <si>
    <t>Sundbyberg</t>
  </si>
  <si>
    <t>87-730</t>
  </si>
  <si>
    <t>Pineapple Salsa</t>
  </si>
  <si>
    <t>Gustavo</t>
  </si>
  <si>
    <t>Celle</t>
  </si>
  <si>
    <t>gcelle8m@amazon.co.uk</t>
  </si>
  <si>
    <t>Taldykorgan</t>
  </si>
  <si>
    <t>4650-089</t>
  </si>
  <si>
    <t>Natural Soy Candles</t>
  </si>
  <si>
    <t>Hortense</t>
  </si>
  <si>
    <t>Hammett</t>
  </si>
  <si>
    <t>hhammett8n@vkontakte.ru</t>
  </si>
  <si>
    <t>88500-000</t>
  </si>
  <si>
    <t>Apt 138</t>
  </si>
  <si>
    <t>Lages</t>
  </si>
  <si>
    <t>33-321</t>
  </si>
  <si>
    <t>Tailored Blazer</t>
  </si>
  <si>
    <t>Markus</t>
  </si>
  <si>
    <t>Singleton</t>
  </si>
  <si>
    <t>msingleton8o@privacy.gov.au</t>
  </si>
  <si>
    <t>Suite 5</t>
  </si>
  <si>
    <t>El Fasher</t>
  </si>
  <si>
    <t>Rowan</t>
  </si>
  <si>
    <t>Hedditeh</t>
  </si>
  <si>
    <t>rhedditeh8p@freewebs.com</t>
  </si>
  <si>
    <t>PO Box 75718</t>
  </si>
  <si>
    <t>Debelets</t>
  </si>
  <si>
    <t>Frederick</t>
  </si>
  <si>
    <t>Sarton</t>
  </si>
  <si>
    <t>fsarton8q@fotki.com</t>
  </si>
  <si>
    <t>671 24</t>
  </si>
  <si>
    <t>PO Box 70924</t>
  </si>
  <si>
    <t>Vrbovec</t>
  </si>
  <si>
    <t>Comfort Flats</t>
  </si>
  <si>
    <t>Clothing - Shoes</t>
  </si>
  <si>
    <t>Phillip</t>
  </si>
  <si>
    <t>Heap</t>
  </si>
  <si>
    <t>pheap8r@paypal.com</t>
  </si>
  <si>
    <t>Jinling</t>
  </si>
  <si>
    <t>3680-077</t>
  </si>
  <si>
    <t>Air Mattress</t>
  </si>
  <si>
    <t>Uriel</t>
  </si>
  <si>
    <t>Kennaway</t>
  </si>
  <si>
    <t>ukennaway8s@cbc.ca</t>
  </si>
  <si>
    <t>Suite 26</t>
  </si>
  <si>
    <t>Baraguá</t>
  </si>
  <si>
    <t>Patin</t>
  </si>
  <si>
    <t>Hallbord</t>
  </si>
  <si>
    <t>phallbord8t@china.com.cn</t>
  </si>
  <si>
    <t>Suite 61</t>
  </si>
  <si>
    <t>Santa Catalina</t>
  </si>
  <si>
    <t>Elderberry Syrup</t>
  </si>
  <si>
    <t>Food - Supplements</t>
  </si>
  <si>
    <t>Lucienne</t>
  </si>
  <si>
    <t>Henke</t>
  </si>
  <si>
    <t>lhenke8u@dropbox.com</t>
  </si>
  <si>
    <t>Kibara</t>
  </si>
  <si>
    <t>Chickpea Salad Deluxe</t>
  </si>
  <si>
    <t>Muffin</t>
  </si>
  <si>
    <t>Reichelt</t>
  </si>
  <si>
    <t>mreichelt8v@vistaprint.com</t>
  </si>
  <si>
    <t>Kuwait</t>
  </si>
  <si>
    <t>Apt 61</t>
  </si>
  <si>
    <t>Al Farwānīyah</t>
  </si>
  <si>
    <t>Video Camera</t>
  </si>
  <si>
    <t>Roi</t>
  </si>
  <si>
    <t>Nerne</t>
  </si>
  <si>
    <t>rnerne8w@4shared.com</t>
  </si>
  <si>
    <t>4765-497</t>
  </si>
  <si>
    <t>Suite 15</t>
  </si>
  <si>
    <t>Serzedelo</t>
  </si>
  <si>
    <t>Braga</t>
  </si>
  <si>
    <t>Organic Cucumber</t>
  </si>
  <si>
    <t>Food - Vegetables</t>
  </si>
  <si>
    <t>Eva</t>
  </si>
  <si>
    <t>Krzyzanowski</t>
  </si>
  <si>
    <t>ekrzyzanowski8x@uol.com.br</t>
  </si>
  <si>
    <t>57045 CEDEX 01</t>
  </si>
  <si>
    <t>Room 84</t>
  </si>
  <si>
    <t>Metz</t>
  </si>
  <si>
    <t>Lorraine</t>
  </si>
  <si>
    <t>79031 CEDEX 9</t>
  </si>
  <si>
    <t>Berry Smoothie Mix</t>
  </si>
  <si>
    <t>Shelba</t>
  </si>
  <si>
    <t>Rome</t>
  </si>
  <si>
    <t>srome8y@goo.gl</t>
  </si>
  <si>
    <t>59073 CEDEX 1</t>
  </si>
  <si>
    <t>Roubaix</t>
  </si>
  <si>
    <t>281 43</t>
  </si>
  <si>
    <t>Apple Juice</t>
  </si>
  <si>
    <t>Ellissa</t>
  </si>
  <si>
    <t>Obal</t>
  </si>
  <si>
    <t>eobal8z@dot.gov</t>
  </si>
  <si>
    <t>Apt 1649</t>
  </si>
  <si>
    <t>Austin</t>
  </si>
  <si>
    <t>Texas</t>
  </si>
  <si>
    <t>85800-000</t>
  </si>
  <si>
    <t>Cally</t>
  </si>
  <si>
    <t>Stickells</t>
  </si>
  <si>
    <t>cstickells90@tripod.com</t>
  </si>
  <si>
    <t>Room 839</t>
  </si>
  <si>
    <t>L-9674</t>
  </si>
  <si>
    <t>Chickpea Snack Mix</t>
  </si>
  <si>
    <t>Myrtle</t>
  </si>
  <si>
    <t>Jaye</t>
  </si>
  <si>
    <t>mjaye91@t-online.de</t>
  </si>
  <si>
    <t>38800-000</t>
  </si>
  <si>
    <t>Apt 1525</t>
  </si>
  <si>
    <t>São Gotardo</t>
  </si>
  <si>
    <t>Egypt</t>
  </si>
  <si>
    <t>Comfortable Bed Pillow</t>
  </si>
  <si>
    <t>Torey</t>
  </si>
  <si>
    <t>Ibbeson</t>
  </si>
  <si>
    <t>tibbeson92@bigcartel.com</t>
  </si>
  <si>
    <t>89-400</t>
  </si>
  <si>
    <t>Sępólno Krajeńskie</t>
  </si>
  <si>
    <t>Cabbage Slaw Mix</t>
  </si>
  <si>
    <t>Karlotte</t>
  </si>
  <si>
    <t>Petters</t>
  </si>
  <si>
    <t>kpetters93@pinterest.com</t>
  </si>
  <si>
    <t>Morant Bay</t>
  </si>
  <si>
    <t>Stainless Steel Mixing Bowls</t>
  </si>
  <si>
    <t>Myles</t>
  </si>
  <si>
    <t>Royce</t>
  </si>
  <si>
    <t>mroyce94@tinyurl.com</t>
  </si>
  <si>
    <t>Room 726</t>
  </si>
  <si>
    <t>Yaogu</t>
  </si>
  <si>
    <t>Mini Hand Gesture Drone</t>
  </si>
  <si>
    <t>Maurise</t>
  </si>
  <si>
    <t>Penner</t>
  </si>
  <si>
    <t>mpenner95@npr.org</t>
  </si>
  <si>
    <t>07104 CEDEX</t>
  </si>
  <si>
    <t>PO Box 67585</t>
  </si>
  <si>
    <t>Annonay</t>
  </si>
  <si>
    <t>252 31</t>
  </si>
  <si>
    <t>Sweet Potato &amp; Kale Hash</t>
  </si>
  <si>
    <t>Amber</t>
  </si>
  <si>
    <t>Leaming</t>
  </si>
  <si>
    <t>aleaming96@geocities.jp</t>
  </si>
  <si>
    <t>Apt 1308</t>
  </si>
  <si>
    <t>Bangbayang</t>
  </si>
  <si>
    <t>2645-446</t>
  </si>
  <si>
    <t>Car Emergency Kit</t>
  </si>
  <si>
    <t>Dennet</t>
  </si>
  <si>
    <t>Le Frank</t>
  </si>
  <si>
    <t>dlefrank97@wunderground.com</t>
  </si>
  <si>
    <t>PO Box 45131</t>
  </si>
  <si>
    <t>Mweka</t>
  </si>
  <si>
    <t>Gilhooly</t>
  </si>
  <si>
    <t>cgilhooly98@blogspot.com</t>
  </si>
  <si>
    <t>Oman</t>
  </si>
  <si>
    <t>Room 65</t>
  </si>
  <si>
    <t>Nizwá</t>
  </si>
  <si>
    <t>Reusable Silicone Food Storage Bags</t>
  </si>
  <si>
    <t>Taddeusz</t>
  </si>
  <si>
    <t>Putson</t>
  </si>
  <si>
    <t>tputson99@google.es</t>
  </si>
  <si>
    <t>Bogorejo</t>
  </si>
  <si>
    <t>Bennie</t>
  </si>
  <si>
    <t>Lagde</t>
  </si>
  <si>
    <t>blagde9a@who.int</t>
  </si>
  <si>
    <t>28-411</t>
  </si>
  <si>
    <t>Michałów</t>
  </si>
  <si>
    <t>44159 CEDEX</t>
  </si>
  <si>
    <t>Vanilla Bean Greek Yogurt</t>
  </si>
  <si>
    <t>Mellie</t>
  </si>
  <si>
    <t>Simonson</t>
  </si>
  <si>
    <t>msimonson9b@blogs.com</t>
  </si>
  <si>
    <t>PO Box 33065</t>
  </si>
  <si>
    <t>Xianrendu</t>
  </si>
  <si>
    <t>Comfortable Jogger Pants</t>
  </si>
  <si>
    <t>Kanya</t>
  </si>
  <si>
    <t>Gotliffe</t>
  </si>
  <si>
    <t>kgotliffe9c@adobe.com</t>
  </si>
  <si>
    <t>Apt 1174</t>
  </si>
  <si>
    <t>Kapan</t>
  </si>
  <si>
    <t>Travel Eye Mask with Ear Plugs</t>
  </si>
  <si>
    <t>Webster</t>
  </si>
  <si>
    <t>Bubbear</t>
  </si>
  <si>
    <t>wbubbear9d@hugedomains.com</t>
  </si>
  <si>
    <t>641 91</t>
  </si>
  <si>
    <t>PO Box 55498</t>
  </si>
  <si>
    <t>Katrineholm</t>
  </si>
  <si>
    <t>Södermanland</t>
  </si>
  <si>
    <t>Adjustable Height Standing Desk Converter</t>
  </si>
  <si>
    <t>Lynette</t>
  </si>
  <si>
    <t>Woodbridge</t>
  </si>
  <si>
    <t>lwoodbridge9e@storify.com</t>
  </si>
  <si>
    <t>PO Box 11031</t>
  </si>
  <si>
    <t>Punta del Este</t>
  </si>
  <si>
    <t>818 92</t>
  </si>
  <si>
    <t>Personal Security Alarm Keychain</t>
  </si>
  <si>
    <t>Safety</t>
  </si>
  <si>
    <t>Corenda</t>
  </si>
  <si>
    <t>MacShane</t>
  </si>
  <si>
    <t>cmacshane9f@istockphoto.com</t>
  </si>
  <si>
    <t>Suite 43</t>
  </si>
  <si>
    <t>Acacías</t>
  </si>
  <si>
    <t>Sliced Turkey Breast</t>
  </si>
  <si>
    <t>Food - Deli Meats</t>
  </si>
  <si>
    <t>Ricki</t>
  </si>
  <si>
    <t>Harber</t>
  </si>
  <si>
    <t>rharber9g@wunderground.com</t>
  </si>
  <si>
    <t>299-4624</t>
  </si>
  <si>
    <t>Ōhara</t>
  </si>
  <si>
    <t>Graphic Tee</t>
  </si>
  <si>
    <t>Julina</t>
  </si>
  <si>
    <t>Rizzolo</t>
  </si>
  <si>
    <t>jrizzolo9h@buzzfeed.com</t>
  </si>
  <si>
    <t>Valday</t>
  </si>
  <si>
    <t>Chia Seeds</t>
  </si>
  <si>
    <t>Bryn</t>
  </si>
  <si>
    <t>Amor</t>
  </si>
  <si>
    <t>bamor9i@opera.com</t>
  </si>
  <si>
    <t>Apt 1002</t>
  </si>
  <si>
    <t>Beaufort West</t>
  </si>
  <si>
    <t>56500-000</t>
  </si>
  <si>
    <t>Beauvais</t>
  </si>
  <si>
    <t>abeauvais9j@google.com.hk</t>
  </si>
  <si>
    <t>Apt 1786</t>
  </si>
  <si>
    <t>Pestovo</t>
  </si>
  <si>
    <t>78820-000</t>
  </si>
  <si>
    <t>Spinach Pizza Rolls</t>
  </si>
  <si>
    <t>Klimaszewski</t>
  </si>
  <si>
    <t>mklimaszewski9k@deviantart.com</t>
  </si>
  <si>
    <t>PO Box 36144</t>
  </si>
  <si>
    <t>Krajan Bejagung</t>
  </si>
  <si>
    <t>3140-253</t>
  </si>
  <si>
    <t>Almond Flour Pancake Mix</t>
  </si>
  <si>
    <t>Caryn</t>
  </si>
  <si>
    <t>Lochead</t>
  </si>
  <si>
    <t>clochead9l@si.edu</t>
  </si>
  <si>
    <t>Igir-igir</t>
  </si>
  <si>
    <t>Portable Solar Camp Shower</t>
  </si>
  <si>
    <t>Sheelagh</t>
  </si>
  <si>
    <t>Melley</t>
  </si>
  <si>
    <t>smelley9m@qq.com</t>
  </si>
  <si>
    <t>Ilembula</t>
  </si>
  <si>
    <t>Lemon Basil Pasta Sauce</t>
  </si>
  <si>
    <t>Valida</t>
  </si>
  <si>
    <t>Torfin</t>
  </si>
  <si>
    <t>vtorfin9n@adobe.com</t>
  </si>
  <si>
    <t>Room 811</t>
  </si>
  <si>
    <t>Jinta</t>
  </si>
  <si>
    <t>25071 CEDEX 9</t>
  </si>
  <si>
    <t>Leek and Potato Soup</t>
  </si>
  <si>
    <t>Taggert</t>
  </si>
  <si>
    <t>rtaggert9o@free.fr</t>
  </si>
  <si>
    <t>Room 1235</t>
  </si>
  <si>
    <t>Jagong</t>
  </si>
  <si>
    <t>Classic Chicken Noodle Soup</t>
  </si>
  <si>
    <t>Leftly</t>
  </si>
  <si>
    <t>kleftly9p@discuz.net</t>
  </si>
  <si>
    <t>Malicboy</t>
  </si>
  <si>
    <t>Eco-Friendly Notepad</t>
  </si>
  <si>
    <t>Trstram</t>
  </si>
  <si>
    <t>Guido</t>
  </si>
  <si>
    <t>tguido9q@clickbank.net</t>
  </si>
  <si>
    <t>86390-000</t>
  </si>
  <si>
    <t>Apt 1410</t>
  </si>
  <si>
    <t>Cambará</t>
  </si>
  <si>
    <t>LED Strip Lights with Remote Control</t>
  </si>
  <si>
    <t>Godfrey</t>
  </si>
  <si>
    <t>Colbourn</t>
  </si>
  <si>
    <t>gcolbourn9r@phpbb.com</t>
  </si>
  <si>
    <t>Hungary</t>
  </si>
  <si>
    <t>Suite 37</t>
  </si>
  <si>
    <t>Ózd</t>
  </si>
  <si>
    <t>Borsod-Abaúj-Zemplén</t>
  </si>
  <si>
    <t>Carlyn</t>
  </si>
  <si>
    <t>Wilstead</t>
  </si>
  <si>
    <t>cwilstead9s@creativecommons.org</t>
  </si>
  <si>
    <t>Zselickislak</t>
  </si>
  <si>
    <t>Somogy</t>
  </si>
  <si>
    <t>3220-331</t>
  </si>
  <si>
    <t>Silicone Stretch Lids</t>
  </si>
  <si>
    <t>Erroll</t>
  </si>
  <si>
    <t>Woollam</t>
  </si>
  <si>
    <t>ewoollam9t@comcast.net</t>
  </si>
  <si>
    <t>Kasserine</t>
  </si>
  <si>
    <t>Rich</t>
  </si>
  <si>
    <t>Thackray</t>
  </si>
  <si>
    <t>rthackray9u@bizjournals.com</t>
  </si>
  <si>
    <t>Liechtenstein</t>
  </si>
  <si>
    <t>Room 322</t>
  </si>
  <si>
    <t>Schellenberg</t>
  </si>
  <si>
    <t>Interactive Robot Toy</t>
  </si>
  <si>
    <t>Blakeley</t>
  </si>
  <si>
    <t>Onians</t>
  </si>
  <si>
    <t>bonians9v@hubpages.com</t>
  </si>
  <si>
    <t>Apt 684</t>
  </si>
  <si>
    <t>Las Vegas, Santa Barbara</t>
  </si>
  <si>
    <t>BBQ Jackfruit</t>
  </si>
  <si>
    <t>Queenie</t>
  </si>
  <si>
    <t>Alder</t>
  </si>
  <si>
    <t>qalder9w@craigslist.org</t>
  </si>
  <si>
    <t>15910-000</t>
  </si>
  <si>
    <t>PO Box 14309</t>
  </si>
  <si>
    <t>Monte Alto</t>
  </si>
  <si>
    <t>Wireless Smart Plug</t>
  </si>
  <si>
    <t>Podd</t>
  </si>
  <si>
    <t>kpodd9x@state.gov</t>
  </si>
  <si>
    <t>Suite 2</t>
  </si>
  <si>
    <t>Pakapasan Ilir</t>
  </si>
  <si>
    <t>35640-000</t>
  </si>
  <si>
    <t>Herbed Goat Cheese</t>
  </si>
  <si>
    <t>Food - Cheese</t>
  </si>
  <si>
    <t>Miner</t>
  </si>
  <si>
    <t>Checcucci</t>
  </si>
  <si>
    <t>mcheccucci9y@techcrunch.com</t>
  </si>
  <si>
    <t>Querobamba</t>
  </si>
  <si>
    <t>34-460</t>
  </si>
  <si>
    <t>Yvonne</t>
  </si>
  <si>
    <t>Crichton</t>
  </si>
  <si>
    <t>ycrichton9z@uiuc.edu</t>
  </si>
  <si>
    <t>Balung</t>
  </si>
  <si>
    <t>Electric Screwdriver</t>
  </si>
  <si>
    <t>Valene</t>
  </si>
  <si>
    <t>Patershall</t>
  </si>
  <si>
    <t>vpatershalla0@wikimedia.org</t>
  </si>
  <si>
    <t>Huanshi</t>
  </si>
  <si>
    <t>Spicy Thai Chili Sauce</t>
  </si>
  <si>
    <t>Opaline</t>
  </si>
  <si>
    <t>Collinette</t>
  </si>
  <si>
    <t>ocollinettea1@discovery.com</t>
  </si>
  <si>
    <t>PO Box 57712</t>
  </si>
  <si>
    <t>Chillia</t>
  </si>
  <si>
    <t>35574 CEDEX</t>
  </si>
  <si>
    <t>Creamy Avocado Dip</t>
  </si>
  <si>
    <t>Keane</t>
  </si>
  <si>
    <t>Kubasek</t>
  </si>
  <si>
    <t>kkubaseka2@so-net.ne.jp</t>
  </si>
  <si>
    <t>Room 1447</t>
  </si>
  <si>
    <t>Montecristi</t>
  </si>
  <si>
    <t>Frozen Pizza</t>
  </si>
  <si>
    <t>Coral</t>
  </si>
  <si>
    <t>Vlasov</t>
  </si>
  <si>
    <t>cvlasova3@parallels.com</t>
  </si>
  <si>
    <t>Apt 552</t>
  </si>
  <si>
    <t>Paingar</t>
  </si>
  <si>
    <t>Habanero Hot Sauce</t>
  </si>
  <si>
    <t>Klemens</t>
  </si>
  <si>
    <t>Castillo</t>
  </si>
  <si>
    <t>kcastilloa4@vkontakte.ru</t>
  </si>
  <si>
    <t>37810-000</t>
  </si>
  <si>
    <t>Room 1548</t>
  </si>
  <si>
    <t>Guaranésia</t>
  </si>
  <si>
    <t>47-280</t>
  </si>
  <si>
    <t>Adjustable Kneeling Pad</t>
  </si>
  <si>
    <t>Lamond</t>
  </si>
  <si>
    <t>Demeza</t>
  </si>
  <si>
    <t>ldemezaa5@drupal.org</t>
  </si>
  <si>
    <t>PO Box 96779</t>
  </si>
  <si>
    <t>Askainen</t>
  </si>
  <si>
    <t>3D Night Light</t>
  </si>
  <si>
    <t>Cahra</t>
  </si>
  <si>
    <t>Hayter</t>
  </si>
  <si>
    <t>chaytera6@seattletimes.com</t>
  </si>
  <si>
    <t>Apt 1297</t>
  </si>
  <si>
    <t>Sūrak</t>
  </si>
  <si>
    <t>Almond Flour Cookies</t>
  </si>
  <si>
    <t>Deniso</t>
  </si>
  <si>
    <t>edenisoa7@whitehouse.gov</t>
  </si>
  <si>
    <t>Suite 88</t>
  </si>
  <si>
    <t>Drien Rampak</t>
  </si>
  <si>
    <t>585 92</t>
  </si>
  <si>
    <t>Kids' Educational Tablet</t>
  </si>
  <si>
    <t>Onida</t>
  </si>
  <si>
    <t>Geyton</t>
  </si>
  <si>
    <t>ogeytona8@reverbnation.com</t>
  </si>
  <si>
    <t>421 46</t>
  </si>
  <si>
    <t>Västra Frölunda</t>
  </si>
  <si>
    <t>Fruit &amp; Nut Trail Mix</t>
  </si>
  <si>
    <t>Mata</t>
  </si>
  <si>
    <t>Cutforth</t>
  </si>
  <si>
    <t>mcutfortha9@skype.com</t>
  </si>
  <si>
    <t>Suite 56</t>
  </si>
  <si>
    <t>Balkh</t>
  </si>
  <si>
    <t>Melisa</t>
  </si>
  <si>
    <t>Dampier</t>
  </si>
  <si>
    <t>mdampieraa@acquirethisname.com</t>
  </si>
  <si>
    <t>Evansville</t>
  </si>
  <si>
    <t>Indiana</t>
  </si>
  <si>
    <t>Freestanding Wine Rack</t>
  </si>
  <si>
    <t>Mindy</t>
  </si>
  <si>
    <t>Petzolt</t>
  </si>
  <si>
    <t>mpetzoltab@elpais.com</t>
  </si>
  <si>
    <t>PO Box 14268</t>
  </si>
  <si>
    <t>Beishan</t>
  </si>
  <si>
    <t>38524 CEDEX</t>
  </si>
  <si>
    <t>Honey mustard chicken tenders</t>
  </si>
  <si>
    <t>Kai</t>
  </si>
  <si>
    <t>McCrostie</t>
  </si>
  <si>
    <t>kmccrostieac@shareasale.com</t>
  </si>
  <si>
    <t>PO Box 41280</t>
  </si>
  <si>
    <t>Jambubol</t>
  </si>
  <si>
    <t>05-094</t>
  </si>
  <si>
    <t>Mini Waffle Maker</t>
  </si>
  <si>
    <t>Cyndia</t>
  </si>
  <si>
    <t>O' Ronan</t>
  </si>
  <si>
    <t>coronanad@icq.com</t>
  </si>
  <si>
    <t>Kayakent</t>
  </si>
  <si>
    <t>Baked Falafel</t>
  </si>
  <si>
    <t>Food - Vegetarian</t>
  </si>
  <si>
    <t>Marlee</t>
  </si>
  <si>
    <t>Sanper</t>
  </si>
  <si>
    <t>msanperae@meetup.com</t>
  </si>
  <si>
    <t>Apt 1229</t>
  </si>
  <si>
    <t>Yixing</t>
  </si>
  <si>
    <t>Sliced Bell Peppers</t>
  </si>
  <si>
    <t>Rozanna</t>
  </si>
  <si>
    <t>Gaitskell</t>
  </si>
  <si>
    <t>rgaitskellaf@angelfire.com</t>
  </si>
  <si>
    <t>Apt 630</t>
  </si>
  <si>
    <t>Blerim</t>
  </si>
  <si>
    <t>Maple Glazed Carrots</t>
  </si>
  <si>
    <t>Dolorita</t>
  </si>
  <si>
    <t>Duffrie</t>
  </si>
  <si>
    <t>dduffrieag@alibaba.com</t>
  </si>
  <si>
    <t>Apt 897</t>
  </si>
  <si>
    <t>Duobaoshan</t>
  </si>
  <si>
    <t>Vegetarian Pizza</t>
  </si>
  <si>
    <t>Agosto</t>
  </si>
  <si>
    <t>Kull</t>
  </si>
  <si>
    <t>akullah@creativecommons.org</t>
  </si>
  <si>
    <t>9700-555</t>
  </si>
  <si>
    <t>Suite 39</t>
  </si>
  <si>
    <t>São Mateus</t>
  </si>
  <si>
    <t>Ilha Terceira</t>
  </si>
  <si>
    <t>Collapsible Folding Chair</t>
  </si>
  <si>
    <t>Papagena</t>
  </si>
  <si>
    <t>Kilpin</t>
  </si>
  <si>
    <t>pkilpinai@1688.com</t>
  </si>
  <si>
    <t>Room 1343</t>
  </si>
  <si>
    <t>Volot</t>
  </si>
  <si>
    <t>Set of Herb Garden Markers</t>
  </si>
  <si>
    <t>Grete</t>
  </si>
  <si>
    <t>Dumelow</t>
  </si>
  <si>
    <t>gdumelowaj@moonfruit.com</t>
  </si>
  <si>
    <t>Xiashihao</t>
  </si>
  <si>
    <t>Relaxed Fit Henley Shirt</t>
  </si>
  <si>
    <t>Ewan</t>
  </si>
  <si>
    <t>Joynes</t>
  </si>
  <si>
    <t>ejoynesak@dropbox.com</t>
  </si>
  <si>
    <t>Room 795</t>
  </si>
  <si>
    <t>Paritaman</t>
  </si>
  <si>
    <t>Christoforo</t>
  </si>
  <si>
    <t>Paddell</t>
  </si>
  <si>
    <t>cpaddellal@jimdo.com</t>
  </si>
  <si>
    <t>Suite 6</t>
  </si>
  <si>
    <t>Baguio</t>
  </si>
  <si>
    <t>Lyle</t>
  </si>
  <si>
    <t>Stump</t>
  </si>
  <si>
    <t>lstumpam@123-reg.co.uk</t>
  </si>
  <si>
    <t>Apt 1089</t>
  </si>
  <si>
    <t>Cleveland</t>
  </si>
  <si>
    <t>548 32</t>
  </si>
  <si>
    <t>Plant-Based Meal Prep Containers</t>
  </si>
  <si>
    <t>Bettine</t>
  </si>
  <si>
    <t>Boow</t>
  </si>
  <si>
    <t>bboowan@businessweek.com</t>
  </si>
  <si>
    <t>Apt 1070</t>
  </si>
  <si>
    <t>Astghadzor</t>
  </si>
  <si>
    <t>Liberia</t>
  </si>
  <si>
    <t>Pleated Midi Dress</t>
  </si>
  <si>
    <t>Blayne</t>
  </si>
  <si>
    <t>Bows</t>
  </si>
  <si>
    <t>bbowsao@amazon.co.jp</t>
  </si>
  <si>
    <t>Room 464</t>
  </si>
  <si>
    <t>Daur</t>
  </si>
  <si>
    <t>Classic Cheeseburger Mix</t>
  </si>
  <si>
    <t>Food - Meats</t>
  </si>
  <si>
    <t>Zane</t>
  </si>
  <si>
    <t>Allward</t>
  </si>
  <si>
    <t>zallwardap@netscape.com</t>
  </si>
  <si>
    <t>Lomé</t>
  </si>
  <si>
    <t>Fonsie</t>
  </si>
  <si>
    <t>Eddowis</t>
  </si>
  <si>
    <t>feddowisaq@blinklist.com</t>
  </si>
  <si>
    <t>PO Box 59408</t>
  </si>
  <si>
    <t>Gowurdak</t>
  </si>
  <si>
    <t>Self-Watering Planter</t>
  </si>
  <si>
    <t>Carmita</t>
  </si>
  <si>
    <t>Sea</t>
  </si>
  <si>
    <t>cseaar@engadget.com</t>
  </si>
  <si>
    <t>Apt 1968</t>
  </si>
  <si>
    <t>Concepción</t>
  </si>
  <si>
    <t>Heart-Shaped Baking Molds</t>
  </si>
  <si>
    <t>Pincas</t>
  </si>
  <si>
    <t>Lidgerton</t>
  </si>
  <si>
    <t>plidgertonas@instagram.com</t>
  </si>
  <si>
    <t>Changshengqiao</t>
  </si>
  <si>
    <t>Lemon Herb Grilled Chicken</t>
  </si>
  <si>
    <t>Georgiana</t>
  </si>
  <si>
    <t>Edgett</t>
  </si>
  <si>
    <t>gedgettat@issuu.com</t>
  </si>
  <si>
    <t>PO Box 12568</t>
  </si>
  <si>
    <t>14765-000</t>
  </si>
  <si>
    <t>Karaoke Microphone</t>
  </si>
  <si>
    <t>Alexandrina</t>
  </si>
  <si>
    <t>Poytheras</t>
  </si>
  <si>
    <t>apoytherasau@unc.edu</t>
  </si>
  <si>
    <t>PO Box 23444</t>
  </si>
  <si>
    <t>Cầu Gồ</t>
  </si>
  <si>
    <t>Grilled Vegetable Medley</t>
  </si>
  <si>
    <t>Sumner</t>
  </si>
  <si>
    <t>Cockburn</t>
  </si>
  <si>
    <t>scockburnav@amazon.com</t>
  </si>
  <si>
    <t>Room 319</t>
  </si>
  <si>
    <t>Likwatang Timur</t>
  </si>
  <si>
    <t>L6G</t>
  </si>
  <si>
    <t>Emmerich</t>
  </si>
  <si>
    <t>Ogden</t>
  </si>
  <si>
    <t>eogdenaw@trellian.com</t>
  </si>
  <si>
    <t>PO Box 80174</t>
  </si>
  <si>
    <t>Bajera</t>
  </si>
  <si>
    <t>59055 CEDEX 1</t>
  </si>
  <si>
    <t>Faux Fur Throw Blanket</t>
  </si>
  <si>
    <t>Myrtice</t>
  </si>
  <si>
    <t>Hawking</t>
  </si>
  <si>
    <t>mhawkingax@discovery.com</t>
  </si>
  <si>
    <t>86104 CEDEX</t>
  </si>
  <si>
    <t>PO Box 30576</t>
  </si>
  <si>
    <t>Châtellerault</t>
  </si>
  <si>
    <t>Poitou-Charentes</t>
  </si>
  <si>
    <t>Honey Sriracha Chicken Bites</t>
  </si>
  <si>
    <t>Jenda</t>
  </si>
  <si>
    <t>Veness</t>
  </si>
  <si>
    <t>jvenessay@google.de</t>
  </si>
  <si>
    <t>D6W</t>
  </si>
  <si>
    <t>Room 1061</t>
  </si>
  <si>
    <t>Greenhills</t>
  </si>
  <si>
    <t>Azerbaijan</t>
  </si>
  <si>
    <t>Vegetarian Sausage Links</t>
  </si>
  <si>
    <t>Food - Meat Substitutes</t>
  </si>
  <si>
    <t>Elayne</t>
  </si>
  <si>
    <t>Barizeret</t>
  </si>
  <si>
    <t>ebarizeretaz@usda.gov</t>
  </si>
  <si>
    <t>PO Box 30663</t>
  </si>
  <si>
    <t>Galaz</t>
  </si>
  <si>
    <t>Vegan Protein Powder</t>
  </si>
  <si>
    <t>Barbie</t>
  </si>
  <si>
    <t>Brugman</t>
  </si>
  <si>
    <t>bbrugmanb0@disqus.com</t>
  </si>
  <si>
    <t>Room 349</t>
  </si>
  <si>
    <t>Rizal</t>
  </si>
  <si>
    <t>Digital Photo Frame</t>
  </si>
  <si>
    <t>Cory</t>
  </si>
  <si>
    <t>D'Aeth</t>
  </si>
  <si>
    <t>cdaethb1@alibaba.com</t>
  </si>
  <si>
    <t>Suite 52</t>
  </si>
  <si>
    <t>Barberton</t>
  </si>
  <si>
    <t>Almond Flour Brownies</t>
  </si>
  <si>
    <t>Willdon</t>
  </si>
  <si>
    <t>Aiken</t>
  </si>
  <si>
    <t>waikenb2@mit.edu</t>
  </si>
  <si>
    <t>Saint Ann’s Bay</t>
  </si>
  <si>
    <t>Arch</t>
  </si>
  <si>
    <t>Caverhill</t>
  </si>
  <si>
    <t>acaverhillb3@ibm.com</t>
  </si>
  <si>
    <t>Apt 948</t>
  </si>
  <si>
    <t>Soanindrariny</t>
  </si>
  <si>
    <t>Nut Mix</t>
  </si>
  <si>
    <t>Barnabe</t>
  </si>
  <si>
    <t>Orteu</t>
  </si>
  <si>
    <t>borteub4@yahoo.co.jp</t>
  </si>
  <si>
    <t>Suite 59</t>
  </si>
  <si>
    <t>San Isidro</t>
  </si>
  <si>
    <t>Tull</t>
  </si>
  <si>
    <t>Webb-Bowen</t>
  </si>
  <si>
    <t>twebbbowenb5@gnu.org</t>
  </si>
  <si>
    <t>75808 CEDEX 17</t>
  </si>
  <si>
    <t>Paris 17</t>
  </si>
  <si>
    <t>151 81</t>
  </si>
  <si>
    <t>Mini Projector for Smartphones</t>
  </si>
  <si>
    <t>Ami</t>
  </si>
  <si>
    <t>Darlaston</t>
  </si>
  <si>
    <t>adarlastonb6@sogou.com</t>
  </si>
  <si>
    <t>Dartang</t>
  </si>
  <si>
    <t>Nananne</t>
  </si>
  <si>
    <t>Demangel</t>
  </si>
  <si>
    <t>ndemangelb7@reference.com</t>
  </si>
  <si>
    <t>PO Box 91148</t>
  </si>
  <si>
    <t>Tiztoutine</t>
  </si>
  <si>
    <t>Garden Tool Belt</t>
  </si>
  <si>
    <t>Bellanca</t>
  </si>
  <si>
    <t>Whickman</t>
  </si>
  <si>
    <t>bwhickmanb8@nps.gov</t>
  </si>
  <si>
    <t>PO Box 40551</t>
  </si>
  <si>
    <t>Yudai</t>
  </si>
  <si>
    <t>669-1417</t>
  </si>
  <si>
    <t>Pineapple Coconut Yogurt</t>
  </si>
  <si>
    <t>Merissa</t>
  </si>
  <si>
    <t>Polini</t>
  </si>
  <si>
    <t>mpolinib9@webeden.co.uk</t>
  </si>
  <si>
    <t>Apt 1379</t>
  </si>
  <si>
    <t>Huyuan</t>
  </si>
  <si>
    <t>4765-322</t>
  </si>
  <si>
    <t>Brenden</t>
  </si>
  <si>
    <t>Abley</t>
  </si>
  <si>
    <t>bableyba@istockphoto.com</t>
  </si>
  <si>
    <t>Apt 1082</t>
  </si>
  <si>
    <t>San Francisco de Yare</t>
  </si>
  <si>
    <t>Infrared Space Heater</t>
  </si>
  <si>
    <t>Jervis</t>
  </si>
  <si>
    <t>Chrismas</t>
  </si>
  <si>
    <t>jchrismasbb@statcounter.com</t>
  </si>
  <si>
    <t>9100-153</t>
  </si>
  <si>
    <t>Apt 48</t>
  </si>
  <si>
    <t>Santa Cruz</t>
  </si>
  <si>
    <t>Ilha da Madeira</t>
  </si>
  <si>
    <t>Gaylord</t>
  </si>
  <si>
    <t>Fidele</t>
  </si>
  <si>
    <t>gfidelebc@wufoo.com</t>
  </si>
  <si>
    <t>PO Box 21132</t>
  </si>
  <si>
    <t>Lithuania</t>
  </si>
  <si>
    <t>Ceramic Knife Set</t>
  </si>
  <si>
    <t>Orion</t>
  </si>
  <si>
    <t>Abba</t>
  </si>
  <si>
    <t>oabbabd@marketwatch.com</t>
  </si>
  <si>
    <t>PO Box 5464</t>
  </si>
  <si>
    <t>Beima</t>
  </si>
  <si>
    <t>Raspberry Limeade</t>
  </si>
  <si>
    <t>Deidre</t>
  </si>
  <si>
    <t>Haresnape</t>
  </si>
  <si>
    <t>dharesnapebe@samsung.com</t>
  </si>
  <si>
    <t>Suite 77</t>
  </si>
  <si>
    <t>Pamanukan</t>
  </si>
  <si>
    <t>Green Tea Matcha Powder</t>
  </si>
  <si>
    <t>Irina</t>
  </si>
  <si>
    <t>Wisniowski</t>
  </si>
  <si>
    <t>iwisniowskibf@jigsy.com</t>
  </si>
  <si>
    <t>Plant Watering Spikes</t>
  </si>
  <si>
    <t>Arther</t>
  </si>
  <si>
    <t>Jarrold</t>
  </si>
  <si>
    <t>ajarroldbg@cargocollective.com</t>
  </si>
  <si>
    <t>Apt 192</t>
  </si>
  <si>
    <t>Gambaru</t>
  </si>
  <si>
    <t>Lentil Pasta</t>
  </si>
  <si>
    <t>Fanechka</t>
  </si>
  <si>
    <t>Brownsall</t>
  </si>
  <si>
    <t>fbrownsallbh@mit.edu</t>
  </si>
  <si>
    <t>Damao</t>
  </si>
  <si>
    <t>59704 CEDEX</t>
  </si>
  <si>
    <t>Malissia</t>
  </si>
  <si>
    <t>Baribal</t>
  </si>
  <si>
    <t>mbaribalbi@cornell.edu</t>
  </si>
  <si>
    <t>Vukojevci</t>
  </si>
  <si>
    <t>Kendall</t>
  </si>
  <si>
    <t>Dilrew</t>
  </si>
  <si>
    <t>kdilrewbj@scientificamerican.com</t>
  </si>
  <si>
    <t>Room 1782</t>
  </si>
  <si>
    <t>Xubu</t>
  </si>
  <si>
    <t>High-Speed Blender</t>
  </si>
  <si>
    <t>Elfrieda</t>
  </si>
  <si>
    <t>Goldsworthy</t>
  </si>
  <si>
    <t>egoldsworthybk@reverbnation.com</t>
  </si>
  <si>
    <t>PO Box 43872</t>
  </si>
  <si>
    <t>Kyzyldzhar</t>
  </si>
  <si>
    <t>Adrienne</t>
  </si>
  <si>
    <t>Hannent</t>
  </si>
  <si>
    <t>ahannentbl@pen.io</t>
  </si>
  <si>
    <t>L2A</t>
  </si>
  <si>
    <t>Apt 1139</t>
  </si>
  <si>
    <t>Fort Erie</t>
  </si>
  <si>
    <t>Ontario</t>
  </si>
  <si>
    <t>Maudie</t>
  </si>
  <si>
    <t>Gorvette</t>
  </si>
  <si>
    <t>mgorvettebm@ucoz.ru</t>
  </si>
  <si>
    <t>PO Box 64989</t>
  </si>
  <si>
    <t>Ḩarastā</t>
  </si>
  <si>
    <t>Hersch</t>
  </si>
  <si>
    <t>Wildblood</t>
  </si>
  <si>
    <t>hwildbloodbn@shop-pro.jp</t>
  </si>
  <si>
    <t>08-455</t>
  </si>
  <si>
    <t>Room 151</t>
  </si>
  <si>
    <t>Trojanów</t>
  </si>
  <si>
    <t>47-253</t>
  </si>
  <si>
    <t>Winfield</t>
  </si>
  <si>
    <t>McAree</t>
  </si>
  <si>
    <t>wmcareebo@ftc.gov</t>
  </si>
  <si>
    <t>PO Box 27884</t>
  </si>
  <si>
    <t>Sihai</t>
  </si>
  <si>
    <t>Teriyaki Tofu Stir-Fry</t>
  </si>
  <si>
    <t>Ramona</t>
  </si>
  <si>
    <t>Spieght</t>
  </si>
  <si>
    <t>rspieghtbp@blogtalkradio.com</t>
  </si>
  <si>
    <t>Pangkalanbunut</t>
  </si>
  <si>
    <t>Floral Wrap Top</t>
  </si>
  <si>
    <t>Ada</t>
  </si>
  <si>
    <t>Andersen</t>
  </si>
  <si>
    <t>aandersenbq@pagesperso-orange.fr</t>
  </si>
  <si>
    <t>Room 1352</t>
  </si>
  <si>
    <t>Bao’an</t>
  </si>
  <si>
    <t>56404 CEDEX</t>
  </si>
  <si>
    <t>Boigie</t>
  </si>
  <si>
    <t>Clover</t>
  </si>
  <si>
    <t>bcloverbr@networksolutions.com</t>
  </si>
  <si>
    <t>Suite 40</t>
  </si>
  <si>
    <t>Tapacocha</t>
  </si>
  <si>
    <t>62930-000</t>
  </si>
  <si>
    <t>Licha</t>
  </si>
  <si>
    <t>Glassford</t>
  </si>
  <si>
    <t>lglassfordbs@java.com</t>
  </si>
  <si>
    <t>36200-000</t>
  </si>
  <si>
    <t>Suite 45</t>
  </si>
  <si>
    <t>Barbacena</t>
  </si>
  <si>
    <t>Patterned Knit Scarf</t>
  </si>
  <si>
    <t>Jerrilyn</t>
  </si>
  <si>
    <t>Kosiada</t>
  </si>
  <si>
    <t>jkosiadabt@yale.edu</t>
  </si>
  <si>
    <t>Kota Kinabalu</t>
  </si>
  <si>
    <t>Sabah</t>
  </si>
  <si>
    <t>S4X</t>
  </si>
  <si>
    <t>Creamy Garlic Mashed Potatoes</t>
  </si>
  <si>
    <t>Lowe</t>
  </si>
  <si>
    <t>Juschka</t>
  </si>
  <si>
    <t>ljuschkabu@accuweather.com</t>
  </si>
  <si>
    <t>Suite 49</t>
  </si>
  <si>
    <t>Kalembutillu</t>
  </si>
  <si>
    <t>Vegetable Fried Rice Mix</t>
  </si>
  <si>
    <t>Rivi</t>
  </si>
  <si>
    <t>McCall</t>
  </si>
  <si>
    <t>rmccallbv@smugmug.com</t>
  </si>
  <si>
    <t>Apt 1600</t>
  </si>
  <si>
    <t>Fangxi</t>
  </si>
  <si>
    <t>Waffle Maker</t>
  </si>
  <si>
    <t>Alsina</t>
  </si>
  <si>
    <t>calsinabw@fda.gov</t>
  </si>
  <si>
    <t>05-085</t>
  </si>
  <si>
    <t>PO Box 20899</t>
  </si>
  <si>
    <t>Kampinos</t>
  </si>
  <si>
    <t>Botswana</t>
  </si>
  <si>
    <t>Peas (frozen)</t>
  </si>
  <si>
    <t>Lucille</t>
  </si>
  <si>
    <t>Yole</t>
  </si>
  <si>
    <t>lyolebx@alexa.com</t>
  </si>
  <si>
    <t>Ambulong</t>
  </si>
  <si>
    <t>Premium Flashlight</t>
  </si>
  <si>
    <t>Bogey</t>
  </si>
  <si>
    <t>Caudrelier</t>
  </si>
  <si>
    <t>bcaudrelierby@msu.edu</t>
  </si>
  <si>
    <t>PO Box 41288</t>
  </si>
  <si>
    <t>Ocumare de la Costa</t>
  </si>
  <si>
    <t>Portable Hammock Swing</t>
  </si>
  <si>
    <t>Norrie</t>
  </si>
  <si>
    <t>Bodker</t>
  </si>
  <si>
    <t>nbodkerbz@mysql.com</t>
  </si>
  <si>
    <t>Sv. Ana v Slov. Goricah</t>
  </si>
  <si>
    <t>Teriyaki Beef Jerky</t>
  </si>
  <si>
    <t>Vladamir</t>
  </si>
  <si>
    <t>McQuorkell</t>
  </si>
  <si>
    <t>vmcquorkellc0@phpbb.com</t>
  </si>
  <si>
    <t>Apt 21</t>
  </si>
  <si>
    <t>Aoluguya Ewenke Minzu</t>
  </si>
  <si>
    <t>Organic Black Beans</t>
  </si>
  <si>
    <t>Abra</t>
  </si>
  <si>
    <t>amassenc1@xrea.com</t>
  </si>
  <si>
    <t>PO Box 39391</t>
  </si>
  <si>
    <t>Xihu</t>
  </si>
  <si>
    <t>83-010</t>
  </si>
  <si>
    <t>Warm Wool Sweater</t>
  </si>
  <si>
    <t>Mariejeanne</t>
  </si>
  <si>
    <t>Stonebanks</t>
  </si>
  <si>
    <t>mstonebanksc2@youku.com</t>
  </si>
  <si>
    <t>PO Box 47669</t>
  </si>
  <si>
    <t>Gaojiazhuang</t>
  </si>
  <si>
    <t>Magnetic Whiteboard</t>
  </si>
  <si>
    <t>Yelena</t>
  </si>
  <si>
    <t>Shelborne</t>
  </si>
  <si>
    <t>yshelbornec3@ameblo.jp</t>
  </si>
  <si>
    <t>Suite 29</t>
  </si>
  <si>
    <t>Carregal</t>
  </si>
  <si>
    <t>Aveiro</t>
  </si>
  <si>
    <t>Herb Drying Rack</t>
  </si>
  <si>
    <t>Adda</t>
  </si>
  <si>
    <t>Esmonde</t>
  </si>
  <si>
    <t>aesmondec4@pcworld.com</t>
  </si>
  <si>
    <t>PO Box 88422</t>
  </si>
  <si>
    <t>Jinhua</t>
  </si>
  <si>
    <t>788 11</t>
  </si>
  <si>
    <t>Waneta</t>
  </si>
  <si>
    <t>Cunney</t>
  </si>
  <si>
    <t>wcunneyc5@bloglovin.com</t>
  </si>
  <si>
    <t>Central African Republic</t>
  </si>
  <si>
    <t>Apt 1341</t>
  </si>
  <si>
    <t>Carnot</t>
  </si>
  <si>
    <t>Tomato Paste</t>
  </si>
  <si>
    <t>Rafaelita</t>
  </si>
  <si>
    <t>Brownfield</t>
  </si>
  <si>
    <t>rbrownfieldc6@archive.org</t>
  </si>
  <si>
    <t>‘Arad</t>
  </si>
  <si>
    <t>Digital Bullet Journal</t>
  </si>
  <si>
    <t>Apps</t>
  </si>
  <si>
    <t>Fae</t>
  </si>
  <si>
    <t>Croft</t>
  </si>
  <si>
    <t>fcroftc7@nationalgeographic.com</t>
  </si>
  <si>
    <t>Cyprus</t>
  </si>
  <si>
    <t>Nicosia</t>
  </si>
  <si>
    <t>Folding Exercise Bike</t>
  </si>
  <si>
    <t>Tobie</t>
  </si>
  <si>
    <t>Martschik</t>
  </si>
  <si>
    <t>tmartschikc8@cargocollective.com</t>
  </si>
  <si>
    <t>Italy</t>
  </si>
  <si>
    <t>PO Box 4310</t>
  </si>
  <si>
    <t>Genova</t>
  </si>
  <si>
    <t>Liguria</t>
  </si>
  <si>
    <t>Dog Walking Waist Pack</t>
  </si>
  <si>
    <t>Marj</t>
  </si>
  <si>
    <t>Smales</t>
  </si>
  <si>
    <t>msmalesc9@blog.com</t>
  </si>
  <si>
    <t>North Korea</t>
  </si>
  <si>
    <t>PO Box 24341</t>
  </si>
  <si>
    <t>Kyŏngsŏng</t>
  </si>
  <si>
    <t>429 42</t>
  </si>
  <si>
    <t>Dual Function Electric Skillet</t>
  </si>
  <si>
    <t>Bailie</t>
  </si>
  <si>
    <t>Edgin</t>
  </si>
  <si>
    <t>bedginca@ted.com</t>
  </si>
  <si>
    <t>PO Box 91934</t>
  </si>
  <si>
    <t>Koanara</t>
  </si>
  <si>
    <t>Pork Chops</t>
  </si>
  <si>
    <t>Hope</t>
  </si>
  <si>
    <t>Togwell</t>
  </si>
  <si>
    <t>htogwellcb@nba.com</t>
  </si>
  <si>
    <t>4785-512</t>
  </si>
  <si>
    <t>Suite 16</t>
  </si>
  <si>
    <t>Bairros</t>
  </si>
  <si>
    <t>Wireless Charger Stand</t>
  </si>
  <si>
    <t>Tommy</t>
  </si>
  <si>
    <t>Haith</t>
  </si>
  <si>
    <t>thaithcc@google.com.br</t>
  </si>
  <si>
    <t>Xilian</t>
  </si>
  <si>
    <t>Puff Pastry</t>
  </si>
  <si>
    <t>Erwin</t>
  </si>
  <si>
    <t>Dowtry</t>
  </si>
  <si>
    <t>edowtrycd@sakura.ne.jp</t>
  </si>
  <si>
    <t>Dvorichna</t>
  </si>
  <si>
    <t>Salomi</t>
  </si>
  <si>
    <t>Stammers</t>
  </si>
  <si>
    <t>sstammersce@hhs.gov</t>
  </si>
  <si>
    <t>Iceland</t>
  </si>
  <si>
    <t>Sandgerði</t>
  </si>
  <si>
    <t>Lynda</t>
  </si>
  <si>
    <t>Starcks</t>
  </si>
  <si>
    <t>lstarckscf@theglobeandmail.com</t>
  </si>
  <si>
    <t>Suite 25</t>
  </si>
  <si>
    <t>Rejasa Kaja</t>
  </si>
  <si>
    <t>Trainers with Mesh Inserts</t>
  </si>
  <si>
    <t>Ailis</t>
  </si>
  <si>
    <t>Ibbott</t>
  </si>
  <si>
    <t>aibbottcg@webmd.com</t>
  </si>
  <si>
    <t>2425-009</t>
  </si>
  <si>
    <t>Apt 1629</t>
  </si>
  <si>
    <t>Granja</t>
  </si>
  <si>
    <t>Mini Electric Kettle</t>
  </si>
  <si>
    <t>Abbye</t>
  </si>
  <si>
    <t>Labbati</t>
  </si>
  <si>
    <t>alabbatich@flickr.com</t>
  </si>
  <si>
    <t>Room 748</t>
  </si>
  <si>
    <t>Sabanagrande</t>
  </si>
  <si>
    <t>57052 CEDEX 02</t>
  </si>
  <si>
    <t>Portable Bluetooth Headphones</t>
  </si>
  <si>
    <t>Audio</t>
  </si>
  <si>
    <t>Natividad</t>
  </si>
  <si>
    <t>Ible</t>
  </si>
  <si>
    <t>nibleci@cargocollective.com</t>
  </si>
  <si>
    <t>A63</t>
  </si>
  <si>
    <t>Suite 96</t>
  </si>
  <si>
    <t>Greystones</t>
  </si>
  <si>
    <t>Bluetooth Car Adapter</t>
  </si>
  <si>
    <t>Natal</t>
  </si>
  <si>
    <t>Loding</t>
  </si>
  <si>
    <t>nlodingcj@macromedia.com</t>
  </si>
  <si>
    <t>Apt 1930</t>
  </si>
  <si>
    <t>Changshan</t>
  </si>
  <si>
    <t>4880-076</t>
  </si>
  <si>
    <t>Ephrayim</t>
  </si>
  <si>
    <t>Sapena</t>
  </si>
  <si>
    <t>esapenack@mit.edu</t>
  </si>
  <si>
    <t>Room 1317</t>
  </si>
  <si>
    <t>Jinnan</t>
  </si>
  <si>
    <t>Pet First Aid Kit</t>
  </si>
  <si>
    <t>Madison</t>
  </si>
  <si>
    <t>Gazzard</t>
  </si>
  <si>
    <t>mgazzardcl@webs.com</t>
  </si>
  <si>
    <t>Dankama</t>
  </si>
  <si>
    <t>Caramel Apple Taffy</t>
  </si>
  <si>
    <t>Belvia</t>
  </si>
  <si>
    <t>Dussy</t>
  </si>
  <si>
    <t>bdussycm@wikispaces.com</t>
  </si>
  <si>
    <t>PO Box 54184</t>
  </si>
  <si>
    <t>Dongcun</t>
  </si>
  <si>
    <t>Iraq</t>
  </si>
  <si>
    <t>Marinara Sauce</t>
  </si>
  <si>
    <t>Tonye</t>
  </si>
  <si>
    <t>Roydon</t>
  </si>
  <si>
    <t>troydoncn@si.edu</t>
  </si>
  <si>
    <t>PO Box 40210</t>
  </si>
  <si>
    <t>Korsun’-Shevchenkivs’kyy</t>
  </si>
  <si>
    <t>Fitness Mat</t>
  </si>
  <si>
    <t>Twila</t>
  </si>
  <si>
    <t>Purcell</t>
  </si>
  <si>
    <t>tpurcellco@about.me</t>
  </si>
  <si>
    <t>Room 1833</t>
  </si>
  <si>
    <t>Phetchaburi</t>
  </si>
  <si>
    <t>Almond Joy Snack Bars</t>
  </si>
  <si>
    <t>Farlee</t>
  </si>
  <si>
    <t>McGeechan</t>
  </si>
  <si>
    <t>fmcgeechancp@slashdot.org</t>
  </si>
  <si>
    <t>Suite 9</t>
  </si>
  <si>
    <t>Daegu</t>
  </si>
  <si>
    <t>62380-000</t>
  </si>
  <si>
    <t>Rowland</t>
  </si>
  <si>
    <t>Rennie</t>
  </si>
  <si>
    <t>rrenniecq@drupal.org</t>
  </si>
  <si>
    <t>Room 1972</t>
  </si>
  <si>
    <t>Mongu</t>
  </si>
  <si>
    <t>Vegetable Pizza Rolls</t>
  </si>
  <si>
    <t>Davon</t>
  </si>
  <si>
    <t>Beards</t>
  </si>
  <si>
    <t>dbeardscr@google.pl</t>
  </si>
  <si>
    <t>PO Box 77694</t>
  </si>
  <si>
    <t>Nancang</t>
  </si>
  <si>
    <t>Esme</t>
  </si>
  <si>
    <t>Petrovsky</t>
  </si>
  <si>
    <t>epetrovskycs@springer.com</t>
  </si>
  <si>
    <t>87-640</t>
  </si>
  <si>
    <t>Czernikowo</t>
  </si>
  <si>
    <t>747 67</t>
  </si>
  <si>
    <t>Chili Lime Seasoning</t>
  </si>
  <si>
    <t>Bernard</t>
  </si>
  <si>
    <t>Rolinson</t>
  </si>
  <si>
    <t>brolinsonct@about.me</t>
  </si>
  <si>
    <t>H9S</t>
  </si>
  <si>
    <t>PO Box 82255</t>
  </si>
  <si>
    <t>Dorval</t>
  </si>
  <si>
    <t>Québec</t>
  </si>
  <si>
    <t>Fifi</t>
  </si>
  <si>
    <t>Mehew</t>
  </si>
  <si>
    <t>fmehewcu@disqus.com</t>
  </si>
  <si>
    <t>PO Box 12037</t>
  </si>
  <si>
    <t>Shangma</t>
  </si>
  <si>
    <t>Dickie</t>
  </si>
  <si>
    <t>MacCoveney</t>
  </si>
  <si>
    <t>dmaccoveneycv@google.cn</t>
  </si>
  <si>
    <t>PO Box 76450</t>
  </si>
  <si>
    <t>Baoxing</t>
  </si>
  <si>
    <t>Peach Mango Smoothie</t>
  </si>
  <si>
    <t>Gabriel</t>
  </si>
  <si>
    <t>Siaspinski</t>
  </si>
  <si>
    <t>gsiaspinskicw@purevolume.com</t>
  </si>
  <si>
    <t>Room 1176</t>
  </si>
  <si>
    <t>Surovikino</t>
  </si>
  <si>
    <t>Gambia</t>
  </si>
  <si>
    <t>Kids' Activity Book</t>
  </si>
  <si>
    <t>Books</t>
  </si>
  <si>
    <t>Harald</t>
  </si>
  <si>
    <t>Rotham</t>
  </si>
  <si>
    <t>hrothamcx@studiopress.com</t>
  </si>
  <si>
    <t>Room 566</t>
  </si>
  <si>
    <t>Imbang</t>
  </si>
  <si>
    <t>46-113</t>
  </si>
  <si>
    <t>Shepherd</t>
  </si>
  <si>
    <t>Vampouille</t>
  </si>
  <si>
    <t>svampouillecy@wired.com</t>
  </si>
  <si>
    <t>Apt 1019</t>
  </si>
  <si>
    <t>Bình Thủy</t>
  </si>
  <si>
    <t>High-Pressure Handheld Shower Head</t>
  </si>
  <si>
    <t>Bathroom</t>
  </si>
  <si>
    <t>Daune</t>
  </si>
  <si>
    <t>Tassel</t>
  </si>
  <si>
    <t>dtasselcz@live.com</t>
  </si>
  <si>
    <t>Wuxi</t>
  </si>
  <si>
    <t>Interactive Plush Toy</t>
  </si>
  <si>
    <t>Sly</t>
  </si>
  <si>
    <t>Di Pietro</t>
  </si>
  <si>
    <t>sdipietrod0@posterous.com</t>
  </si>
  <si>
    <t>Belén de los Andaquíes</t>
  </si>
  <si>
    <t>67311 CEDEX</t>
  </si>
  <si>
    <t>Terry Cloth Robe</t>
  </si>
  <si>
    <t>Clothing - Loungewear</t>
  </si>
  <si>
    <t>Wendall</t>
  </si>
  <si>
    <t>Twinbrow</t>
  </si>
  <si>
    <t>wtwinbrowd1@yahoo.com</t>
  </si>
  <si>
    <t>Apt 664</t>
  </si>
  <si>
    <t>Olenegorsk</t>
  </si>
  <si>
    <t>97650-000</t>
  </si>
  <si>
    <t>Herb Seasoned Rice</t>
  </si>
  <si>
    <t>Collen</t>
  </si>
  <si>
    <t>Totton</t>
  </si>
  <si>
    <t>ctottond2@spiegel.de</t>
  </si>
  <si>
    <t>312 31</t>
  </si>
  <si>
    <t>Room 1940</t>
  </si>
  <si>
    <t>Laholm</t>
  </si>
  <si>
    <t>Halland</t>
  </si>
  <si>
    <t>Rice Pudding</t>
  </si>
  <si>
    <t>Chandra</t>
  </si>
  <si>
    <t>Mariolle</t>
  </si>
  <si>
    <t>cmariolled3@marketwatch.com</t>
  </si>
  <si>
    <t>Room 697</t>
  </si>
  <si>
    <t>Chinchaypujio</t>
  </si>
  <si>
    <t>Portable Solar Generator</t>
  </si>
  <si>
    <t>Eldridge</t>
  </si>
  <si>
    <t>Searchwell</t>
  </si>
  <si>
    <t>esearchwelld4@acquirethisname.com</t>
  </si>
  <si>
    <t>Apt 517</t>
  </si>
  <si>
    <t>Niquinohomo</t>
  </si>
  <si>
    <t>Durable Hiking Boots</t>
  </si>
  <si>
    <t>Footwear</t>
  </si>
  <si>
    <t>Iain</t>
  </si>
  <si>
    <t>Kenion</t>
  </si>
  <si>
    <t>ikeniond5@dailymotion.com</t>
  </si>
  <si>
    <t>Apt 1399</t>
  </si>
  <si>
    <t>Xiaxindian</t>
  </si>
  <si>
    <t>Smartphone Tripod</t>
  </si>
  <si>
    <t>Darryl</t>
  </si>
  <si>
    <t>Newlove</t>
  </si>
  <si>
    <t>dnewloved6@mapquest.com</t>
  </si>
  <si>
    <t>696 02</t>
  </si>
  <si>
    <t>Apt 1905</t>
  </si>
  <si>
    <t>Ratíškovice</t>
  </si>
  <si>
    <t>164 30</t>
  </si>
  <si>
    <t>Fire Roasted Salsa</t>
  </si>
  <si>
    <t>Raina</t>
  </si>
  <si>
    <t>MacCosty</t>
  </si>
  <si>
    <t>rmaccostyd7@ox.ac.uk</t>
  </si>
  <si>
    <t>Suite 86</t>
  </si>
  <si>
    <t>Cimarelang</t>
  </si>
  <si>
    <t>Fitness Balance Ball</t>
  </si>
  <si>
    <t>Catha</t>
  </si>
  <si>
    <t>Murden</t>
  </si>
  <si>
    <t>cmurdend8@nytimes.com</t>
  </si>
  <si>
    <t>Apt 107</t>
  </si>
  <si>
    <t>Longzui</t>
  </si>
  <si>
    <t>Baby Monitor</t>
  </si>
  <si>
    <t>Ted</t>
  </si>
  <si>
    <t>Broseman</t>
  </si>
  <si>
    <t>tbrosemand9@uol.com.br</t>
  </si>
  <si>
    <t>13690-000</t>
  </si>
  <si>
    <t>Descalvado</t>
  </si>
  <si>
    <t>Shanda</t>
  </si>
  <si>
    <t>Gerson</t>
  </si>
  <si>
    <t>sgersonda@cdc.gov</t>
  </si>
  <si>
    <t>Apt 1014</t>
  </si>
  <si>
    <t>Chornukhy</t>
  </si>
  <si>
    <t>LED Strip Light Kit</t>
  </si>
  <si>
    <t>Ozzy</t>
  </si>
  <si>
    <t>Normanville</t>
  </si>
  <si>
    <t>onormanvilledb@liveinternet.ru</t>
  </si>
  <si>
    <t>Room 1686</t>
  </si>
  <si>
    <t>Mkushi</t>
  </si>
  <si>
    <t>Wireless Car Charger</t>
  </si>
  <si>
    <t>Jourdan</t>
  </si>
  <si>
    <t>Marriot</t>
  </si>
  <si>
    <t>jmarriotdc@seattletimes.com</t>
  </si>
  <si>
    <t>69406 CEDEX 03</t>
  </si>
  <si>
    <t>Lyon</t>
  </si>
  <si>
    <t>Magnetic Curtain Tiebacks</t>
  </si>
  <si>
    <t>Nedi</t>
  </si>
  <si>
    <t>Yeskin</t>
  </si>
  <si>
    <t>nyeskindd@list-manage.com</t>
  </si>
  <si>
    <t>PO Box 83869</t>
  </si>
  <si>
    <t>Sindangheula</t>
  </si>
  <si>
    <t>Cameroon</t>
  </si>
  <si>
    <t>Peanut Butter</t>
  </si>
  <si>
    <t>Arlen</t>
  </si>
  <si>
    <t>Girke</t>
  </si>
  <si>
    <t>agirkede@typepad.com</t>
  </si>
  <si>
    <t>PO Box 67038</t>
  </si>
  <si>
    <t>Svetlyy</t>
  </si>
  <si>
    <t>Maple Oatmeal</t>
  </si>
  <si>
    <t>Giralda</t>
  </si>
  <si>
    <t>Grevile</t>
  </si>
  <si>
    <t>ggreviledf@jiathis.com</t>
  </si>
  <si>
    <t>Room 1281</t>
  </si>
  <si>
    <t>Kutamandarakan</t>
  </si>
  <si>
    <t>Caribbean Jerk Marinade</t>
  </si>
  <si>
    <t>Food - Marinades</t>
  </si>
  <si>
    <t>Marina</t>
  </si>
  <si>
    <t>Meeny</t>
  </si>
  <si>
    <t>mmeenydg@deliciousdays.com</t>
  </si>
  <si>
    <t>Zuobude</t>
  </si>
  <si>
    <t>Basmati Rice</t>
  </si>
  <si>
    <t>Bram</t>
  </si>
  <si>
    <t>Hrinchenko</t>
  </si>
  <si>
    <t>bhrinchenkodh@mapquest.com</t>
  </si>
  <si>
    <t>4640-301</t>
  </si>
  <si>
    <t>Suite 89</t>
  </si>
  <si>
    <t>Chãos</t>
  </si>
  <si>
    <t>Travel Yoga Mat</t>
  </si>
  <si>
    <t>Kerry</t>
  </si>
  <si>
    <t>Liddon</t>
  </si>
  <si>
    <t>kliddondi@jalbum.net</t>
  </si>
  <si>
    <t>Apt 645</t>
  </si>
  <si>
    <t>Panyuran</t>
  </si>
  <si>
    <t>Balsamic Salad Dressing</t>
  </si>
  <si>
    <t>Food - Deli</t>
  </si>
  <si>
    <t>Elmo</t>
  </si>
  <si>
    <t>Bromet</t>
  </si>
  <si>
    <t>ebrometdj@wired.com</t>
  </si>
  <si>
    <t>PO Box 18660</t>
  </si>
  <si>
    <t>Fenglin</t>
  </si>
  <si>
    <t>Sebastiano</t>
  </si>
  <si>
    <t>Juggings</t>
  </si>
  <si>
    <t>sjuggingsdk@psu.edu</t>
  </si>
  <si>
    <t>Room 787</t>
  </si>
  <si>
    <t>Nakambala</t>
  </si>
  <si>
    <t>Jeanie</t>
  </si>
  <si>
    <t>Ridolfi</t>
  </si>
  <si>
    <t>jridolfidl@instagram.com</t>
  </si>
  <si>
    <t>Paraguay</t>
  </si>
  <si>
    <t>Areguá</t>
  </si>
  <si>
    <t>Tonga</t>
  </si>
  <si>
    <t>Batholomew</t>
  </si>
  <si>
    <t>Whytock</t>
  </si>
  <si>
    <t>bwhytockdm@boston.com</t>
  </si>
  <si>
    <t>77895-000</t>
  </si>
  <si>
    <t>Nazaré</t>
  </si>
  <si>
    <t>Maurizia</t>
  </si>
  <si>
    <t>Cheson</t>
  </si>
  <si>
    <t>mchesondn@nsw.gov.au</t>
  </si>
  <si>
    <t>Tanda</t>
  </si>
  <si>
    <t>Mayotte</t>
  </si>
  <si>
    <t>Gardening Gloves with Claws</t>
  </si>
  <si>
    <t>Ernaline</t>
  </si>
  <si>
    <t>Priddey</t>
  </si>
  <si>
    <t>epriddeydo@va.gov</t>
  </si>
  <si>
    <t>Apt 1256</t>
  </si>
  <si>
    <t>Faqqū‘ah</t>
  </si>
  <si>
    <t>Handcrafted Wooden Coasters</t>
  </si>
  <si>
    <t>Lucius</t>
  </si>
  <si>
    <t>Felkin</t>
  </si>
  <si>
    <t>lfelkindp@printfriendly.com</t>
  </si>
  <si>
    <t>19780-000</t>
  </si>
  <si>
    <t>Room 688</t>
  </si>
  <si>
    <t>Quatá</t>
  </si>
  <si>
    <t>752-0923</t>
  </si>
  <si>
    <t>Chia Seed Pudding Mix</t>
  </si>
  <si>
    <t>Meagan</t>
  </si>
  <si>
    <t>Everit</t>
  </si>
  <si>
    <t>meveritdq@dagondesign.com</t>
  </si>
  <si>
    <t>Muruni</t>
  </si>
  <si>
    <t>Coconut Milk Yogurt</t>
  </si>
  <si>
    <t>Othilie</t>
  </si>
  <si>
    <t>Savory</t>
  </si>
  <si>
    <t>osavorydr@ed.gov</t>
  </si>
  <si>
    <t>Room 428</t>
  </si>
  <si>
    <t>Circa</t>
  </si>
  <si>
    <t>Mini Fondue Set</t>
  </si>
  <si>
    <t>Rodney</t>
  </si>
  <si>
    <t>Hancox</t>
  </si>
  <si>
    <t>rhancoxds@noaa.gov</t>
  </si>
  <si>
    <t>Tarhuna</t>
  </si>
  <si>
    <t>Cinnamon Sugar Tortilla Chips</t>
  </si>
  <si>
    <t>Siffre</t>
  </si>
  <si>
    <t>Coldman</t>
  </si>
  <si>
    <t>scoldmandt@craigslist.org</t>
  </si>
  <si>
    <t>Room 627</t>
  </si>
  <si>
    <t>Ban Talat Nua</t>
  </si>
  <si>
    <t>Honey Ginger Tea</t>
  </si>
  <si>
    <t>Had</t>
  </si>
  <si>
    <t>Mansel</t>
  </si>
  <si>
    <t>hmanseldu@theatlantic.com</t>
  </si>
  <si>
    <t>PO Box 27975</t>
  </si>
  <si>
    <t>Masalovka</t>
  </si>
  <si>
    <t>Mareah</t>
  </si>
  <si>
    <t>Halgarth</t>
  </si>
  <si>
    <t>mhalgarthdv@t.co</t>
  </si>
  <si>
    <t>Cabodiongan</t>
  </si>
  <si>
    <t>Garlic Parmesan Roasted Potatoes</t>
  </si>
  <si>
    <t>Josefina</t>
  </si>
  <si>
    <t>Pods</t>
  </si>
  <si>
    <t>jpodsdw@dailymotion.com</t>
  </si>
  <si>
    <t>L9T</t>
  </si>
  <si>
    <t>Suite 7</t>
  </si>
  <si>
    <t>Milton</t>
  </si>
  <si>
    <t>Blueberry Chia Jam</t>
  </si>
  <si>
    <t>Food - Spreads</t>
  </si>
  <si>
    <t>Nick</t>
  </si>
  <si>
    <t>Banasik</t>
  </si>
  <si>
    <t>nbanasikdx@tumblr.com</t>
  </si>
  <si>
    <t>Suite 31</t>
  </si>
  <si>
    <t>Spain</t>
  </si>
  <si>
    <t>Multi-Port USB Hub</t>
  </si>
  <si>
    <t>Liv</t>
  </si>
  <si>
    <t>Milmore</t>
  </si>
  <si>
    <t>lmilmoredy@ucoz.ru</t>
  </si>
  <si>
    <t>Apt 700</t>
  </si>
  <si>
    <t>Talshand</t>
  </si>
  <si>
    <t>Mixed Berry Smoothie Pack</t>
  </si>
  <si>
    <t>Packston</t>
  </si>
  <si>
    <t>Gorringe</t>
  </si>
  <si>
    <t>pgorringedz@vistaprint.com</t>
  </si>
  <si>
    <t>PO Box 33082</t>
  </si>
  <si>
    <t>Hanyuan</t>
  </si>
  <si>
    <t>Veggie Chips Variety Pack</t>
  </si>
  <si>
    <t>Loren</t>
  </si>
  <si>
    <t>Form</t>
  </si>
  <si>
    <t>lforme0@mapquest.com</t>
  </si>
  <si>
    <t>Negotin</t>
  </si>
  <si>
    <t>DIY Lip Balm Making Kit</t>
  </si>
  <si>
    <t>Rhett</t>
  </si>
  <si>
    <t>Doman</t>
  </si>
  <si>
    <t>rdomane1@hao123.com</t>
  </si>
  <si>
    <t>37260-000</t>
  </si>
  <si>
    <t>Room 515</t>
  </si>
  <si>
    <t>Perdões</t>
  </si>
  <si>
    <t>901-0241</t>
  </si>
  <si>
    <t>Handheld Shower Head</t>
  </si>
  <si>
    <t>Eadith</t>
  </si>
  <si>
    <t>Jackman</t>
  </si>
  <si>
    <t>ejackmane2@angelfire.com</t>
  </si>
  <si>
    <t>PO Box 8264</t>
  </si>
  <si>
    <t>Dongming Chengguanzhen</t>
  </si>
  <si>
    <t>Letizia</t>
  </si>
  <si>
    <t>Valerius</t>
  </si>
  <si>
    <t>lvaleriuse3@ow.ly</t>
  </si>
  <si>
    <t>San Jose</t>
  </si>
  <si>
    <t>Guerrero</t>
  </si>
  <si>
    <t>Organic Lentil Soup</t>
  </si>
  <si>
    <t>Maxy</t>
  </si>
  <si>
    <t>Eakly</t>
  </si>
  <si>
    <t>meaklye4@blogger.com</t>
  </si>
  <si>
    <t>21-210</t>
  </si>
  <si>
    <t>Room 1861</t>
  </si>
  <si>
    <t>Milanów</t>
  </si>
  <si>
    <t>Cocoa Powder</t>
  </si>
  <si>
    <t>Levy</t>
  </si>
  <si>
    <t>Cowthart</t>
  </si>
  <si>
    <t>lcowtharte5@4shared.com</t>
  </si>
  <si>
    <t>92139 CEDEX</t>
  </si>
  <si>
    <t>Apt 1190</t>
  </si>
  <si>
    <t>Issy-les-Moulineaux</t>
  </si>
  <si>
    <t>58000-000</t>
  </si>
  <si>
    <t>Pet Food Storage Container</t>
  </si>
  <si>
    <t>Brittani</t>
  </si>
  <si>
    <t>Erickssen</t>
  </si>
  <si>
    <t>berickssene6@trellian.com</t>
  </si>
  <si>
    <t>Room 287</t>
  </si>
  <si>
    <t>Xuetian</t>
  </si>
  <si>
    <t>Lynne</t>
  </si>
  <si>
    <t>Moring</t>
  </si>
  <si>
    <t>lmoringe7@moonfruit.com</t>
  </si>
  <si>
    <t>Chefchaouene</t>
  </si>
  <si>
    <t>Sweet Cherry Tomatoes</t>
  </si>
  <si>
    <t>Christal</t>
  </si>
  <si>
    <t>Lorman</t>
  </si>
  <si>
    <t>clormane8@home.pl</t>
  </si>
  <si>
    <t>Room 1608</t>
  </si>
  <si>
    <t>Kyrenia</t>
  </si>
  <si>
    <t>06-210</t>
  </si>
  <si>
    <t>Cranberry Pecan Granola</t>
  </si>
  <si>
    <t>Food - Breakfast Foods</t>
  </si>
  <si>
    <t>Ellynn</t>
  </si>
  <si>
    <t>Staning</t>
  </si>
  <si>
    <t>estaninge9@privacy.gov.au</t>
  </si>
  <si>
    <t>Room 1287</t>
  </si>
  <si>
    <t>Maji</t>
  </si>
  <si>
    <t>G6R</t>
  </si>
  <si>
    <t>Instant Read Meat Thermometer</t>
  </si>
  <si>
    <t>Timmy</t>
  </si>
  <si>
    <t>Sackey</t>
  </si>
  <si>
    <t>tsackeyea@slate.com</t>
  </si>
  <si>
    <t>Tulusmulyo</t>
  </si>
  <si>
    <t>Adjustable Window Blind</t>
  </si>
  <si>
    <t>Nikita</t>
  </si>
  <si>
    <t>Coghill</t>
  </si>
  <si>
    <t>ncoghilleb@shinystat.com</t>
  </si>
  <si>
    <t>384 72</t>
  </si>
  <si>
    <t>PO Box 55337</t>
  </si>
  <si>
    <t>Zdíkov</t>
  </si>
  <si>
    <t>Jefferson</t>
  </si>
  <si>
    <t>Whiskin</t>
  </si>
  <si>
    <t>jwhiskinec@umich.edu</t>
  </si>
  <si>
    <t>Apt 129</t>
  </si>
  <si>
    <t>Yangxi</t>
  </si>
  <si>
    <t>Ermanno</t>
  </si>
  <si>
    <t>Bould</t>
  </si>
  <si>
    <t>eboulded@ft.com</t>
  </si>
  <si>
    <t>PO Box 6369</t>
  </si>
  <si>
    <t>Alderetes</t>
  </si>
  <si>
    <t>Garlic Breadsticks</t>
  </si>
  <si>
    <t>Jerrie</t>
  </si>
  <si>
    <t>Corde</t>
  </si>
  <si>
    <t>jcordeee@php.net</t>
  </si>
  <si>
    <t>851 88</t>
  </si>
  <si>
    <t>Room 651</t>
  </si>
  <si>
    <t>Sundsvall</t>
  </si>
  <si>
    <t>Västernorrland</t>
  </si>
  <si>
    <t>62-720</t>
  </si>
  <si>
    <t>Maple Cinnamon Granola</t>
  </si>
  <si>
    <t>Food - Cereals</t>
  </si>
  <si>
    <t>Kelcey</t>
  </si>
  <si>
    <t>Winchurch</t>
  </si>
  <si>
    <t>kwinchurchef@unc.edu</t>
  </si>
  <si>
    <t>Tingo María</t>
  </si>
  <si>
    <t>Almond Joy Protein Bars</t>
  </si>
  <si>
    <t>Janela</t>
  </si>
  <si>
    <t>Tuther</t>
  </si>
  <si>
    <t>jtuthereg@reuters.com</t>
  </si>
  <si>
    <t>PO Box 45718</t>
  </si>
  <si>
    <t>Haquira</t>
  </si>
  <si>
    <t>Yoga Wheel</t>
  </si>
  <si>
    <t>Prescott</t>
  </si>
  <si>
    <t>Counsell</t>
  </si>
  <si>
    <t>pcounselleh@xrea.com</t>
  </si>
  <si>
    <t>Khao Yoi</t>
  </si>
  <si>
    <t>Cheesy Cauliflower Bake</t>
  </si>
  <si>
    <t>Food - Frozen Vegetables</t>
  </si>
  <si>
    <t>Sacha</t>
  </si>
  <si>
    <t>Earie</t>
  </si>
  <si>
    <t>searieei@google.ca</t>
  </si>
  <si>
    <t>Tabant</t>
  </si>
  <si>
    <t>78830-000</t>
  </si>
  <si>
    <t>Noise-Canceling Earbuds</t>
  </si>
  <si>
    <t>Evanne</t>
  </si>
  <si>
    <t>Haddock</t>
  </si>
  <si>
    <t>ehaddockej@istockphoto.com</t>
  </si>
  <si>
    <t>San José de Feliciano</t>
  </si>
  <si>
    <t>Miso Dressing</t>
  </si>
  <si>
    <t>Mahmud</t>
  </si>
  <si>
    <t>Ronchi</t>
  </si>
  <si>
    <t>mronchiek@omniture.com</t>
  </si>
  <si>
    <t>38300-000</t>
  </si>
  <si>
    <t>Ituiutaba</t>
  </si>
  <si>
    <t>Inness</t>
  </si>
  <si>
    <t>Middleditch</t>
  </si>
  <si>
    <t>imiddleditchel@paginegialle.it</t>
  </si>
  <si>
    <t>Butwāl</t>
  </si>
  <si>
    <t>4620-357</t>
  </si>
  <si>
    <t>Hedvige</t>
  </si>
  <si>
    <t>Daudray</t>
  </si>
  <si>
    <t>hdaudrayem@e-recht24.de</t>
  </si>
  <si>
    <t>Apt 707</t>
  </si>
  <si>
    <t>Amagarapati</t>
  </si>
  <si>
    <t>503 21</t>
  </si>
  <si>
    <t>Stainless Steel Cutlery Set</t>
  </si>
  <si>
    <t>Cornie</t>
  </si>
  <si>
    <t>Di Filippo</t>
  </si>
  <si>
    <t>cdifilippoen@wired.com</t>
  </si>
  <si>
    <t>Room 1017</t>
  </si>
  <si>
    <t>Kuala Terengganu</t>
  </si>
  <si>
    <t>Terengganu</t>
  </si>
  <si>
    <t>07-320</t>
  </si>
  <si>
    <t>Satin Slip Dress</t>
  </si>
  <si>
    <t>Fredelia</t>
  </si>
  <si>
    <t>Conant</t>
  </si>
  <si>
    <t>fconanteo@gizmodo.com</t>
  </si>
  <si>
    <t>Suite 70</t>
  </si>
  <si>
    <t>Maoyang</t>
  </si>
  <si>
    <t>Suriname</t>
  </si>
  <si>
    <t>Bock Beer Mustard</t>
  </si>
  <si>
    <t>Maure</t>
  </si>
  <si>
    <t>Cockin</t>
  </si>
  <si>
    <t>mcockinep@photobucket.com</t>
  </si>
  <si>
    <t>Batan</t>
  </si>
  <si>
    <t>Trula</t>
  </si>
  <si>
    <t>Whitwell</t>
  </si>
  <si>
    <t>twhitwelleq@cdc.gov</t>
  </si>
  <si>
    <t>Apt 222</t>
  </si>
  <si>
    <t>Kuantian</t>
  </si>
  <si>
    <t>Mango Chili Salsa</t>
  </si>
  <si>
    <t>Jeni</t>
  </si>
  <si>
    <t>Foskett</t>
  </si>
  <si>
    <t>jfosketter@digg.com</t>
  </si>
  <si>
    <t>Masaya</t>
  </si>
  <si>
    <t>Rwanda</t>
  </si>
  <si>
    <t>Frederich</t>
  </si>
  <si>
    <t>Juett</t>
  </si>
  <si>
    <t>fjuettes@indiatimes.com</t>
  </si>
  <si>
    <t>3025-543</t>
  </si>
  <si>
    <t>São Silvestre</t>
  </si>
  <si>
    <t>Coimbra</t>
  </si>
  <si>
    <t>Mechanical Keyboard</t>
  </si>
  <si>
    <t>Computers</t>
  </si>
  <si>
    <t>Waite</t>
  </si>
  <si>
    <t>Blakeney</t>
  </si>
  <si>
    <t>wblakeneyet@patch.com</t>
  </si>
  <si>
    <t>Apt 1260</t>
  </si>
  <si>
    <t>Byumba</t>
  </si>
  <si>
    <t>Portable Folding Picnic Table</t>
  </si>
  <si>
    <t>Friedrick</t>
  </si>
  <si>
    <t>Vanni</t>
  </si>
  <si>
    <t>fvannieu@deviantart.com</t>
  </si>
  <si>
    <t>3830-473</t>
  </si>
  <si>
    <t>Room 880</t>
  </si>
  <si>
    <t>Gafanha da Encarnação</t>
  </si>
  <si>
    <t>Ergonomic Gaming Chair</t>
  </si>
  <si>
    <t>Timothy</t>
  </si>
  <si>
    <t>Ciabatteri</t>
  </si>
  <si>
    <t>tciabatteriev@elegantthemes.com</t>
  </si>
  <si>
    <t>15385-000</t>
  </si>
  <si>
    <t>Ilha Solteira</t>
  </si>
  <si>
    <t>Water Bottle</t>
  </si>
  <si>
    <t>Remington</t>
  </si>
  <si>
    <t>Lavery</t>
  </si>
  <si>
    <t>rlaveryew@bluehost.com</t>
  </si>
  <si>
    <t>Room 1108</t>
  </si>
  <si>
    <t>Sorang</t>
  </si>
  <si>
    <t>Coffee Subscription Service</t>
  </si>
  <si>
    <t>Food</t>
  </si>
  <si>
    <t>Lear</t>
  </si>
  <si>
    <t>mlearex@google.com</t>
  </si>
  <si>
    <t>76-002</t>
  </si>
  <si>
    <t>PO Box 62024</t>
  </si>
  <si>
    <t>Łazy</t>
  </si>
  <si>
    <t>Banana Peanut Butter Smoothie</t>
  </si>
  <si>
    <t>Kat</t>
  </si>
  <si>
    <t>Michal</t>
  </si>
  <si>
    <t>kmichaley@hibu.com</t>
  </si>
  <si>
    <t>Suite 62</t>
  </si>
  <si>
    <t>Daguo</t>
  </si>
  <si>
    <t>Insulated Coffee Mug</t>
  </si>
  <si>
    <t>Barny</t>
  </si>
  <si>
    <t>Scanlan</t>
  </si>
  <si>
    <t>bscanlanez@flickr.com</t>
  </si>
  <si>
    <t>Apt 328</t>
  </si>
  <si>
    <t>Ala-Buka</t>
  </si>
  <si>
    <t>Hyatt</t>
  </si>
  <si>
    <t>Cirlos</t>
  </si>
  <si>
    <t>hcirlosf0@soup.io</t>
  </si>
  <si>
    <t>Čelinac</t>
  </si>
  <si>
    <t>Toy Building Set</t>
  </si>
  <si>
    <t>Alejoa</t>
  </si>
  <si>
    <t>Marchant</t>
  </si>
  <si>
    <t>amarchantf1@soup.io</t>
  </si>
  <si>
    <t>PO Box 23240</t>
  </si>
  <si>
    <t>Kampungruweh</t>
  </si>
  <si>
    <t>Ilaire</t>
  </si>
  <si>
    <t>Ellick</t>
  </si>
  <si>
    <t>iellickf2@sakura.ne.jp</t>
  </si>
  <si>
    <t>Room 848</t>
  </si>
  <si>
    <t>Livorno</t>
  </si>
  <si>
    <t>Toscana</t>
  </si>
  <si>
    <t>Abigael</t>
  </si>
  <si>
    <t>Crocetti</t>
  </si>
  <si>
    <t>acrocettif3@ftc.gov</t>
  </si>
  <si>
    <t>Apt 1808</t>
  </si>
  <si>
    <t>Terek</t>
  </si>
  <si>
    <t>Smart Scale</t>
  </si>
  <si>
    <t>Derby</t>
  </si>
  <si>
    <t>Holbie</t>
  </si>
  <si>
    <t>dholbief4@wsj.com</t>
  </si>
  <si>
    <t>PO Box 60646</t>
  </si>
  <si>
    <t>Huiyi</t>
  </si>
  <si>
    <t>11600-000</t>
  </si>
  <si>
    <t>Coconut Milk Ice Cream</t>
  </si>
  <si>
    <t>Food - Frozen Desserts</t>
  </si>
  <si>
    <t>Igor</t>
  </si>
  <si>
    <t>Jeandin</t>
  </si>
  <si>
    <t>ijeandinf5@ed.gov</t>
  </si>
  <si>
    <t>PO Box 93392</t>
  </si>
  <si>
    <t>Lāchi</t>
  </si>
  <si>
    <t>Digital Wireless Camera</t>
  </si>
  <si>
    <t>Home Security</t>
  </si>
  <si>
    <t>Leandra</t>
  </si>
  <si>
    <t>Howley</t>
  </si>
  <si>
    <t>lhowleyf6@japanpost.jp</t>
  </si>
  <si>
    <t>Room 176</t>
  </si>
  <si>
    <t>Njivice</t>
  </si>
  <si>
    <t>Otho</t>
  </si>
  <si>
    <t>Drezzer</t>
  </si>
  <si>
    <t>odrezzerf7@de.vu</t>
  </si>
  <si>
    <t>Apt 1726</t>
  </si>
  <si>
    <t>Quế Sơn</t>
  </si>
  <si>
    <t>Classic Leather Wallet</t>
  </si>
  <si>
    <t>My</t>
  </si>
  <si>
    <t>Gabriely</t>
  </si>
  <si>
    <t>mgabrielyf8@phoca.cz</t>
  </si>
  <si>
    <t>PO Box 27388</t>
  </si>
  <si>
    <t>Bakhmach</t>
  </si>
  <si>
    <t>Sophey</t>
  </si>
  <si>
    <t>Medlin</t>
  </si>
  <si>
    <t>smedlinf9@woothemes.com</t>
  </si>
  <si>
    <t>13840-000</t>
  </si>
  <si>
    <t>PO Box 75484</t>
  </si>
  <si>
    <t>Mogi Guaçu</t>
  </si>
  <si>
    <t>Organic Coconut Flakes</t>
  </si>
  <si>
    <t>Jerrine</t>
  </si>
  <si>
    <t>Upstell</t>
  </si>
  <si>
    <t>jupstellfa@moonfruit.com</t>
  </si>
  <si>
    <t>Fuxing</t>
  </si>
  <si>
    <t>Reusable Food Storage Bags</t>
  </si>
  <si>
    <t>Lizabeth</t>
  </si>
  <si>
    <t>Worral</t>
  </si>
  <si>
    <t>lworralfb@imageshack.us</t>
  </si>
  <si>
    <t>Kavadarci</t>
  </si>
  <si>
    <t>Slim Fit Chinos</t>
  </si>
  <si>
    <t>Clothing - Pants</t>
  </si>
  <si>
    <t>Karalee</t>
  </si>
  <si>
    <t>Chichgar</t>
  </si>
  <si>
    <t>kchichgarfc@hibu.com</t>
  </si>
  <si>
    <t>872 24</t>
  </si>
  <si>
    <t>Kramfors</t>
  </si>
  <si>
    <t>2870-514</t>
  </si>
  <si>
    <t>Teriann</t>
  </si>
  <si>
    <t>Bewshire</t>
  </si>
  <si>
    <t>tbewshirefd@mozilla.com</t>
  </si>
  <si>
    <t>842-0001</t>
  </si>
  <si>
    <t>PO Box 95091</t>
  </si>
  <si>
    <t>Kanzaki</t>
  </si>
  <si>
    <t>151 88</t>
  </si>
  <si>
    <t>Magic Color-Changing Mug</t>
  </si>
  <si>
    <t>Natassia</t>
  </si>
  <si>
    <t>Filipchikov</t>
  </si>
  <si>
    <t>nfilipchikovfe@wiley.com</t>
  </si>
  <si>
    <t>350-0134</t>
  </si>
  <si>
    <t>PO Box 42698</t>
  </si>
  <si>
    <t>Ōtsuchi</t>
  </si>
  <si>
    <t>Jordan</t>
  </si>
  <si>
    <t>Vivianne</t>
  </si>
  <si>
    <t>Fockes</t>
  </si>
  <si>
    <t>vfockesff@meetup.com</t>
  </si>
  <si>
    <t>PO Box 89774</t>
  </si>
  <si>
    <t>Heqiao</t>
  </si>
  <si>
    <t>331 65</t>
  </si>
  <si>
    <t>Vegetable Broth</t>
  </si>
  <si>
    <t>Deck</t>
  </si>
  <si>
    <t>Shard</t>
  </si>
  <si>
    <t>dshardfg@cisco.com</t>
  </si>
  <si>
    <t>PO Box 19403</t>
  </si>
  <si>
    <t>Nisí</t>
  </si>
  <si>
    <t>Sidney</t>
  </si>
  <si>
    <t>Mayoh</t>
  </si>
  <si>
    <t>smayohfh@goodreads.com</t>
  </si>
  <si>
    <t>37-114</t>
  </si>
  <si>
    <t>Apt 1417</t>
  </si>
  <si>
    <t>Białobrzegi</t>
  </si>
  <si>
    <t>Katherine</t>
  </si>
  <si>
    <t>Valiant</t>
  </si>
  <si>
    <t>kvaliantfi@si.edu</t>
  </si>
  <si>
    <t>Apt 854</t>
  </si>
  <si>
    <t>Qinghu</t>
  </si>
  <si>
    <t>Incense Holder</t>
  </si>
  <si>
    <t>Aggy</t>
  </si>
  <si>
    <t>Gledhall</t>
  </si>
  <si>
    <t>agledhallfj@businesswire.com</t>
  </si>
  <si>
    <t>Apt 407</t>
  </si>
  <si>
    <t>España</t>
  </si>
  <si>
    <t>E2V</t>
  </si>
  <si>
    <t>Homestyle Beef Stew</t>
  </si>
  <si>
    <t>Food - Canned Soups</t>
  </si>
  <si>
    <t>Banville</t>
  </si>
  <si>
    <t>fbanvillefk@blogs.com</t>
  </si>
  <si>
    <t>Room 449</t>
  </si>
  <si>
    <t>Longtang</t>
  </si>
  <si>
    <t>Sprowle</t>
  </si>
  <si>
    <t>jsprowlefl@mit.edu</t>
  </si>
  <si>
    <t>999-2171</t>
  </si>
  <si>
    <t>Ishioka</t>
  </si>
  <si>
    <t>Spicy Chicken Wings</t>
  </si>
  <si>
    <t>Dane</t>
  </si>
  <si>
    <t>Brockhouse</t>
  </si>
  <si>
    <t>dbrockhousefm@about.com</t>
  </si>
  <si>
    <t>4785-364</t>
  </si>
  <si>
    <t>Aldeias de Cima</t>
  </si>
  <si>
    <t>18690-000</t>
  </si>
  <si>
    <t>Pet Bed with Removable Cover</t>
  </si>
  <si>
    <t>Alastair</t>
  </si>
  <si>
    <t>Sam</t>
  </si>
  <si>
    <t>asamfn@pinterest.com</t>
  </si>
  <si>
    <t>PO Box 87391</t>
  </si>
  <si>
    <t>Gucun</t>
  </si>
  <si>
    <t>Honey</t>
  </si>
  <si>
    <t>Pindell</t>
  </si>
  <si>
    <t>hpindellfo@sourceforge.net</t>
  </si>
  <si>
    <t>Mūsa Khel Bāzār</t>
  </si>
  <si>
    <t>Ceramic Cookware Set</t>
  </si>
  <si>
    <t>Dwayne</t>
  </si>
  <si>
    <t>Slainey</t>
  </si>
  <si>
    <t>dslaineyfp@behance.net</t>
  </si>
  <si>
    <t>Room 361</t>
  </si>
  <si>
    <t>Argayash</t>
  </si>
  <si>
    <t>Maple Almond Butter</t>
  </si>
  <si>
    <t>Food - Nut Butters</t>
  </si>
  <si>
    <t>Cawthery</t>
  </si>
  <si>
    <t>lcawtheryfq@gnu.org</t>
  </si>
  <si>
    <t>Apt 419</t>
  </si>
  <si>
    <t>739 41</t>
  </si>
  <si>
    <t>Angelo</t>
  </si>
  <si>
    <t>Aslum</t>
  </si>
  <si>
    <t>aaslumfr@prweb.com</t>
  </si>
  <si>
    <t>Apt 445</t>
  </si>
  <si>
    <t>Severoural’sk</t>
  </si>
  <si>
    <t>Honey Almond Granola Bars</t>
  </si>
  <si>
    <t>Kalina</t>
  </si>
  <si>
    <t>Battelle</t>
  </si>
  <si>
    <t>kbattellefs@barnesandnoble.com</t>
  </si>
  <si>
    <t>Flushing</t>
  </si>
  <si>
    <t>New York</t>
  </si>
  <si>
    <t>36-071</t>
  </si>
  <si>
    <t>Tally</t>
  </si>
  <si>
    <t>Littleproud</t>
  </si>
  <si>
    <t>tlittleproudft@usatoday.com</t>
  </si>
  <si>
    <t>Apt 1591</t>
  </si>
  <si>
    <t>Hidalgo</t>
  </si>
  <si>
    <t>Instant Camera</t>
  </si>
  <si>
    <t>Pat</t>
  </si>
  <si>
    <t>Pestell</t>
  </si>
  <si>
    <t>ppestellfu@myspace.com</t>
  </si>
  <si>
    <t>171 94</t>
  </si>
  <si>
    <t>Solna</t>
  </si>
  <si>
    <t>Trigwell</t>
  </si>
  <si>
    <t>htrigwellfv@tmall.com</t>
  </si>
  <si>
    <t>31931 CEDEX 9</t>
  </si>
  <si>
    <t>Apt 59</t>
  </si>
  <si>
    <t>Toulouse</t>
  </si>
  <si>
    <t>Chipotle Sauce</t>
  </si>
  <si>
    <t>Fallon</t>
  </si>
  <si>
    <t>Deppe</t>
  </si>
  <si>
    <t>fdeppefw@plala.or.jp</t>
  </si>
  <si>
    <t>271 60</t>
  </si>
  <si>
    <t>Suite 84</t>
  </si>
  <si>
    <t>Ystad</t>
  </si>
  <si>
    <t>Skåne</t>
  </si>
  <si>
    <t>Stuffed Bell Peppers</t>
  </si>
  <si>
    <t>Food - Frozen Meals</t>
  </si>
  <si>
    <t>Jacquelynn</t>
  </si>
  <si>
    <t>Babar</t>
  </si>
  <si>
    <t>jbabarfx@sourceforge.net</t>
  </si>
  <si>
    <t>PO Box 16782</t>
  </si>
  <si>
    <t>Thị Trấn Nguyên Bình</t>
  </si>
  <si>
    <t>Ground Turkey</t>
  </si>
  <si>
    <t>Georgie</t>
  </si>
  <si>
    <t>Rate</t>
  </si>
  <si>
    <t>gratefy@blogs.com</t>
  </si>
  <si>
    <t>34087 CEDEX 4</t>
  </si>
  <si>
    <t>Apt 669</t>
  </si>
  <si>
    <t>Montpellier</t>
  </si>
  <si>
    <t>Languedoc-Roussillon</t>
  </si>
  <si>
    <t>Air Fryer Oven</t>
  </si>
  <si>
    <t>Grannie</t>
  </si>
  <si>
    <t>Thumann</t>
  </si>
  <si>
    <t>gthumannfz@xing.com</t>
  </si>
  <si>
    <t>‘Afrīn</t>
  </si>
  <si>
    <t>Fruit and Nut Bars</t>
  </si>
  <si>
    <t>Georgina</t>
  </si>
  <si>
    <t>Buxcey</t>
  </si>
  <si>
    <t>gbuxceyg0@miibeian.gov.cn</t>
  </si>
  <si>
    <t>Sierra Leone</t>
  </si>
  <si>
    <t>PO Box 36851</t>
  </si>
  <si>
    <t>Baiima</t>
  </si>
  <si>
    <t>Rosy</t>
  </si>
  <si>
    <t>Gellibrand</t>
  </si>
  <si>
    <t>rgellibrandg1@cdbaby.com</t>
  </si>
  <si>
    <t>Campo Largo</t>
  </si>
  <si>
    <t>Frans</t>
  </si>
  <si>
    <t>McLeoid</t>
  </si>
  <si>
    <t>fmcleoidg2@diigo.com</t>
  </si>
  <si>
    <t>PO Box 92597</t>
  </si>
  <si>
    <t>Aiquile</t>
  </si>
  <si>
    <t>Italian Breadsticks</t>
  </si>
  <si>
    <t>Darrell</t>
  </si>
  <si>
    <t>Fuente</t>
  </si>
  <si>
    <t>dfuenteg3@cafepress.com</t>
  </si>
  <si>
    <t>Room 386</t>
  </si>
  <si>
    <t>Braunschweig</t>
  </si>
  <si>
    <t>Niedersachsen</t>
  </si>
  <si>
    <t>Herbal Tea Sampler Box</t>
  </si>
  <si>
    <t>Gusti</t>
  </si>
  <si>
    <t>Catonnet</t>
  </si>
  <si>
    <t>gcatonnetg4@mapquest.com</t>
  </si>
  <si>
    <t>Odienné</t>
  </si>
  <si>
    <t>Roasted Garlic Butter</t>
  </si>
  <si>
    <t>Verena</t>
  </si>
  <si>
    <t>Gales</t>
  </si>
  <si>
    <t>vgalesg5@fc2.com</t>
  </si>
  <si>
    <t>Room 547</t>
  </si>
  <si>
    <t>Al Khawkhah</t>
  </si>
  <si>
    <t>Organic Vanilla Bean Ice Cream</t>
  </si>
  <si>
    <t>Delmore</t>
  </si>
  <si>
    <t>Aistrop</t>
  </si>
  <si>
    <t>daistropg6@nsw.gov.au</t>
  </si>
  <si>
    <t>PO Box 42204</t>
  </si>
  <si>
    <t>Roshal’</t>
  </si>
  <si>
    <t>Travel Pillow with Memory Foam</t>
  </si>
  <si>
    <t>Lainey</t>
  </si>
  <si>
    <t>Bevans</t>
  </si>
  <si>
    <t>lbevansg7@multiply.com</t>
  </si>
  <si>
    <t>Tierimu</t>
  </si>
  <si>
    <t>32-740</t>
  </si>
  <si>
    <t>Ramen Noodle Soup Cups</t>
  </si>
  <si>
    <t>Beetham</t>
  </si>
  <si>
    <t>cbeethamg8@prweb.com</t>
  </si>
  <si>
    <t>Chuguyevka</t>
  </si>
  <si>
    <t>Chili Beans (canned)</t>
  </si>
  <si>
    <t>Hans</t>
  </si>
  <si>
    <t>Farthing</t>
  </si>
  <si>
    <t>hfarthingg9@skyrock.com</t>
  </si>
  <si>
    <t>Apt 1140</t>
  </si>
  <si>
    <t>Нераште</t>
  </si>
  <si>
    <t>2950-682</t>
  </si>
  <si>
    <t>Drucy</t>
  </si>
  <si>
    <t>Harkins</t>
  </si>
  <si>
    <t>dharkinsga@wix.com</t>
  </si>
  <si>
    <t>Room 1896</t>
  </si>
  <si>
    <t>Pocito</t>
  </si>
  <si>
    <t>Cinnamon Rolls</t>
  </si>
  <si>
    <t>Belva</t>
  </si>
  <si>
    <t>Burd</t>
  </si>
  <si>
    <t>bburdgb@xinhuanet.com</t>
  </si>
  <si>
    <t>9930-425</t>
  </si>
  <si>
    <t>Companhia de Baixo</t>
  </si>
  <si>
    <t>Ilha do Pico</t>
  </si>
  <si>
    <t>Aguie</t>
  </si>
  <si>
    <t>Tutill</t>
  </si>
  <si>
    <t>atutillgc@vinaora.com</t>
  </si>
  <si>
    <t>2445-764</t>
  </si>
  <si>
    <t>Martingança-Gare</t>
  </si>
  <si>
    <t>Pet Hair Vacuum Cleaner Attachment</t>
  </si>
  <si>
    <t>Avictor</t>
  </si>
  <si>
    <t>Tolefree</t>
  </si>
  <si>
    <t>atolefreegd@biglobe.ne.jp</t>
  </si>
  <si>
    <t>PO Box 82659</t>
  </si>
  <si>
    <t>Muye</t>
  </si>
  <si>
    <t>Madelene</t>
  </si>
  <si>
    <t>Hawkyens</t>
  </si>
  <si>
    <t>mhawkyensge@nbcnews.com</t>
  </si>
  <si>
    <t>45585-000</t>
  </si>
  <si>
    <t>Room 483</t>
  </si>
  <si>
    <t>Itagibá</t>
  </si>
  <si>
    <t>Multi-Layer Food Steamer</t>
  </si>
  <si>
    <t>Elbertina</t>
  </si>
  <si>
    <t>Catherick</t>
  </si>
  <si>
    <t>ecatherickgf@friendfeed.com</t>
  </si>
  <si>
    <t>177 35</t>
  </si>
  <si>
    <t>Järfälla</t>
  </si>
  <si>
    <t>LED Makeup Mirror</t>
  </si>
  <si>
    <t>Cathryn</t>
  </si>
  <si>
    <t>Proom</t>
  </si>
  <si>
    <t>cproomgg@reverbnation.com</t>
  </si>
  <si>
    <t>Apt 984</t>
  </si>
  <si>
    <t>Arbuzynka</t>
  </si>
  <si>
    <t>34064 CEDEX 2</t>
  </si>
  <si>
    <t>Wakefield</t>
  </si>
  <si>
    <t>Cardwell</t>
  </si>
  <si>
    <t>wcardwellgh@paypal.com</t>
  </si>
  <si>
    <t>Lydenburg</t>
  </si>
  <si>
    <t>Marinara Parmesan Baked Ziti</t>
  </si>
  <si>
    <t>Marcello</t>
  </si>
  <si>
    <t>Bessant</t>
  </si>
  <si>
    <t>mbessantgi@dyndns.org</t>
  </si>
  <si>
    <t>Apt 780</t>
  </si>
  <si>
    <t>Guaranda</t>
  </si>
  <si>
    <t>Protein Powder</t>
  </si>
  <si>
    <t>Sutherland</t>
  </si>
  <si>
    <t>Pailin</t>
  </si>
  <si>
    <t>spailingj@bloglovin.com</t>
  </si>
  <si>
    <t>Nusajaya</t>
  </si>
  <si>
    <t>Johor</t>
  </si>
  <si>
    <t>Mixed Nuts</t>
  </si>
  <si>
    <t>Velma</t>
  </si>
  <si>
    <t>Fritzer</t>
  </si>
  <si>
    <t>vfritzergk@github.com</t>
  </si>
  <si>
    <t>Apt 720</t>
  </si>
  <si>
    <t>Yangjia</t>
  </si>
  <si>
    <t>Wild Rice Pilaf</t>
  </si>
  <si>
    <t>Brynna</t>
  </si>
  <si>
    <t>Le Breton</t>
  </si>
  <si>
    <t>blebretongl@zdnet.com</t>
  </si>
  <si>
    <t>Apt 983</t>
  </si>
  <si>
    <t>Kawm Umbū</t>
  </si>
  <si>
    <t>Emiline</t>
  </si>
  <si>
    <t>Duncan</t>
  </si>
  <si>
    <t>eduncangm@squarespace.com</t>
  </si>
  <si>
    <t>Rancakole</t>
  </si>
  <si>
    <t>Peach Green Tea</t>
  </si>
  <si>
    <t>Baillie</t>
  </si>
  <si>
    <t>Heakey</t>
  </si>
  <si>
    <t>bheakeygn@jigsy.com</t>
  </si>
  <si>
    <t>Room 72</t>
  </si>
  <si>
    <t>Blender Bottle</t>
  </si>
  <si>
    <t>Ignaz</t>
  </si>
  <si>
    <t>Pieche</t>
  </si>
  <si>
    <t>ipiechego@theatlantic.com</t>
  </si>
  <si>
    <t>Suite 55</t>
  </si>
  <si>
    <t>Qādirpur Rān</t>
  </si>
  <si>
    <t>Artisan Bread Loaf</t>
  </si>
  <si>
    <t>Dorthy</t>
  </si>
  <si>
    <t>Kebbell</t>
  </si>
  <si>
    <t>dkebbellgp@hao123.com</t>
  </si>
  <si>
    <t>San Francisco</t>
  </si>
  <si>
    <t>Cly</t>
  </si>
  <si>
    <t>Stuttard</t>
  </si>
  <si>
    <t>cstuttardgq@gnu.org</t>
  </si>
  <si>
    <t>Room 85</t>
  </si>
  <si>
    <t>Forssa</t>
  </si>
  <si>
    <t>Clerkclaude</t>
  </si>
  <si>
    <t>Pryer</t>
  </si>
  <si>
    <t>cpryergr@washington.edu</t>
  </si>
  <si>
    <t>Room 637</t>
  </si>
  <si>
    <t>Gununglajang</t>
  </si>
  <si>
    <t>Mango Sticky Rice Dessert</t>
  </si>
  <si>
    <t>Bret</t>
  </si>
  <si>
    <t>Bradburn</t>
  </si>
  <si>
    <t>bbradburngs@deliciousdays.com</t>
  </si>
  <si>
    <t>Dinskaya</t>
  </si>
  <si>
    <t>615 95</t>
  </si>
  <si>
    <t>Honey Lemon Tea</t>
  </si>
  <si>
    <t>Durward</t>
  </si>
  <si>
    <t>Jakeway</t>
  </si>
  <si>
    <t>djakewaygt@mtv.com</t>
  </si>
  <si>
    <t>PO Box 72524</t>
  </si>
  <si>
    <t>Ampelákia</t>
  </si>
  <si>
    <t>Electric Griddle</t>
  </si>
  <si>
    <t>Blinni</t>
  </si>
  <si>
    <t>Wellington</t>
  </si>
  <si>
    <t>bwellingtongu@topsy.com</t>
  </si>
  <si>
    <t>D17</t>
  </si>
  <si>
    <t>Suite 85</t>
  </si>
  <si>
    <t>Donnycarney</t>
  </si>
  <si>
    <t>Stephine</t>
  </si>
  <si>
    <t>Atrill</t>
  </si>
  <si>
    <t>satrillgv@dagondesign.com</t>
  </si>
  <si>
    <t>Apt 883</t>
  </si>
  <si>
    <t>Colorado Springs</t>
  </si>
  <si>
    <t>Colorado</t>
  </si>
  <si>
    <t>Smartwatch</t>
  </si>
  <si>
    <t>Annalise</t>
  </si>
  <si>
    <t>Thaxton</t>
  </si>
  <si>
    <t>athaxtongw@gnu.org</t>
  </si>
  <si>
    <t>Room 794</t>
  </si>
  <si>
    <t>Bolderaja</t>
  </si>
  <si>
    <t>Oralia</t>
  </si>
  <si>
    <t>Imesson</t>
  </si>
  <si>
    <t>oimessongx@bizjournals.com</t>
  </si>
  <si>
    <t>Room 1059</t>
  </si>
  <si>
    <t>Dongdu</t>
  </si>
  <si>
    <t>Almond Butter Cookies</t>
  </si>
  <si>
    <t>Phil</t>
  </si>
  <si>
    <t>Figliovanni</t>
  </si>
  <si>
    <t>pfigliovannigy@hc360.com</t>
  </si>
  <si>
    <t>Room 1154</t>
  </si>
  <si>
    <t>Kosava</t>
  </si>
  <si>
    <t>Jud</t>
  </si>
  <si>
    <t>Bangham</t>
  </si>
  <si>
    <t>jbanghamgz@canalblog.com</t>
  </si>
  <si>
    <t>Zhouzhuang</t>
  </si>
  <si>
    <t>Kale Chips</t>
  </si>
  <si>
    <t>Skipper</t>
  </si>
  <si>
    <t>Morican</t>
  </si>
  <si>
    <t>smoricanh0@nature.com</t>
  </si>
  <si>
    <t>PO Box 42780</t>
  </si>
  <si>
    <t>Camargo</t>
  </si>
  <si>
    <t>Solar String Lights</t>
  </si>
  <si>
    <t>Armand</t>
  </si>
  <si>
    <t>Perse</t>
  </si>
  <si>
    <t>aperseh1@dyndns.org</t>
  </si>
  <si>
    <t>Kufa</t>
  </si>
  <si>
    <t>Belgium</t>
  </si>
  <si>
    <t>Cosetta</t>
  </si>
  <si>
    <t>Petrusch</t>
  </si>
  <si>
    <t>cpetruschh2@aboutads.info</t>
  </si>
  <si>
    <t>Candi Prambanan</t>
  </si>
  <si>
    <t>Lentil Soup</t>
  </si>
  <si>
    <t>Holmes</t>
  </si>
  <si>
    <t>Ricks</t>
  </si>
  <si>
    <t>hricksh3@columbia.edu</t>
  </si>
  <si>
    <t>2440-176</t>
  </si>
  <si>
    <t>Quinta do Sobrado</t>
  </si>
  <si>
    <t>Dianne</t>
  </si>
  <si>
    <t>Follin</t>
  </si>
  <si>
    <t>dfollinh4@bloglovin.com</t>
  </si>
  <si>
    <t>Tangcun</t>
  </si>
  <si>
    <t>Julio</t>
  </si>
  <si>
    <t>Klimes</t>
  </si>
  <si>
    <t>jklimesh5@wiley.com</t>
  </si>
  <si>
    <t>Kostyantynivka</t>
  </si>
  <si>
    <t>NG22</t>
  </si>
  <si>
    <t>United Kingdom</t>
  </si>
  <si>
    <t>Home Cleaning Robot</t>
  </si>
  <si>
    <t>Edita</t>
  </si>
  <si>
    <t>Marre</t>
  </si>
  <si>
    <t>emarreh6@jiathis.com</t>
  </si>
  <si>
    <t>Room 836</t>
  </si>
  <si>
    <t>Zhongshanlu</t>
  </si>
  <si>
    <t>Hallsy</t>
  </si>
  <si>
    <t>Cumberledge</t>
  </si>
  <si>
    <t>hcumberledgeh7@reuters.com</t>
  </si>
  <si>
    <t>Fuwen</t>
  </si>
  <si>
    <t>Chipotle Lime Salsa</t>
  </si>
  <si>
    <t>Kelsey</t>
  </si>
  <si>
    <t>Kapiloff</t>
  </si>
  <si>
    <t>kkapiloffh8@washington.edu</t>
  </si>
  <si>
    <t>Apt 1413</t>
  </si>
  <si>
    <t>Ducheng</t>
  </si>
  <si>
    <t>Dark Chocolate Covered Raisins</t>
  </si>
  <si>
    <t>Kellby</t>
  </si>
  <si>
    <t>Pele</t>
  </si>
  <si>
    <t>kpeleh9@princeton.edu</t>
  </si>
  <si>
    <t>Room 190</t>
  </si>
  <si>
    <t>Calzada Larga</t>
  </si>
  <si>
    <t>Haiti</t>
  </si>
  <si>
    <t>Ninetta</t>
  </si>
  <si>
    <t>Bracher</t>
  </si>
  <si>
    <t>nbracherha@ft.com</t>
  </si>
  <si>
    <t>Ailigandí</t>
  </si>
  <si>
    <t>3450-205</t>
  </si>
  <si>
    <t>Meta</t>
  </si>
  <si>
    <t>Radford</t>
  </si>
  <si>
    <t>mradfordhb@slate.com</t>
  </si>
  <si>
    <t>95334 CEDEX</t>
  </si>
  <si>
    <t>PO Box 86357</t>
  </si>
  <si>
    <t>Domont</t>
  </si>
  <si>
    <t>45979 CEDEX 9</t>
  </si>
  <si>
    <t>Talia</t>
  </si>
  <si>
    <t>Eddies</t>
  </si>
  <si>
    <t>teddieshc@so-net.ne.jp</t>
  </si>
  <si>
    <t>Room 1988</t>
  </si>
  <si>
    <t>Hernando</t>
  </si>
  <si>
    <t>263 01</t>
  </si>
  <si>
    <t>Cinnamon Spiced Almonds</t>
  </si>
  <si>
    <t>Duester</t>
  </si>
  <si>
    <t>aduesterhd@studiopress.com</t>
  </si>
  <si>
    <t>Maha Sarakham</t>
  </si>
  <si>
    <t>Karol</t>
  </si>
  <si>
    <t>Vauter</t>
  </si>
  <si>
    <t>kvauterhe@state.tx.us</t>
  </si>
  <si>
    <t>Republic of the Congo</t>
  </si>
  <si>
    <t>Apt 1949</t>
  </si>
  <si>
    <t>Kayes</t>
  </si>
  <si>
    <t>737 42</t>
  </si>
  <si>
    <t>Handmade Soap Making Kit</t>
  </si>
  <si>
    <t>Antonio</t>
  </si>
  <si>
    <t>Catherine</t>
  </si>
  <si>
    <t>acatherinehf@house.gov</t>
  </si>
  <si>
    <t>Asan Kumbang</t>
  </si>
  <si>
    <t>Almond Flour Biscuits</t>
  </si>
  <si>
    <t>Nance</t>
  </si>
  <si>
    <t>Gommes</t>
  </si>
  <si>
    <t>ngommeshg@dailymail.co.uk</t>
  </si>
  <si>
    <t>PO Box 85348</t>
  </si>
  <si>
    <t>La Oroya</t>
  </si>
  <si>
    <t>Brussels Sprouts</t>
  </si>
  <si>
    <t>Cody</t>
  </si>
  <si>
    <t>Malloy</t>
  </si>
  <si>
    <t>cmalloyhh@oracle.com</t>
  </si>
  <si>
    <t>PO Box 50667</t>
  </si>
  <si>
    <t>Independencia</t>
  </si>
  <si>
    <t>88390-000</t>
  </si>
  <si>
    <t>Evan</t>
  </si>
  <si>
    <t>de Cullip</t>
  </si>
  <si>
    <t>edeculliphi@globo.com</t>
  </si>
  <si>
    <t>15990-000</t>
  </si>
  <si>
    <t>Apt 571</t>
  </si>
  <si>
    <t>Matão</t>
  </si>
  <si>
    <t>Vegetable Spring Rolls</t>
  </si>
  <si>
    <t>Ewell</t>
  </si>
  <si>
    <t>McAsgill</t>
  </si>
  <si>
    <t>emcasgillhj@wunderground.com</t>
  </si>
  <si>
    <t>Room 1759</t>
  </si>
  <si>
    <t>Kunsan</t>
  </si>
  <si>
    <t>44194 CEDEX</t>
  </si>
  <si>
    <t>Bike Helmet</t>
  </si>
  <si>
    <t>Bicycles</t>
  </si>
  <si>
    <t>Noell</t>
  </si>
  <si>
    <t>McEvilly</t>
  </si>
  <si>
    <t>nmcevillyhk@jigsy.com</t>
  </si>
  <si>
    <t>Ombarade</t>
  </si>
  <si>
    <t>92715 CEDEX</t>
  </si>
  <si>
    <t>Salvador</t>
  </si>
  <si>
    <t>Wiley</t>
  </si>
  <si>
    <t>swileyhl@irs.gov</t>
  </si>
  <si>
    <t>Room 1223</t>
  </si>
  <si>
    <t>Mobai</t>
  </si>
  <si>
    <t>Nicol</t>
  </si>
  <si>
    <t>Le Provest</t>
  </si>
  <si>
    <t>nleprovesthm@tamu.edu</t>
  </si>
  <si>
    <t>Beaverton</t>
  </si>
  <si>
    <t>Oregon</t>
  </si>
  <si>
    <t>Over-Ear Headphones</t>
  </si>
  <si>
    <t>Humfried</t>
  </si>
  <si>
    <t>Sharpin</t>
  </si>
  <si>
    <t>hsharpinhn@xrea.com</t>
  </si>
  <si>
    <t>Shouchun</t>
  </si>
  <si>
    <t>97-217</t>
  </si>
  <si>
    <t>Portable Phone Charger</t>
  </si>
  <si>
    <t>Zacherie</t>
  </si>
  <si>
    <t>Humby</t>
  </si>
  <si>
    <t>zhumbyho@yelp.com</t>
  </si>
  <si>
    <t>Apt 67</t>
  </si>
  <si>
    <t>Xinjiebu</t>
  </si>
  <si>
    <t>35588-000</t>
  </si>
  <si>
    <t>Chia Seed Pudding</t>
  </si>
  <si>
    <t>Nikola</t>
  </si>
  <si>
    <t>Merryfield</t>
  </si>
  <si>
    <t>nmerryfieldhp@cpanel.net</t>
  </si>
  <si>
    <t>Newport News</t>
  </si>
  <si>
    <t>Virginia</t>
  </si>
  <si>
    <t>Sturdy Bookends</t>
  </si>
  <si>
    <t>Ulick</t>
  </si>
  <si>
    <t>Buntain</t>
  </si>
  <si>
    <t>ubuntainhq@yolasite.com</t>
  </si>
  <si>
    <t>Apt 1172</t>
  </si>
  <si>
    <t>Zhencheng</t>
  </si>
  <si>
    <t>Selie</t>
  </si>
  <si>
    <t>Lidgley</t>
  </si>
  <si>
    <t>slidgleyhr@sohu.com</t>
  </si>
  <si>
    <t>Room 1654</t>
  </si>
  <si>
    <t>Kortesjärvi</t>
  </si>
  <si>
    <t>Peach Mango Smoothie Mix</t>
  </si>
  <si>
    <t>Griffith</t>
  </si>
  <si>
    <t>Scarlon</t>
  </si>
  <si>
    <t>gscarlonhs@purevolume.com</t>
  </si>
  <si>
    <t>Ovidiopol’</t>
  </si>
  <si>
    <t>Gannon</t>
  </si>
  <si>
    <t>Werendell</t>
  </si>
  <si>
    <t>gwerendellht@bloglovin.com</t>
  </si>
  <si>
    <t>Prínos</t>
  </si>
  <si>
    <t>Kyncl</t>
  </si>
  <si>
    <t>ckynclhu@twitter.com</t>
  </si>
  <si>
    <t>Apt 1496</t>
  </si>
  <si>
    <t>Kyenjojo</t>
  </si>
  <si>
    <t>Chili Con Carne Mix</t>
  </si>
  <si>
    <t>Food - Spices &amp; Seasonings</t>
  </si>
  <si>
    <t>Darby</t>
  </si>
  <si>
    <t>Moulton</t>
  </si>
  <si>
    <t>dmoultonhv@twitpic.com</t>
  </si>
  <si>
    <t>PO Box 87785</t>
  </si>
  <si>
    <t>Panaitólion</t>
  </si>
  <si>
    <t>Maple Pecan Granola</t>
  </si>
  <si>
    <t>Evonne</t>
  </si>
  <si>
    <t>Heasley</t>
  </si>
  <si>
    <t>eheasleyhw@123-reg.co.uk</t>
  </si>
  <si>
    <t>Apt 31</t>
  </si>
  <si>
    <t>Smart Thermos</t>
  </si>
  <si>
    <t>Elizabet</t>
  </si>
  <si>
    <t>Baile</t>
  </si>
  <si>
    <t>ebailehx@microsoft.com</t>
  </si>
  <si>
    <t>Apt 464</t>
  </si>
  <si>
    <t>San Rafael</t>
  </si>
  <si>
    <t>Almond Flour Pizza Crust</t>
  </si>
  <si>
    <t>Zedekiah</t>
  </si>
  <si>
    <t>Wolters</t>
  </si>
  <si>
    <t>zwoltershy@java.com</t>
  </si>
  <si>
    <t>43-243</t>
  </si>
  <si>
    <t>PO Box 10753</t>
  </si>
  <si>
    <t>Radostowice</t>
  </si>
  <si>
    <t>Gabriele</t>
  </si>
  <si>
    <t>McTurk</t>
  </si>
  <si>
    <t>gmcturkhz@xrea.com</t>
  </si>
  <si>
    <t>Pipa</t>
  </si>
  <si>
    <t>Board Game Storage</t>
  </si>
  <si>
    <t>Borland</t>
  </si>
  <si>
    <t>rborlandi0@ihg.com</t>
  </si>
  <si>
    <t>PO Box 5423</t>
  </si>
  <si>
    <t>Napu</t>
  </si>
  <si>
    <t>Pet Nail Clipper</t>
  </si>
  <si>
    <t>Jeniffer</t>
  </si>
  <si>
    <t>Durie</t>
  </si>
  <si>
    <t>jduriei1@plala.or.jp</t>
  </si>
  <si>
    <t>Room 459</t>
  </si>
  <si>
    <t>Jindong</t>
  </si>
  <si>
    <t>Adjustable Laptop Stand</t>
  </si>
  <si>
    <t>Terza</t>
  </si>
  <si>
    <t>Essberger</t>
  </si>
  <si>
    <t>tessbergeri2@cpanel.net</t>
  </si>
  <si>
    <t>Apt 1534</t>
  </si>
  <si>
    <t>Pyu</t>
  </si>
  <si>
    <t>Floral Summer Dress</t>
  </si>
  <si>
    <t>Koenraad</t>
  </si>
  <si>
    <t>Sussems</t>
  </si>
  <si>
    <t>ksussemsi3@twitpic.com</t>
  </si>
  <si>
    <t>Guinea</t>
  </si>
  <si>
    <t>Slingback Sandals</t>
  </si>
  <si>
    <t>Gloriana</t>
  </si>
  <si>
    <t>Baskett</t>
  </si>
  <si>
    <t>gbasketti4@simplemachines.org</t>
  </si>
  <si>
    <t>Room 323</t>
  </si>
  <si>
    <t>Siderejo</t>
  </si>
  <si>
    <t>Allister</t>
  </si>
  <si>
    <t>Kalisch</t>
  </si>
  <si>
    <t>akalischi5@nasa.gov</t>
  </si>
  <si>
    <t>Veliko Tŭrnovo</t>
  </si>
  <si>
    <t>Skincare Set</t>
  </si>
  <si>
    <t>Harkes</t>
  </si>
  <si>
    <t>dharkesi6@ox.ac.uk</t>
  </si>
  <si>
    <t>42-165</t>
  </si>
  <si>
    <t>Lipie</t>
  </si>
  <si>
    <t>Garlic Butter Shrimp</t>
  </si>
  <si>
    <t>Leeann</t>
  </si>
  <si>
    <t>Wilden</t>
  </si>
  <si>
    <t>lwildeni7@ebay.com</t>
  </si>
  <si>
    <t>779-3610</t>
  </si>
  <si>
    <t>Apt 314</t>
  </si>
  <si>
    <t>Wakimachi</t>
  </si>
  <si>
    <t>Shepperd</t>
  </si>
  <si>
    <t>Scudder</t>
  </si>
  <si>
    <t>sscudderi8@yahoo.co.jp</t>
  </si>
  <si>
    <t>Tvŭrditsa</t>
  </si>
  <si>
    <t>Accum</t>
  </si>
  <si>
    <t>taccumi9@dell.com</t>
  </si>
  <si>
    <t>Tieshan</t>
  </si>
  <si>
    <t>Salim</t>
  </si>
  <si>
    <t>Poe</t>
  </si>
  <si>
    <t>spoeia@constantcontact.com</t>
  </si>
  <si>
    <t>Room 1504</t>
  </si>
  <si>
    <t>Huangtan</t>
  </si>
  <si>
    <t>45810-000</t>
  </si>
  <si>
    <t>Agretha</t>
  </si>
  <si>
    <t>Setterfield</t>
  </si>
  <si>
    <t>asetterfieldib@nyu.edu</t>
  </si>
  <si>
    <t>62-570</t>
  </si>
  <si>
    <t>Suite 83</t>
  </si>
  <si>
    <t>Rychwał</t>
  </si>
  <si>
    <t>18200-000</t>
  </si>
  <si>
    <t>Chancey</t>
  </si>
  <si>
    <t>Crampton</t>
  </si>
  <si>
    <t>ccramptonic@fastcompany.com</t>
  </si>
  <si>
    <t>62-602</t>
  </si>
  <si>
    <t>Koło</t>
  </si>
  <si>
    <t>37-741</t>
  </si>
  <si>
    <t>Fergus</t>
  </si>
  <si>
    <t>Entissle</t>
  </si>
  <si>
    <t>fentissleid@behance.net</t>
  </si>
  <si>
    <t>68020 CEDEX</t>
  </si>
  <si>
    <t>PO Box 55585</t>
  </si>
  <si>
    <t>Colmar</t>
  </si>
  <si>
    <t>Wall-Mounted Bookshelf</t>
  </si>
  <si>
    <t>Appolonia</t>
  </si>
  <si>
    <t>Graysmark</t>
  </si>
  <si>
    <t>agraysmarkie@hatena.ne.jp</t>
  </si>
  <si>
    <t>Apt 56</t>
  </si>
  <si>
    <t>Liantan</t>
  </si>
  <si>
    <t>K8H</t>
  </si>
  <si>
    <t>Pet Water Fountain</t>
  </si>
  <si>
    <t>Gilda</t>
  </si>
  <si>
    <t>Ovendon</t>
  </si>
  <si>
    <t>govendonif@webmd.com</t>
  </si>
  <si>
    <t>Caringin</t>
  </si>
  <si>
    <t>Christalle</t>
  </si>
  <si>
    <t>Rousel</t>
  </si>
  <si>
    <t>crouselig@ucoz.ru</t>
  </si>
  <si>
    <t>Apt 868</t>
  </si>
  <si>
    <t>Ete</t>
  </si>
  <si>
    <t>LED Desk Lamp</t>
  </si>
  <si>
    <t>Danella</t>
  </si>
  <si>
    <t>Cruwys</t>
  </si>
  <si>
    <t>dcruwysih@acquirethisname.com</t>
  </si>
  <si>
    <t>Apt 893</t>
  </si>
  <si>
    <t>Nanping</t>
  </si>
  <si>
    <t>Fresh Lemons</t>
  </si>
  <si>
    <t>Aila</t>
  </si>
  <si>
    <t>Massimo</t>
  </si>
  <si>
    <t>amassimoii@harvard.edu</t>
  </si>
  <si>
    <t>Balingcanaway</t>
  </si>
  <si>
    <t>Boycie</t>
  </si>
  <si>
    <t>De Robertis</t>
  </si>
  <si>
    <t>bderobertisij@opensource.org</t>
  </si>
  <si>
    <t>PO Box 7011</t>
  </si>
  <si>
    <t>Solntsevo</t>
  </si>
  <si>
    <t>43-430</t>
  </si>
  <si>
    <t>Mint Chocolate Chip Ice Cream</t>
  </si>
  <si>
    <t>Guillema</t>
  </si>
  <si>
    <t>Mundell</t>
  </si>
  <si>
    <t>gmundellik@yale.edu</t>
  </si>
  <si>
    <t>Suite 1</t>
  </si>
  <si>
    <t>Russkiy</t>
  </si>
  <si>
    <t>Handheld Garment Steamer</t>
  </si>
  <si>
    <t>Cecilia</t>
  </si>
  <si>
    <t>Antunes</t>
  </si>
  <si>
    <t>cantunesil@gizmodo.com</t>
  </si>
  <si>
    <t>Apt 163</t>
  </si>
  <si>
    <t>Allada</t>
  </si>
  <si>
    <t>Gerta</t>
  </si>
  <si>
    <t>Fletcher</t>
  </si>
  <si>
    <t>gfletcherim@ustream.tv</t>
  </si>
  <si>
    <t>Room 198</t>
  </si>
  <si>
    <t>Fuyo</t>
  </si>
  <si>
    <t>Petrina</t>
  </si>
  <si>
    <t>Vedyashkin</t>
  </si>
  <si>
    <t>pvedyashkinin@wufoo.com</t>
  </si>
  <si>
    <t>Tha Ruea</t>
  </si>
  <si>
    <t>Portable UV Sterilizer</t>
  </si>
  <si>
    <t>Brazelton</t>
  </si>
  <si>
    <t>tbrazeltonio@sun.com</t>
  </si>
  <si>
    <t>Skopin</t>
  </si>
  <si>
    <t>Tea Set with Infuser</t>
  </si>
  <si>
    <t>Kain</t>
  </si>
  <si>
    <t>Proudman</t>
  </si>
  <si>
    <t>kproudmanip@si.edu</t>
  </si>
  <si>
    <t>Ethiopia</t>
  </si>
  <si>
    <t>Room 1147</t>
  </si>
  <si>
    <t>Kemisē</t>
  </si>
  <si>
    <t>16300-000</t>
  </si>
  <si>
    <t>Krystal</t>
  </si>
  <si>
    <t>O'Rodane</t>
  </si>
  <si>
    <t>korodaneiq@dailymail.co.uk</t>
  </si>
  <si>
    <t>Room 804</t>
  </si>
  <si>
    <t>Addiet Canna</t>
  </si>
  <si>
    <t>Pet Activity Tracker</t>
  </si>
  <si>
    <t>Chantal</t>
  </si>
  <si>
    <t>Atkirk</t>
  </si>
  <si>
    <t>catkirkir@sakura.ne.jp</t>
  </si>
  <si>
    <t>37000-000</t>
  </si>
  <si>
    <t>Varginha</t>
  </si>
  <si>
    <t>Leonhard</t>
  </si>
  <si>
    <t>Held</t>
  </si>
  <si>
    <t>lheldis@shareasale.com</t>
  </si>
  <si>
    <t>PO Box 25594</t>
  </si>
  <si>
    <t>Pacar</t>
  </si>
  <si>
    <t>901-0361</t>
  </si>
  <si>
    <t>Essie</t>
  </si>
  <si>
    <t>Danilchev</t>
  </si>
  <si>
    <t>edanilchevit@microsoft.com</t>
  </si>
  <si>
    <t>Mamonovo</t>
  </si>
  <si>
    <t>Roxanna</t>
  </si>
  <si>
    <t>Stickel</t>
  </si>
  <si>
    <t>rstickeliu@redcross.org</t>
  </si>
  <si>
    <t>Room 1888</t>
  </si>
  <si>
    <t>Banjar Asahduren</t>
  </si>
  <si>
    <t>959-2013</t>
  </si>
  <si>
    <t>Organic Granola</t>
  </si>
  <si>
    <t>Donna</t>
  </si>
  <si>
    <t>Kittle</t>
  </si>
  <si>
    <t>dkittleiv@newsvine.com</t>
  </si>
  <si>
    <t>Apt 1489</t>
  </si>
  <si>
    <t>Qingkenpao</t>
  </si>
  <si>
    <t>Mali</t>
  </si>
  <si>
    <t>Beef Stroganoff Mix</t>
  </si>
  <si>
    <t>Quinn</t>
  </si>
  <si>
    <t>Hissett</t>
  </si>
  <si>
    <t>qhissettiw@vkontakte.ru</t>
  </si>
  <si>
    <t>Sumurnanjung</t>
  </si>
  <si>
    <t>Digital Alarm Clock</t>
  </si>
  <si>
    <t>Jay</t>
  </si>
  <si>
    <t>Loxdale</t>
  </si>
  <si>
    <t>jloxdaleix@indiatimes.com</t>
  </si>
  <si>
    <t>Room 1293</t>
  </si>
  <si>
    <t>Malaryta</t>
  </si>
  <si>
    <t>Greek Feta Cheese</t>
  </si>
  <si>
    <t>Elton</t>
  </si>
  <si>
    <t>Freeland</t>
  </si>
  <si>
    <t>efreelandiy@123-reg.co.uk</t>
  </si>
  <si>
    <t>9600-052</t>
  </si>
  <si>
    <t>Pico da Pedra</t>
  </si>
  <si>
    <t>Edmund</t>
  </si>
  <si>
    <t>Wason</t>
  </si>
  <si>
    <t>ewasoniz@miitbeian.gov.cn</t>
  </si>
  <si>
    <t>PO Box 34450</t>
  </si>
  <si>
    <t>Ajoyani</t>
  </si>
  <si>
    <t>Marthe</t>
  </si>
  <si>
    <t>Aneley</t>
  </si>
  <si>
    <t>maneleyj0@uiuc.edu</t>
  </si>
  <si>
    <t>Guinea-Bissau</t>
  </si>
  <si>
    <t>Room 1881</t>
  </si>
  <si>
    <t>Quebo</t>
  </si>
  <si>
    <t>Graphic Sweatshirt</t>
  </si>
  <si>
    <t>Siccombe</t>
  </si>
  <si>
    <t>osiccombej1@cnbc.com</t>
  </si>
  <si>
    <t>Arish</t>
  </si>
  <si>
    <t>Darill</t>
  </si>
  <si>
    <t>Vlahos</t>
  </si>
  <si>
    <t>dvlahosj2@shareasale.com</t>
  </si>
  <si>
    <t>75884 CEDEX 18</t>
  </si>
  <si>
    <t>Apt 1765</t>
  </si>
  <si>
    <t>Paris 18</t>
  </si>
  <si>
    <t>512 24</t>
  </si>
  <si>
    <t>Fresh Basil</t>
  </si>
  <si>
    <t>Annemarie</t>
  </si>
  <si>
    <t>MacKimmie</t>
  </si>
  <si>
    <t>amackimmiej3@wordpress.com</t>
  </si>
  <si>
    <t>Isfahan</t>
  </si>
  <si>
    <t>Leann</t>
  </si>
  <si>
    <t>Stoop</t>
  </si>
  <si>
    <t>lstoopj4@icq.com</t>
  </si>
  <si>
    <t>Apt 603</t>
  </si>
  <si>
    <t>Drajak</t>
  </si>
  <si>
    <t>Daryl</t>
  </si>
  <si>
    <t>Senyard</t>
  </si>
  <si>
    <t>dsenyardj5@aboutads.info</t>
  </si>
  <si>
    <t>Room 1097</t>
  </si>
  <si>
    <t>Majennang</t>
  </si>
  <si>
    <t>14180-000</t>
  </si>
  <si>
    <t>Leather Wallet</t>
  </si>
  <si>
    <t>Corey</t>
  </si>
  <si>
    <t>Helbeck</t>
  </si>
  <si>
    <t>chelbeckj6@sourceforge.net</t>
  </si>
  <si>
    <t>Suite 48</t>
  </si>
  <si>
    <t>Novaya Derevnya</t>
  </si>
  <si>
    <t>Pet Safety Belt for Car</t>
  </si>
  <si>
    <t>Emory</t>
  </si>
  <si>
    <t>Gregori</t>
  </si>
  <si>
    <t>egregorij7@tinypic.com</t>
  </si>
  <si>
    <t>T56</t>
  </si>
  <si>
    <t>Watergrasshill</t>
  </si>
  <si>
    <t>Spicy Vegetable Sushi Rolls</t>
  </si>
  <si>
    <t>Cissy</t>
  </si>
  <si>
    <t>Fairy</t>
  </si>
  <si>
    <t>cfairyj8@ycombinator.com</t>
  </si>
  <si>
    <t>889-3151</t>
  </si>
  <si>
    <t>Nichinan</t>
  </si>
  <si>
    <t>Beard Grooming Kit</t>
  </si>
  <si>
    <t>Grooming</t>
  </si>
  <si>
    <t>Sander</t>
  </si>
  <si>
    <t>Garment</t>
  </si>
  <si>
    <t>sgarmentj9@eventbrite.com</t>
  </si>
  <si>
    <t>PO Box 69423</t>
  </si>
  <si>
    <t>Rixinhe</t>
  </si>
  <si>
    <t>A41</t>
  </si>
  <si>
    <t>Portable Air Purifier</t>
  </si>
  <si>
    <t>Robinia</t>
  </si>
  <si>
    <t>Summerrell</t>
  </si>
  <si>
    <t>rsummerrellja@51.la</t>
  </si>
  <si>
    <t>18550-000</t>
  </si>
  <si>
    <t>Boituva</t>
  </si>
  <si>
    <t>Gayleen</t>
  </si>
  <si>
    <t>Midlane</t>
  </si>
  <si>
    <t>gmidlanejb@freewebs.com</t>
  </si>
  <si>
    <t>Suite 64</t>
  </si>
  <si>
    <t>Chirkey</t>
  </si>
  <si>
    <t>4960-522</t>
  </si>
  <si>
    <t>Luxury Yoga Mat</t>
  </si>
  <si>
    <t>Kathye</t>
  </si>
  <si>
    <t>Stark</t>
  </si>
  <si>
    <t>kstarkjc@hao123.com</t>
  </si>
  <si>
    <t>Apt 288</t>
  </si>
  <si>
    <t>Fuxi</t>
  </si>
  <si>
    <t>N6C</t>
  </si>
  <si>
    <t>Fair</t>
  </si>
  <si>
    <t>Camsey</t>
  </si>
  <si>
    <t>fcamseyjd@mediafire.com</t>
  </si>
  <si>
    <t>PO Box 60887</t>
  </si>
  <si>
    <t>San Luis Potosi</t>
  </si>
  <si>
    <t>Dill Pickle Chips</t>
  </si>
  <si>
    <t>Kyle</t>
  </si>
  <si>
    <t>Bramley</t>
  </si>
  <si>
    <t>kbramleyje@stumbleupon.com</t>
  </si>
  <si>
    <t>Apt 902</t>
  </si>
  <si>
    <t>Yancheng</t>
  </si>
  <si>
    <t>Sayre</t>
  </si>
  <si>
    <t>Girt</t>
  </si>
  <si>
    <t>sgirtjf@purevolume.com</t>
  </si>
  <si>
    <t>Apt 174</t>
  </si>
  <si>
    <t>Chengdong</t>
  </si>
  <si>
    <t>Sriracha Honey Glaze</t>
  </si>
  <si>
    <t>Herbie</t>
  </si>
  <si>
    <t>Collister</t>
  </si>
  <si>
    <t>hcollisterjg@360.cn</t>
  </si>
  <si>
    <t>651 80</t>
  </si>
  <si>
    <t>Karlstad</t>
  </si>
  <si>
    <t>Värmland</t>
  </si>
  <si>
    <t>L-9184</t>
  </si>
  <si>
    <t>Handcrafted Wooden Jewelry Box</t>
  </si>
  <si>
    <t>Dale</t>
  </si>
  <si>
    <t>Hollingsby</t>
  </si>
  <si>
    <t>dhollingsbyjh@miitbeian.gov.cn</t>
  </si>
  <si>
    <t>956-0053</t>
  </si>
  <si>
    <t>Apt 1987</t>
  </si>
  <si>
    <t>Kameda-honchō</t>
  </si>
  <si>
    <t>Dried Cranberries</t>
  </si>
  <si>
    <t>Bili</t>
  </si>
  <si>
    <t>D'Ambrogi</t>
  </si>
  <si>
    <t>bdambrogiji@biglobe.ne.jp</t>
  </si>
  <si>
    <t>PO Box 67098</t>
  </si>
  <si>
    <t>Pitai</t>
  </si>
  <si>
    <t>58-530</t>
  </si>
  <si>
    <t>Non-Stick Grill Mat</t>
  </si>
  <si>
    <t>Clarette</t>
  </si>
  <si>
    <t>Bretherton</t>
  </si>
  <si>
    <t>cbrethertonjj@time.com</t>
  </si>
  <si>
    <t>Apt 108</t>
  </si>
  <si>
    <t>Griselda</t>
  </si>
  <si>
    <t>Skeats</t>
  </si>
  <si>
    <t>gskeatsjk@tinyurl.com</t>
  </si>
  <si>
    <t>LE15</t>
  </si>
  <si>
    <t>Seaton</t>
  </si>
  <si>
    <t>England</t>
  </si>
  <si>
    <t>Burton</t>
  </si>
  <si>
    <t>Yashaev</t>
  </si>
  <si>
    <t>byashaevjl@ameblo.jp</t>
  </si>
  <si>
    <t>Room 1450</t>
  </si>
  <si>
    <t>Batad</t>
  </si>
  <si>
    <t>Janel</t>
  </si>
  <si>
    <t>Duckers</t>
  </si>
  <si>
    <t>jduckersjm@sourceforge.net</t>
  </si>
  <si>
    <t>Fuxin</t>
  </si>
  <si>
    <t>Barbara-anne</t>
  </si>
  <si>
    <t>Herreros</t>
  </si>
  <si>
    <t>bherrerosjn@flavors.me</t>
  </si>
  <si>
    <t>4830-433</t>
  </si>
  <si>
    <t>Apt 570</t>
  </si>
  <si>
    <t>Breia</t>
  </si>
  <si>
    <t>Ole</t>
  </si>
  <si>
    <t>Wogdon</t>
  </si>
  <si>
    <t>owogdonjo@fema.gov</t>
  </si>
  <si>
    <t>French Polynesia</t>
  </si>
  <si>
    <t>Afareaitu</t>
  </si>
  <si>
    <t>Mackenzie</t>
  </si>
  <si>
    <t>Fontin</t>
  </si>
  <si>
    <t>mfontinjp@ovh.net</t>
  </si>
  <si>
    <t>Apt 1069</t>
  </si>
  <si>
    <t>Nangewer</t>
  </si>
  <si>
    <t>L8P</t>
  </si>
  <si>
    <t>Carrot and Celery Sticks</t>
  </si>
  <si>
    <t>Leila</t>
  </si>
  <si>
    <t>Westerman</t>
  </si>
  <si>
    <t>lwestermanjq@feedburner.com</t>
  </si>
  <si>
    <t>Apt 1612</t>
  </si>
  <si>
    <t>Pereira</t>
  </si>
  <si>
    <t>Oven-Baked Potato Chips</t>
  </si>
  <si>
    <t>Rubia</t>
  </si>
  <si>
    <t>Betjes</t>
  </si>
  <si>
    <t>rbetjesjr@jugem.jp</t>
  </si>
  <si>
    <t>PO Box 95424</t>
  </si>
  <si>
    <t>Yunlu</t>
  </si>
  <si>
    <t>Carolynn</t>
  </si>
  <si>
    <t>Sparhawk</t>
  </si>
  <si>
    <t>csparhawkjs@g.co</t>
  </si>
  <si>
    <t>PO Box 42786</t>
  </si>
  <si>
    <t>Pavlivka</t>
  </si>
  <si>
    <t>Maple Bacon Popcorn</t>
  </si>
  <si>
    <t>Moverley</t>
  </si>
  <si>
    <t>cmoverleyjt@blogspot.com</t>
  </si>
  <si>
    <t>Apt 745</t>
  </si>
  <si>
    <t>Dumandesa</t>
  </si>
  <si>
    <t>Wireless Range Extender</t>
  </si>
  <si>
    <t>Melania</t>
  </si>
  <si>
    <t>Arent</t>
  </si>
  <si>
    <t>marentju@comsenz.com</t>
  </si>
  <si>
    <t>12200-000</t>
  </si>
  <si>
    <t>São José dos Campos</t>
  </si>
  <si>
    <t>253-0041</t>
  </si>
  <si>
    <t>Dory</t>
  </si>
  <si>
    <t>Hustler</t>
  </si>
  <si>
    <t>dhustlerjv@shinystat.com</t>
  </si>
  <si>
    <t>Room 1867</t>
  </si>
  <si>
    <t>Berezayka</t>
  </si>
  <si>
    <t>Hedy</t>
  </si>
  <si>
    <t>Screaton</t>
  </si>
  <si>
    <t>hscreatonjw@vimeo.com</t>
  </si>
  <si>
    <t>Guozhen</t>
  </si>
  <si>
    <t>3865-105</t>
  </si>
  <si>
    <t>French Onion Dip</t>
  </si>
  <si>
    <t>Allx</t>
  </si>
  <si>
    <t>Oakland</t>
  </si>
  <si>
    <t>aoaklandjx@issuu.com</t>
  </si>
  <si>
    <t>PO Box 33739</t>
  </si>
  <si>
    <t>Pohonsirih</t>
  </si>
  <si>
    <t>Pistachios</t>
  </si>
  <si>
    <t>Bianca</t>
  </si>
  <si>
    <t>Saltsberger</t>
  </si>
  <si>
    <t>bsaltsbergerjy@google.fr</t>
  </si>
  <si>
    <t>Wangchang</t>
  </si>
  <si>
    <t>Peyton</t>
  </si>
  <si>
    <t>Leverage</t>
  </si>
  <si>
    <t>pleveragejz@paginegialle.it</t>
  </si>
  <si>
    <t>49140-000</t>
  </si>
  <si>
    <t>Barra dos Coqueiros</t>
  </si>
  <si>
    <t>Grimolbie</t>
  </si>
  <si>
    <t>ogrimolbiek0@tinyurl.com</t>
  </si>
  <si>
    <t>Xiamazhuang</t>
  </si>
  <si>
    <t>Shirleen</t>
  </si>
  <si>
    <t>Ferres</t>
  </si>
  <si>
    <t>sferresk1@youtube.com</t>
  </si>
  <si>
    <t>PO Box 10467</t>
  </si>
  <si>
    <t>San Roque</t>
  </si>
  <si>
    <t>92398 CEDEX</t>
  </si>
  <si>
    <t>Sliced Cheese</t>
  </si>
  <si>
    <t>Hammerson</t>
  </si>
  <si>
    <t>ghammersonk2@vistaprint.com</t>
  </si>
  <si>
    <t>Kampungmasjid</t>
  </si>
  <si>
    <t>38509 CEDEX</t>
  </si>
  <si>
    <t>Garlic Parmesan Roasted Nuts</t>
  </si>
  <si>
    <t>Carling</t>
  </si>
  <si>
    <t>Jencey</t>
  </si>
  <si>
    <t>cjenceyk3@shop-pro.jp</t>
  </si>
  <si>
    <t>2200-003</t>
  </si>
  <si>
    <t>Abrantes</t>
  </si>
  <si>
    <t>Santarém</t>
  </si>
  <si>
    <t>Andriette</t>
  </si>
  <si>
    <t>Baison</t>
  </si>
  <si>
    <t>abaisonk4@flavors.me</t>
  </si>
  <si>
    <t>Brezovica</t>
  </si>
  <si>
    <t>Matson</t>
  </si>
  <si>
    <t>hmatsonk5@sohu.com</t>
  </si>
  <si>
    <t>Apt 1484</t>
  </si>
  <si>
    <t>Verkhnya Rozhanka</t>
  </si>
  <si>
    <t>LED Table Lamp</t>
  </si>
  <si>
    <t>Analise</t>
  </si>
  <si>
    <t>Le-Good</t>
  </si>
  <si>
    <t>alegoodk6@hexun.com</t>
  </si>
  <si>
    <t>Kovernino</t>
  </si>
  <si>
    <t>12-160</t>
  </si>
  <si>
    <t>Electric Fondue Pot</t>
  </si>
  <si>
    <t>Lindsey</t>
  </si>
  <si>
    <t>Estable</t>
  </si>
  <si>
    <t>lestablek7@nifty.com</t>
  </si>
  <si>
    <t>Dresden</t>
  </si>
  <si>
    <t>Sachsen</t>
  </si>
  <si>
    <t>Clotilda</t>
  </si>
  <si>
    <t>Lenahan</t>
  </si>
  <si>
    <t>clenahank8@wikia.com</t>
  </si>
  <si>
    <t>Room 1628</t>
  </si>
  <si>
    <t>Khagrachhari</t>
  </si>
  <si>
    <t>4650-226</t>
  </si>
  <si>
    <t>Merla</t>
  </si>
  <si>
    <t>Steeden</t>
  </si>
  <si>
    <t>msteedenk9@tumblr.com</t>
  </si>
  <si>
    <t>Apt 13</t>
  </si>
  <si>
    <t>Sukasirna</t>
  </si>
  <si>
    <t>Basil Pesto Pasta</t>
  </si>
  <si>
    <t>Blane</t>
  </si>
  <si>
    <t>Galland</t>
  </si>
  <si>
    <t>bgallandka@pen.io</t>
  </si>
  <si>
    <t>Apt 1199</t>
  </si>
  <si>
    <t>Iwŏn-ŭp</t>
  </si>
  <si>
    <t>Apple Cinnamon Instant Oatmeal</t>
  </si>
  <si>
    <t>Torricella</t>
  </si>
  <si>
    <t>storricellakb@statcounter.com</t>
  </si>
  <si>
    <t>Las Palmas</t>
  </si>
  <si>
    <t>Guanajuato</t>
  </si>
  <si>
    <t>Mashed Sweet Potatoes</t>
  </si>
  <si>
    <t>Consuela</t>
  </si>
  <si>
    <t>Whitmore</t>
  </si>
  <si>
    <t>cwhitmorekc@uol.com.br</t>
  </si>
  <si>
    <t>PO Box 1501</t>
  </si>
  <si>
    <t>Wangwu</t>
  </si>
  <si>
    <t>4750-584</t>
  </si>
  <si>
    <t>Organic Brown Rice Cakes</t>
  </si>
  <si>
    <t>Wilhelmina</t>
  </si>
  <si>
    <t>Springtorp</t>
  </si>
  <si>
    <t>wspringtorpkd@europa.eu</t>
  </si>
  <si>
    <t>93214 CEDEX</t>
  </si>
  <si>
    <t>La Plaine-Saint-Denis</t>
  </si>
  <si>
    <t>LED Under Cabinet Lighting</t>
  </si>
  <si>
    <t>Letty</t>
  </si>
  <si>
    <t>Cardinale</t>
  </si>
  <si>
    <t>lcardinaleke@digg.com</t>
  </si>
  <si>
    <t>Tahala</t>
  </si>
  <si>
    <t>792 52</t>
  </si>
  <si>
    <t>Garlic Butter Sauce</t>
  </si>
  <si>
    <t>Herschel</t>
  </si>
  <si>
    <t>Winscum</t>
  </si>
  <si>
    <t>hwinscumkf@toplist.cz</t>
  </si>
  <si>
    <t>Room 14</t>
  </si>
  <si>
    <t>Makumbako</t>
  </si>
  <si>
    <t>Pineapple Coconut Bars</t>
  </si>
  <si>
    <t>Fairlie</t>
  </si>
  <si>
    <t>Airs</t>
  </si>
  <si>
    <t>fairskg@theglobeandmail.com</t>
  </si>
  <si>
    <t>Pokrovka</t>
  </si>
  <si>
    <t>519-3203</t>
  </si>
  <si>
    <t>LED Desk Light</t>
  </si>
  <si>
    <t>Bourke</t>
  </si>
  <si>
    <t>Habershon</t>
  </si>
  <si>
    <t>bhabershonkh@topsy.com</t>
  </si>
  <si>
    <t>PO Box 48833</t>
  </si>
  <si>
    <t>Minneapolis</t>
  </si>
  <si>
    <t>Bonhill</t>
  </si>
  <si>
    <t>jbonhillki@qq.com</t>
  </si>
  <si>
    <t>Room 1357</t>
  </si>
  <si>
    <t>Gabasumdo</t>
  </si>
  <si>
    <t>952-1203</t>
  </si>
  <si>
    <t>Abbott</t>
  </si>
  <si>
    <t>Creagh</t>
  </si>
  <si>
    <t>acreaghkj@free.fr</t>
  </si>
  <si>
    <t>Apt 826</t>
  </si>
  <si>
    <t>Çobansığnaq</t>
  </si>
  <si>
    <t>Casual Long Cardigan</t>
  </si>
  <si>
    <t>Newport</t>
  </si>
  <si>
    <t>mnewportkk@friendfeed.com</t>
  </si>
  <si>
    <t>Room 1211</t>
  </si>
  <si>
    <t>Dolinsk</t>
  </si>
  <si>
    <t>Coconut Chips</t>
  </si>
  <si>
    <t>Layton</t>
  </si>
  <si>
    <t>Jannaway</t>
  </si>
  <si>
    <t>ljannawaykl@cloudflare.com</t>
  </si>
  <si>
    <t>Hakha</t>
  </si>
  <si>
    <t>Pineapple Chunks (canned)</t>
  </si>
  <si>
    <t>Food - Fruits</t>
  </si>
  <si>
    <t>Mona</t>
  </si>
  <si>
    <t>Degoe</t>
  </si>
  <si>
    <t>mdegoekm@npr.org</t>
  </si>
  <si>
    <t>597 96</t>
  </si>
  <si>
    <t>Room 1712</t>
  </si>
  <si>
    <t>Åtvidaberg</t>
  </si>
  <si>
    <t>LED Flashing Pet Collar</t>
  </si>
  <si>
    <t>Artur</t>
  </si>
  <si>
    <t>Pawlaczyk</t>
  </si>
  <si>
    <t>apawlaczykkn@vistaprint.com</t>
  </si>
  <si>
    <t>69794 CEDEX</t>
  </si>
  <si>
    <t>Apt 1035</t>
  </si>
  <si>
    <t>Saint-Priest</t>
  </si>
  <si>
    <t>Cauliflower Rice Stir-Fry</t>
  </si>
  <si>
    <t>Melanie</t>
  </si>
  <si>
    <t>Vreede</t>
  </si>
  <si>
    <t>mvreedeko@example.com</t>
  </si>
  <si>
    <t>Pho Thong</t>
  </si>
  <si>
    <t>Trever</t>
  </si>
  <si>
    <t>Relph</t>
  </si>
  <si>
    <t>trelphkp@nsw.gov.au</t>
  </si>
  <si>
    <t>Nuevo Chamelecón</t>
  </si>
  <si>
    <t>Lucina</t>
  </si>
  <si>
    <t>Pumphrey</t>
  </si>
  <si>
    <t>lpumphreykq@devhub.com</t>
  </si>
  <si>
    <t>PO Box 75804</t>
  </si>
  <si>
    <t>Xinhe</t>
  </si>
  <si>
    <t>Nonah</t>
  </si>
  <si>
    <t>Spencers</t>
  </si>
  <si>
    <t>nspencerskr@techcrunch.com</t>
  </si>
  <si>
    <t>Room 1296</t>
  </si>
  <si>
    <t>Hengfeng</t>
  </si>
  <si>
    <t>610 25</t>
  </si>
  <si>
    <t>Enriqueta</t>
  </si>
  <si>
    <t>Dominec</t>
  </si>
  <si>
    <t>edominecks@upenn.edu</t>
  </si>
  <si>
    <t>Suite 57</t>
  </si>
  <si>
    <t>El Caño</t>
  </si>
  <si>
    <t>Himalayan Pink Salt</t>
  </si>
  <si>
    <t>Byrle</t>
  </si>
  <si>
    <t>Taffurelli</t>
  </si>
  <si>
    <t>btaffurellikt@cam.ac.uk</t>
  </si>
  <si>
    <t>11990-000</t>
  </si>
  <si>
    <t>Room 558</t>
  </si>
  <si>
    <t>Cambebba</t>
  </si>
  <si>
    <t>Magnetic Chess Set</t>
  </si>
  <si>
    <t>Jill</t>
  </si>
  <si>
    <t>O' Liddy</t>
  </si>
  <si>
    <t>joliddyku@google.fr</t>
  </si>
  <si>
    <t>PO Box 64994</t>
  </si>
  <si>
    <t>Surat Thani</t>
  </si>
  <si>
    <t>765 02</t>
  </si>
  <si>
    <t>Foam Muscle Roller</t>
  </si>
  <si>
    <t>Torritti</t>
  </si>
  <si>
    <t>mtorrittikv@imgur.com</t>
  </si>
  <si>
    <t>62247 CEDEX</t>
  </si>
  <si>
    <t>Noyelles-sous-Lens</t>
  </si>
  <si>
    <t>Pine Nuts</t>
  </si>
  <si>
    <t>Chalmers</t>
  </si>
  <si>
    <t>Padell</t>
  </si>
  <si>
    <t>cpadellkw@ed.gov</t>
  </si>
  <si>
    <t>Room 467</t>
  </si>
  <si>
    <t>Manding</t>
  </si>
  <si>
    <t>Carrot Ginger Soup</t>
  </si>
  <si>
    <t>Ariela</t>
  </si>
  <si>
    <t>Spelwood</t>
  </si>
  <si>
    <t>aspelwoodkx@howstuffworks.com</t>
  </si>
  <si>
    <t>Xinyang</t>
  </si>
  <si>
    <t>Jacquenette</t>
  </si>
  <si>
    <t>Zack</t>
  </si>
  <si>
    <t>jzackky@epa.gov</t>
  </si>
  <si>
    <t>Legrada</t>
  </si>
  <si>
    <t>Portable Electric Fan</t>
  </si>
  <si>
    <t>Simone</t>
  </si>
  <si>
    <t>Faiers</t>
  </si>
  <si>
    <t>sfaierskz@telegraph.co.uk</t>
  </si>
  <si>
    <t>Room 418</t>
  </si>
  <si>
    <t>Benito Juarez</t>
  </si>
  <si>
    <t>Vegetable Stir-Fry Sauce</t>
  </si>
  <si>
    <t>Alasteir</t>
  </si>
  <si>
    <t>Morland</t>
  </si>
  <si>
    <t>amorlandl0@chron.com</t>
  </si>
  <si>
    <t>Apt 1007</t>
  </si>
  <si>
    <t>Nicoya</t>
  </si>
  <si>
    <t>28890-000</t>
  </si>
  <si>
    <t>Sweet Potatoes (organic)</t>
  </si>
  <si>
    <t>Annabal</t>
  </si>
  <si>
    <t>Greenrod</t>
  </si>
  <si>
    <t>agreenrodl1@pagesperso-orange.fr</t>
  </si>
  <si>
    <t>Apt 876</t>
  </si>
  <si>
    <t>Kabalen</t>
  </si>
  <si>
    <t>2565-522</t>
  </si>
  <si>
    <t>Personalized Pet ID Tags</t>
  </si>
  <si>
    <t>Kaitlynn</t>
  </si>
  <si>
    <t>Headrick</t>
  </si>
  <si>
    <t>kheadrickl2@businessweek.com</t>
  </si>
  <si>
    <t>Taiyang</t>
  </si>
  <si>
    <t>39820-000</t>
  </si>
  <si>
    <t>Grapes (red)</t>
  </si>
  <si>
    <t>Karolina</t>
  </si>
  <si>
    <t>Keyser</t>
  </si>
  <si>
    <t>kkeyserl3@lycos.com</t>
  </si>
  <si>
    <t>Room 1057</t>
  </si>
  <si>
    <t>Wugong</t>
  </si>
  <si>
    <t>Non-Stick Grill Pan</t>
  </si>
  <si>
    <t>Vic</t>
  </si>
  <si>
    <t>Curror</t>
  </si>
  <si>
    <t>vcurrorl4@lycos.com</t>
  </si>
  <si>
    <t>Apt 747</t>
  </si>
  <si>
    <t>Mahong</t>
  </si>
  <si>
    <t>Roasted Red Pepper Sauce</t>
  </si>
  <si>
    <t>Bernette</t>
  </si>
  <si>
    <t>Credland</t>
  </si>
  <si>
    <t>bcredlandl5@ask.com</t>
  </si>
  <si>
    <t>Room 307</t>
  </si>
  <si>
    <t>Şuwayr</t>
  </si>
  <si>
    <t>Chicken Salad Kit</t>
  </si>
  <si>
    <t>Von Der Empten</t>
  </si>
  <si>
    <t>dvonderemptenl6@opera.com</t>
  </si>
  <si>
    <t>Vidoši</t>
  </si>
  <si>
    <t>Hettie</t>
  </si>
  <si>
    <t>Carlsson</t>
  </si>
  <si>
    <t>hcarlssonl7@weebly.com</t>
  </si>
  <si>
    <t>4620-875</t>
  </si>
  <si>
    <t>Azenha</t>
  </si>
  <si>
    <t>Caramelized Onion Dip Mix</t>
  </si>
  <si>
    <t>Hayden</t>
  </si>
  <si>
    <t>Elvey</t>
  </si>
  <si>
    <t>helveyl8@issuu.com</t>
  </si>
  <si>
    <t>75835-000</t>
  </si>
  <si>
    <t>Room 783</t>
  </si>
  <si>
    <t>Portelândia</t>
  </si>
  <si>
    <t>Reusable Snack Bags</t>
  </si>
  <si>
    <t>Ross</t>
  </si>
  <si>
    <t>Disbrey</t>
  </si>
  <si>
    <t>rdisbreyl9@mayoclinic.com</t>
  </si>
  <si>
    <t>335 24</t>
  </si>
  <si>
    <t>Gnosjö</t>
  </si>
  <si>
    <t>Jönköping</t>
  </si>
  <si>
    <t>Eco-Friendly Yoga Blocks</t>
  </si>
  <si>
    <t>Romy</t>
  </si>
  <si>
    <t>Stonnell</t>
  </si>
  <si>
    <t>rstonnellla@marriott.com</t>
  </si>
  <si>
    <t>J6S</t>
  </si>
  <si>
    <t>Room 1568</t>
  </si>
  <si>
    <t>Les Cèdres</t>
  </si>
  <si>
    <t>Frozen Berry Medley</t>
  </si>
  <si>
    <t>Johnnie</t>
  </si>
  <si>
    <t>Itzig</t>
  </si>
  <si>
    <t>jitziglb@istockphoto.com</t>
  </si>
  <si>
    <t>Georgia</t>
  </si>
  <si>
    <t>PO Box 29207</t>
  </si>
  <si>
    <t>Adigeni</t>
  </si>
  <si>
    <t>Coconut Cream Pie Yogurt</t>
  </si>
  <si>
    <t>Lyssa</t>
  </si>
  <si>
    <t>Vivians</t>
  </si>
  <si>
    <t>lvivianslc@eepurl.com</t>
  </si>
  <si>
    <t>Shāhīn Dezh</t>
  </si>
  <si>
    <t>Stainless Steel Water Bottle</t>
  </si>
  <si>
    <t>Maria</t>
  </si>
  <si>
    <t>Raggles</t>
  </si>
  <si>
    <t>mragglesld@people.com.cn</t>
  </si>
  <si>
    <t>Mbomba</t>
  </si>
  <si>
    <t>08209 CEDEX</t>
  </si>
  <si>
    <t>Indoor Plants</t>
  </si>
  <si>
    <t>Fidelia</t>
  </si>
  <si>
    <t>Rutland</t>
  </si>
  <si>
    <t>frutlandle@arizona.edu</t>
  </si>
  <si>
    <t>Tabinay</t>
  </si>
  <si>
    <t>Aldwin</t>
  </si>
  <si>
    <t>Jaan</t>
  </si>
  <si>
    <t>ajaanlf@tamu.edu</t>
  </si>
  <si>
    <t>P31</t>
  </si>
  <si>
    <t>PO Box 4305</t>
  </si>
  <si>
    <t>Cherryville</t>
  </si>
  <si>
    <t>Bluetooth Sleep Headphones</t>
  </si>
  <si>
    <t>Benito</t>
  </si>
  <si>
    <t>O'Lehane</t>
  </si>
  <si>
    <t>bolehanelg@va.gov</t>
  </si>
  <si>
    <t>Room 38</t>
  </si>
  <si>
    <t>Tagta</t>
  </si>
  <si>
    <t>Teriyaki Salmon Fillets</t>
  </si>
  <si>
    <t>Tremaine</t>
  </si>
  <si>
    <t>Calow</t>
  </si>
  <si>
    <t>tcalowlh@weibo.com</t>
  </si>
  <si>
    <t>Lekaj</t>
  </si>
  <si>
    <t>Vanilla Almond Granola</t>
  </si>
  <si>
    <t>Roxana</t>
  </si>
  <si>
    <t>Jamieson</t>
  </si>
  <si>
    <t>rjamiesonli@china.com.cn</t>
  </si>
  <si>
    <t>Room 1993</t>
  </si>
  <si>
    <t>Ulster Spring</t>
  </si>
  <si>
    <t>Dolf</t>
  </si>
  <si>
    <t>Risborough</t>
  </si>
  <si>
    <t>drisboroughlj@nsw.gov.au</t>
  </si>
  <si>
    <t>Apt 1985</t>
  </si>
  <si>
    <t>Mandal</t>
  </si>
  <si>
    <t>Stylish Wireless Earbuds</t>
  </si>
  <si>
    <t>Sara</t>
  </si>
  <si>
    <t>Romaines</t>
  </si>
  <si>
    <t>sromaineslk@printfriendly.com</t>
  </si>
  <si>
    <t>Room 1334</t>
  </si>
  <si>
    <t>Rešetari</t>
  </si>
  <si>
    <t>Bamboo Utensil Holder</t>
  </si>
  <si>
    <t>Troy</t>
  </si>
  <si>
    <t>Claeskens</t>
  </si>
  <si>
    <t>tclaeskensll@census.gov</t>
  </si>
  <si>
    <t>Room 1452</t>
  </si>
  <si>
    <t>Ngromo</t>
  </si>
  <si>
    <t>Bamboo Toothbrush Holder</t>
  </si>
  <si>
    <t>Concordia</t>
  </si>
  <si>
    <t>Guyers</t>
  </si>
  <si>
    <t>cguyerslm@sphinn.com</t>
  </si>
  <si>
    <t>3060-629</t>
  </si>
  <si>
    <t>PO Box 13931</t>
  </si>
  <si>
    <t>Cochadas</t>
  </si>
  <si>
    <t>Garlic and Herb Cream Cheese</t>
  </si>
  <si>
    <t>Curry</t>
  </si>
  <si>
    <t>Vowells</t>
  </si>
  <si>
    <t>cvowellsln@washingtonpost.com</t>
  </si>
  <si>
    <t>49500-000</t>
  </si>
  <si>
    <t>Itabaiana</t>
  </si>
  <si>
    <t>E4P</t>
  </si>
  <si>
    <t>Marcelline</t>
  </si>
  <si>
    <t>Tulloch</t>
  </si>
  <si>
    <t>mtullochlo@whitehouse.gov</t>
  </si>
  <si>
    <t>Apt 1957</t>
  </si>
  <si>
    <t>Aygek</t>
  </si>
  <si>
    <t>Tandoori Chicken Skewers</t>
  </si>
  <si>
    <t>Montgomery</t>
  </si>
  <si>
    <t>Osbiston</t>
  </si>
  <si>
    <t>mosbistonlp@people.com.cn</t>
  </si>
  <si>
    <t>Villa María</t>
  </si>
  <si>
    <t>62-410</t>
  </si>
  <si>
    <t>Karena</t>
  </si>
  <si>
    <t>Borrowman</t>
  </si>
  <si>
    <t>kborrowmanlq@ebay.com</t>
  </si>
  <si>
    <t>Apt 821</t>
  </si>
  <si>
    <t>Yangzhou</t>
  </si>
  <si>
    <t>Chino Shorts</t>
  </si>
  <si>
    <t>Bryant</t>
  </si>
  <si>
    <t>Jzak</t>
  </si>
  <si>
    <t>bjzaklr@i2i.jp</t>
  </si>
  <si>
    <t>Namibia</t>
  </si>
  <si>
    <t>Room 743</t>
  </si>
  <si>
    <t>Katima Mulilo</t>
  </si>
  <si>
    <t>Peach Salsa</t>
  </si>
  <si>
    <t>Food - Dips</t>
  </si>
  <si>
    <t>Alana</t>
  </si>
  <si>
    <t>Lightning</t>
  </si>
  <si>
    <t>alightningls@oracle.com</t>
  </si>
  <si>
    <t>Room 57</t>
  </si>
  <si>
    <t>Krasni Okny</t>
  </si>
  <si>
    <t>Inflatable Paddle Board</t>
  </si>
  <si>
    <t>Maynord</t>
  </si>
  <si>
    <t>mcranefieldlt@ow.ly</t>
  </si>
  <si>
    <t>Viga</t>
  </si>
  <si>
    <t>592 55</t>
  </si>
  <si>
    <t>Frozen Vegetarian Pizza</t>
  </si>
  <si>
    <t>Olia</t>
  </si>
  <si>
    <t>Yakubovics</t>
  </si>
  <si>
    <t>oyakubovicslu@skype.com</t>
  </si>
  <si>
    <t>Apt 1556</t>
  </si>
  <si>
    <t>Anrong</t>
  </si>
  <si>
    <t>Electric Pressure Cooker</t>
  </si>
  <si>
    <t>Vogt</t>
  </si>
  <si>
    <t>gvogtlv@thetimes.co.uk</t>
  </si>
  <si>
    <t>PO Box 43877</t>
  </si>
  <si>
    <t>Balangpule</t>
  </si>
  <si>
    <t>Smoked Gouda Cheese</t>
  </si>
  <si>
    <t>Alf</t>
  </si>
  <si>
    <t>Assaf</t>
  </si>
  <si>
    <t>aassaflw@bing.com</t>
  </si>
  <si>
    <t>Apt 85</t>
  </si>
  <si>
    <t>Tân Châu</t>
  </si>
  <si>
    <t>Peanut Butter Pretzel Nuggets</t>
  </si>
  <si>
    <t>Vonni</t>
  </si>
  <si>
    <t>Barrack</t>
  </si>
  <si>
    <t>vbarracklx@naver.com</t>
  </si>
  <si>
    <t>PO Box 95008</t>
  </si>
  <si>
    <t>Ciyun</t>
  </si>
  <si>
    <t>97-216</t>
  </si>
  <si>
    <t>Jaquenetta</t>
  </si>
  <si>
    <t>Paterson</t>
  </si>
  <si>
    <t>jpatersonly@instagram.com</t>
  </si>
  <si>
    <t>PO Box 31112</t>
  </si>
  <si>
    <t>Banjar Bengkelgede</t>
  </si>
  <si>
    <t>Pear and Gorgonzola Salad</t>
  </si>
  <si>
    <t>Russ</t>
  </si>
  <si>
    <t>Winterson</t>
  </si>
  <si>
    <t>rwintersonlz@jugem.jp</t>
  </si>
  <si>
    <t>Room 1713</t>
  </si>
  <si>
    <t>Bor Tungge</t>
  </si>
  <si>
    <t>Theodora</t>
  </si>
  <si>
    <t>Norris</t>
  </si>
  <si>
    <t>tnorrism0@reference.com</t>
  </si>
  <si>
    <t>Room 1851</t>
  </si>
  <si>
    <t>Lanxi</t>
  </si>
  <si>
    <t>American Samoa</t>
  </si>
  <si>
    <t>Underwater Camera</t>
  </si>
  <si>
    <t>Spehr</t>
  </si>
  <si>
    <t>zspehrm1@intel.com</t>
  </si>
  <si>
    <t>Apt 1936</t>
  </si>
  <si>
    <t>Lanjaghbyur</t>
  </si>
  <si>
    <t>4770-305</t>
  </si>
  <si>
    <t>Winifred</t>
  </si>
  <si>
    <t>Dearlove</t>
  </si>
  <si>
    <t>wdearlovem2@toplist.cz</t>
  </si>
  <si>
    <t>Mukun</t>
  </si>
  <si>
    <t>Roasted Garlic Aioli</t>
  </si>
  <si>
    <t>Ferdie</t>
  </si>
  <si>
    <t>Krishtopaittis</t>
  </si>
  <si>
    <t>fkrishtopaittism3@wunderground.com</t>
  </si>
  <si>
    <t>Telouet</t>
  </si>
  <si>
    <t>Coconut Oil Spray</t>
  </si>
  <si>
    <t>Food - Cooking Oils</t>
  </si>
  <si>
    <t>Eitter</t>
  </si>
  <si>
    <t>jeitterm4@slideshare.net</t>
  </si>
  <si>
    <t>PO Box 3283</t>
  </si>
  <si>
    <t>Fengcun</t>
  </si>
  <si>
    <t>LED Desk Lamp with USB Charging</t>
  </si>
  <si>
    <t>Jessee</t>
  </si>
  <si>
    <t>Drakeford</t>
  </si>
  <si>
    <t>jdrakefordm5@dropbox.com</t>
  </si>
  <si>
    <t>Room 1205</t>
  </si>
  <si>
    <t>Cumming</t>
  </si>
  <si>
    <t>J0N</t>
  </si>
  <si>
    <t>Customizable Name Plate</t>
  </si>
  <si>
    <t>Urson</t>
  </si>
  <si>
    <t>Petheridge</t>
  </si>
  <si>
    <t>upetheridgem6@php.net</t>
  </si>
  <si>
    <t>Apt 1647</t>
  </si>
  <si>
    <t>Kwakoa</t>
  </si>
  <si>
    <t>Savory Breakfast Sausage</t>
  </si>
  <si>
    <t>Barbabra</t>
  </si>
  <si>
    <t>O'Bruen</t>
  </si>
  <si>
    <t>bobruenm7@themeforest.net</t>
  </si>
  <si>
    <t>PO Box 36087</t>
  </si>
  <si>
    <t>Shuanglong</t>
  </si>
  <si>
    <t>Emergency Preparedness Kit</t>
  </si>
  <si>
    <t>Ginger</t>
  </si>
  <si>
    <t>Everiss</t>
  </si>
  <si>
    <t>geverissm8@bloglovin.com</t>
  </si>
  <si>
    <t>Heredia</t>
  </si>
  <si>
    <t>Estonia</t>
  </si>
  <si>
    <t>Gardening Fairy Figurines</t>
  </si>
  <si>
    <t>Rosemonde</t>
  </si>
  <si>
    <t>Pinshon</t>
  </si>
  <si>
    <t>rpinshonm9@ted.com</t>
  </si>
  <si>
    <t>Room 775</t>
  </si>
  <si>
    <t>Jūrīsh</t>
  </si>
  <si>
    <t>Bernhard</t>
  </si>
  <si>
    <t>Rablen</t>
  </si>
  <si>
    <t>brablenma@tinyurl.com</t>
  </si>
  <si>
    <t>58800-000</t>
  </si>
  <si>
    <t>PO Box 15922</t>
  </si>
  <si>
    <t>Sousa</t>
  </si>
  <si>
    <t>Electric Hot Pot</t>
  </si>
  <si>
    <t>Anson</t>
  </si>
  <si>
    <t>Ammer</t>
  </si>
  <si>
    <t>aammermb@e-recht24.de</t>
  </si>
  <si>
    <t>47-244</t>
  </si>
  <si>
    <t>PO Box 65660</t>
  </si>
  <si>
    <t>Dziergowice</t>
  </si>
  <si>
    <t>Caesar</t>
  </si>
  <si>
    <t>Kase</t>
  </si>
  <si>
    <t>ckasemc@gravatar.com</t>
  </si>
  <si>
    <t>Agpangi</t>
  </si>
  <si>
    <t>Puzzle</t>
  </si>
  <si>
    <t>Jefferey</t>
  </si>
  <si>
    <t>Link</t>
  </si>
  <si>
    <t>jlinkmd@canalblog.com</t>
  </si>
  <si>
    <t>Suite 47</t>
  </si>
  <si>
    <t>Az Zarbah</t>
  </si>
  <si>
    <t>18700-000</t>
  </si>
  <si>
    <t>Dominica</t>
  </si>
  <si>
    <t>Edmeads</t>
  </si>
  <si>
    <t>dedmeadsme@cargocollective.com</t>
  </si>
  <si>
    <t>Apt 1116</t>
  </si>
  <si>
    <t>Gandorhun</t>
  </si>
  <si>
    <t>Rainbow Veggie Chips</t>
  </si>
  <si>
    <t>Stocker</t>
  </si>
  <si>
    <t>jstockermf@photobucket.com</t>
  </si>
  <si>
    <t>Apt 1281</t>
  </si>
  <si>
    <t>Sirte</t>
  </si>
  <si>
    <t>32-031</t>
  </si>
  <si>
    <t>Cacao Nibs</t>
  </si>
  <si>
    <t>Kurtis</t>
  </si>
  <si>
    <t>Blacksland</t>
  </si>
  <si>
    <t>kblackslandmg@yahoo.com</t>
  </si>
  <si>
    <t>PO Box 81054</t>
  </si>
  <si>
    <t>Siva</t>
  </si>
  <si>
    <t>Nahum</t>
  </si>
  <si>
    <t>Dreossi</t>
  </si>
  <si>
    <t>ndreossimh@businesswire.com</t>
  </si>
  <si>
    <t>PO Box 40146</t>
  </si>
  <si>
    <t>Pingdingshan</t>
  </si>
  <si>
    <t>Branden</t>
  </si>
  <si>
    <t>Portam</t>
  </si>
  <si>
    <t>bportammi@apple.com</t>
  </si>
  <si>
    <t>Deqing</t>
  </si>
  <si>
    <t>Savory Pumpkin Soup</t>
  </si>
  <si>
    <t>De witt</t>
  </si>
  <si>
    <t>Mickelwright</t>
  </si>
  <si>
    <t>dmickelwrightmj@timesonline.co.uk</t>
  </si>
  <si>
    <t>Malta</t>
  </si>
  <si>
    <t>MQB</t>
  </si>
  <si>
    <t>Mqabba</t>
  </si>
  <si>
    <t>Lind</t>
  </si>
  <si>
    <t>Spencook</t>
  </si>
  <si>
    <t>lspencookmk@time.com</t>
  </si>
  <si>
    <t>PO Box 17666</t>
  </si>
  <si>
    <t>Syamzha</t>
  </si>
  <si>
    <t>Bahrain</t>
  </si>
  <si>
    <t>High-Top Leather Boots</t>
  </si>
  <si>
    <t>Jonas</t>
  </si>
  <si>
    <t>Mursell</t>
  </si>
  <si>
    <t>jmursellml@stumbleupon.com</t>
  </si>
  <si>
    <t>Room 1128</t>
  </si>
  <si>
    <t>Banjar Danginsema</t>
  </si>
  <si>
    <t>Kamila</t>
  </si>
  <si>
    <t>Coulthard</t>
  </si>
  <si>
    <t>kcoulthardmm@shop-pro.jp</t>
  </si>
  <si>
    <t>87840-000</t>
  </si>
  <si>
    <t>Mirador</t>
  </si>
  <si>
    <t>Maxi Wrap Dress</t>
  </si>
  <si>
    <t>Morna</t>
  </si>
  <si>
    <t>Wigin</t>
  </si>
  <si>
    <t>mwiginmn@kickstarter.com</t>
  </si>
  <si>
    <t>East Migpulao</t>
  </si>
  <si>
    <t>Fettuccine Alfredo Dinner Kit</t>
  </si>
  <si>
    <t>Jordanna</t>
  </si>
  <si>
    <t>Dewane</t>
  </si>
  <si>
    <t>jdewanemo@live.com</t>
  </si>
  <si>
    <t>Room 649</t>
  </si>
  <si>
    <t>Dolo</t>
  </si>
  <si>
    <t>Lurline</t>
  </si>
  <si>
    <t>Lesor</t>
  </si>
  <si>
    <t>llesormp@discuz.net</t>
  </si>
  <si>
    <t>Winter Haven</t>
  </si>
  <si>
    <t>Missenden</t>
  </si>
  <si>
    <t>bmissendenmq@sina.com.cn</t>
  </si>
  <si>
    <t>Apt 1988</t>
  </si>
  <si>
    <t>Varberg</t>
  </si>
  <si>
    <t>Kesley</t>
  </si>
  <si>
    <t>Mintrim</t>
  </si>
  <si>
    <t>kmintrimmr@furl.net</t>
  </si>
  <si>
    <t>925-0563</t>
  </si>
  <si>
    <t>Apt 1175</t>
  </si>
  <si>
    <t>Inashiki</t>
  </si>
  <si>
    <t>Carlota</t>
  </si>
  <si>
    <t>Riteley</t>
  </si>
  <si>
    <t>criteleyms@odnoklassniki.ru</t>
  </si>
  <si>
    <t>PO Box 89793</t>
  </si>
  <si>
    <t>Panbang</t>
  </si>
  <si>
    <t>Cotton Tote Bag Set</t>
  </si>
  <si>
    <t>Egor</t>
  </si>
  <si>
    <t>Paton</t>
  </si>
  <si>
    <t>epatonmt@timesonline.co.uk</t>
  </si>
  <si>
    <t>13290-000</t>
  </si>
  <si>
    <t>Louveira</t>
  </si>
  <si>
    <t>Bangs</t>
  </si>
  <si>
    <t>tbangsmu@slate.com</t>
  </si>
  <si>
    <t>PO Box 78071</t>
  </si>
  <si>
    <t>Kopychyntsi</t>
  </si>
  <si>
    <t>88900-000</t>
  </si>
  <si>
    <t>Crispy Kale Chips</t>
  </si>
  <si>
    <t>Loraine</t>
  </si>
  <si>
    <t>blorainemv@wordpress.com</t>
  </si>
  <si>
    <t>3100-327</t>
  </si>
  <si>
    <t>Casal Velho</t>
  </si>
  <si>
    <t>Fleece Throw Blanket</t>
  </si>
  <si>
    <t>Lily</t>
  </si>
  <si>
    <t>Sneath</t>
  </si>
  <si>
    <t>lsneathmw@time.com</t>
  </si>
  <si>
    <t>PO Box 98336</t>
  </si>
  <si>
    <t>Yulong</t>
  </si>
  <si>
    <t>446 38</t>
  </si>
  <si>
    <t>Sweet Potato Noodles</t>
  </si>
  <si>
    <t>Orville</t>
  </si>
  <si>
    <t>Episcopi</t>
  </si>
  <si>
    <t>oepiscopimx@redcross.org</t>
  </si>
  <si>
    <t>Kenya</t>
  </si>
  <si>
    <t>Londiani</t>
  </si>
  <si>
    <t>96450-000</t>
  </si>
  <si>
    <t>Silicone Baking Mats</t>
  </si>
  <si>
    <t>Rice</t>
  </si>
  <si>
    <t>Tatersale</t>
  </si>
  <si>
    <t>rtatersalemy@blogs.com</t>
  </si>
  <si>
    <t>Pyshchug</t>
  </si>
  <si>
    <t>2540-702</t>
  </si>
  <si>
    <t>Portable Solar Phone Charger</t>
  </si>
  <si>
    <t>Hesther</t>
  </si>
  <si>
    <t>Bernaldez</t>
  </si>
  <si>
    <t>hbernaldezmz@surveymonkey.com</t>
  </si>
  <si>
    <t>PO Box 92794</t>
  </si>
  <si>
    <t>Ciomas</t>
  </si>
  <si>
    <t>Mini Projector</t>
  </si>
  <si>
    <t>Filippo</t>
  </si>
  <si>
    <t>Connah</t>
  </si>
  <si>
    <t>fconnahn0@xinhuanet.com</t>
  </si>
  <si>
    <t>Room 582</t>
  </si>
  <si>
    <t>Sirnarasa</t>
  </si>
  <si>
    <t>Electric Pressure Washer</t>
  </si>
  <si>
    <t>Home Improvement</t>
  </si>
  <si>
    <t>Toddy</t>
  </si>
  <si>
    <t>Kehoe</t>
  </si>
  <si>
    <t>tkehoen1@devhub.com</t>
  </si>
  <si>
    <t>75582 CEDEX 12</t>
  </si>
  <si>
    <t>Paris 12</t>
  </si>
  <si>
    <t>Brice</t>
  </si>
  <si>
    <t>Piken</t>
  </si>
  <si>
    <t>bpikenn2@dion.ne.jp</t>
  </si>
  <si>
    <t>08-420</t>
  </si>
  <si>
    <t>Miastków Kościelny</t>
  </si>
  <si>
    <t>Yoga Strap</t>
  </si>
  <si>
    <t>Venita</t>
  </si>
  <si>
    <t>Napolitano</t>
  </si>
  <si>
    <t>vnapolitanon3@imgur.com</t>
  </si>
  <si>
    <t>Room 1535</t>
  </si>
  <si>
    <t>Novaya Usman’</t>
  </si>
  <si>
    <t>Laos</t>
  </si>
  <si>
    <t>Coconut Curry Lentil Soup</t>
  </si>
  <si>
    <t>Euphemia</t>
  </si>
  <si>
    <t>Munn</t>
  </si>
  <si>
    <t>emunnn4@jiathis.com</t>
  </si>
  <si>
    <t>Kristiansand S</t>
  </si>
  <si>
    <t>Vest-Agder</t>
  </si>
  <si>
    <t>36770-000</t>
  </si>
  <si>
    <t>Franni</t>
  </si>
  <si>
    <t>Maudling</t>
  </si>
  <si>
    <t>fmaudlingn5@flickr.com</t>
  </si>
  <si>
    <t>PO Box 91711</t>
  </si>
  <si>
    <t>Hubei</t>
  </si>
  <si>
    <t>Dolley</t>
  </si>
  <si>
    <t>Shillabear</t>
  </si>
  <si>
    <t>dshillabearn6@hc360.com</t>
  </si>
  <si>
    <t>PO Box 28036</t>
  </si>
  <si>
    <t>Canta</t>
  </si>
  <si>
    <t>97308 CEDEX</t>
  </si>
  <si>
    <t>French Guiana</t>
  </si>
  <si>
    <t>Isa</t>
  </si>
  <si>
    <t>Mash</t>
  </si>
  <si>
    <t>imashn7@is.gd</t>
  </si>
  <si>
    <t>Apt 58</t>
  </si>
  <si>
    <t>Selce</t>
  </si>
  <si>
    <t>Breezy Off-The-Shoulder Top</t>
  </si>
  <si>
    <t>Cole</t>
  </si>
  <si>
    <t>Barracks</t>
  </si>
  <si>
    <t>cbarracksn8@discuz.net</t>
  </si>
  <si>
    <t>Room 104</t>
  </si>
  <si>
    <t>Sena</t>
  </si>
  <si>
    <t>Stick Vacuums Cleaner</t>
  </si>
  <si>
    <t>Kendricks</t>
  </si>
  <si>
    <t>Seeds</t>
  </si>
  <si>
    <t>kseedsn9@weibo.com</t>
  </si>
  <si>
    <t>PO Box 76350</t>
  </si>
  <si>
    <t>Victoria</t>
  </si>
  <si>
    <t>Summer Tank Dress</t>
  </si>
  <si>
    <t>Pryor</t>
  </si>
  <si>
    <t>mpryorna@businessweek.com</t>
  </si>
  <si>
    <t>Vasylkiv</t>
  </si>
  <si>
    <t>Multi-Tool</t>
  </si>
  <si>
    <t>Miof mela</t>
  </si>
  <si>
    <t>Dowzell</t>
  </si>
  <si>
    <t>mdowzellnb@booking.com</t>
  </si>
  <si>
    <t>Apt 1702</t>
  </si>
  <si>
    <t>Vancouver</t>
  </si>
  <si>
    <t>Washington</t>
  </si>
  <si>
    <t>Puffed Rice Cake</t>
  </si>
  <si>
    <t>Ettore</t>
  </si>
  <si>
    <t>Ebsworth</t>
  </si>
  <si>
    <t>eebsworthnc@printfriendly.com</t>
  </si>
  <si>
    <t>4805-556</t>
  </si>
  <si>
    <t>PO Box 27616</t>
  </si>
  <si>
    <t>Sande Vila Nova</t>
  </si>
  <si>
    <t>Dried Apricots</t>
  </si>
  <si>
    <t>Richard</t>
  </si>
  <si>
    <t>Penton</t>
  </si>
  <si>
    <t>rpentonnd@toplist.cz</t>
  </si>
  <si>
    <t>Bangbayang Kaler</t>
  </si>
  <si>
    <t>Solar Power Bank</t>
  </si>
  <si>
    <t>Jobie</t>
  </si>
  <si>
    <t>Brookshaw</t>
  </si>
  <si>
    <t>jbrookshawne@xing.com</t>
  </si>
  <si>
    <t>PO Box 69125</t>
  </si>
  <si>
    <t>Munse</t>
  </si>
  <si>
    <t>Hannie</t>
  </si>
  <si>
    <t>Gonzalvo</t>
  </si>
  <si>
    <t>hgonzalvonf@reuters.com</t>
  </si>
  <si>
    <t>19500-000</t>
  </si>
  <si>
    <t>Apt 15</t>
  </si>
  <si>
    <t>Martinópolis</t>
  </si>
  <si>
    <t>Karen</t>
  </si>
  <si>
    <t>Wildgoose</t>
  </si>
  <si>
    <t>kwildgooseng@sphinn.com</t>
  </si>
  <si>
    <t>Room 41</t>
  </si>
  <si>
    <t>Jiulian</t>
  </si>
  <si>
    <t>Cocktail Shaker and Mixing Glass Set</t>
  </si>
  <si>
    <t>Perin</t>
  </si>
  <si>
    <t>jperinnh@newyorker.com</t>
  </si>
  <si>
    <t>Apt 607</t>
  </si>
  <si>
    <t>Banxi</t>
  </si>
  <si>
    <t>Margette</t>
  </si>
  <si>
    <t>Fisher</t>
  </si>
  <si>
    <t>mfisherni@noaa.gov</t>
  </si>
  <si>
    <t>PO Box 10708</t>
  </si>
  <si>
    <t>Divnomorskoye</t>
  </si>
  <si>
    <t>LED Canopy Lights</t>
  </si>
  <si>
    <t>Neils</t>
  </si>
  <si>
    <t>Mercer</t>
  </si>
  <si>
    <t>nmercernj@purevolume.com</t>
  </si>
  <si>
    <t>PO Box 20816</t>
  </si>
  <si>
    <t>Şafwá</t>
  </si>
  <si>
    <t>Donal</t>
  </si>
  <si>
    <t>Garth</t>
  </si>
  <si>
    <t>dgarthnk@biblegateway.com</t>
  </si>
  <si>
    <t>32450-000</t>
  </si>
  <si>
    <t>Sarzedo</t>
  </si>
  <si>
    <t>Quinoa &amp; Black Bean Salad</t>
  </si>
  <si>
    <t>Vasiliu</t>
  </si>
  <si>
    <t>ovasiliunl@go.com</t>
  </si>
  <si>
    <t>Room 1691</t>
  </si>
  <si>
    <t>Dosso</t>
  </si>
  <si>
    <t>Vinita</t>
  </si>
  <si>
    <t>Grece</t>
  </si>
  <si>
    <t>vgrecenm@rakuten.co.jp</t>
  </si>
  <si>
    <t>Room 1246</t>
  </si>
  <si>
    <t>Cajolá</t>
  </si>
  <si>
    <t>Garlic Herb Marinade</t>
  </si>
  <si>
    <t>Pepito</t>
  </si>
  <si>
    <t>Mifflin</t>
  </si>
  <si>
    <t>pmifflinnn@wordpress.org</t>
  </si>
  <si>
    <t>Altanbulag</t>
  </si>
  <si>
    <t>Peanut Butter Pretzel Bites</t>
  </si>
  <si>
    <t>Sheridan</t>
  </si>
  <si>
    <t>Banham</t>
  </si>
  <si>
    <t>sbanhamno@devhub.com</t>
  </si>
  <si>
    <t>Bello</t>
  </si>
  <si>
    <t>Silva</t>
  </si>
  <si>
    <t>Caramuscia</t>
  </si>
  <si>
    <t>scaramuscianp@mozilla.org</t>
  </si>
  <si>
    <t>Suite 33</t>
  </si>
  <si>
    <t>Botou</t>
  </si>
  <si>
    <t>Vegetable Lentil Soup</t>
  </si>
  <si>
    <t>Zola</t>
  </si>
  <si>
    <t>Kelleher</t>
  </si>
  <si>
    <t>zkellehernq@mtv.com</t>
  </si>
  <si>
    <t>96-214</t>
  </si>
  <si>
    <t>Cielądz</t>
  </si>
  <si>
    <t>48500-000</t>
  </si>
  <si>
    <t>Beef Jerky</t>
  </si>
  <si>
    <t>Mersey</t>
  </si>
  <si>
    <t>Browning</t>
  </si>
  <si>
    <t>mbrowningnr@hostgator.com</t>
  </si>
  <si>
    <t>Banān</t>
  </si>
  <si>
    <t>Spaghetti Sauce</t>
  </si>
  <si>
    <t>Valma</t>
  </si>
  <si>
    <t>Hargroves</t>
  </si>
  <si>
    <t>vhargrovesns@ftc.gov</t>
  </si>
  <si>
    <t>66-225</t>
  </si>
  <si>
    <t>PO Box 72292</t>
  </si>
  <si>
    <t>Szczaniec</t>
  </si>
  <si>
    <t>Blue Denim Jeans</t>
  </si>
  <si>
    <t>Gunter</t>
  </si>
  <si>
    <t>Wolfinger</t>
  </si>
  <si>
    <t>gwolfingernt@stumbleupon.com</t>
  </si>
  <si>
    <t>PO Box 75962</t>
  </si>
  <si>
    <t>Tabiauan</t>
  </si>
  <si>
    <t>Digital Food Scale</t>
  </si>
  <si>
    <t>Saree</t>
  </si>
  <si>
    <t>Brookesbie</t>
  </si>
  <si>
    <t>sbrookesbienu@theatlantic.com</t>
  </si>
  <si>
    <t>2540-170</t>
  </si>
  <si>
    <t>Suite 63</t>
  </si>
  <si>
    <t>Casalinho</t>
  </si>
  <si>
    <t>Barbados</t>
  </si>
  <si>
    <t>Butternut Squash Soup</t>
  </si>
  <si>
    <t>Ban</t>
  </si>
  <si>
    <t>Truscott</t>
  </si>
  <si>
    <t>btruscottnv@cloudflare.com</t>
  </si>
  <si>
    <t>PO Box 7306</t>
  </si>
  <si>
    <t>Xinzhou</t>
  </si>
  <si>
    <t>Caramel Sauce</t>
  </si>
  <si>
    <t>Jojo</t>
  </si>
  <si>
    <t>Fey</t>
  </si>
  <si>
    <t>jfeynw@ox.ac.uk</t>
  </si>
  <si>
    <t>PO Box 14114</t>
  </si>
  <si>
    <t>Sinubong</t>
  </si>
  <si>
    <t>Gaye</t>
  </si>
  <si>
    <t>Rees</t>
  </si>
  <si>
    <t>greesnx@epa.gov</t>
  </si>
  <si>
    <t>Room 1524</t>
  </si>
  <si>
    <t>Tournai</t>
  </si>
  <si>
    <t>Wallonie</t>
  </si>
  <si>
    <t>Baking Powder</t>
  </si>
  <si>
    <t>Nichole</t>
  </si>
  <si>
    <t>Berzons</t>
  </si>
  <si>
    <t>nberzonsny@constantcontact.com</t>
  </si>
  <si>
    <t>Lengor</t>
  </si>
  <si>
    <t>Dunc</t>
  </si>
  <si>
    <t>Ewer</t>
  </si>
  <si>
    <t>dewernz@nhs.uk</t>
  </si>
  <si>
    <t>Apt 1522</t>
  </si>
  <si>
    <t>Brailiv</t>
  </si>
  <si>
    <t>Tahini</t>
  </si>
  <si>
    <t>Elene</t>
  </si>
  <si>
    <t>Paxforde</t>
  </si>
  <si>
    <t>epaxfordeo0@guardian.co.uk</t>
  </si>
  <si>
    <t>Vicente Guerrero</t>
  </si>
  <si>
    <t>Oaxaca</t>
  </si>
  <si>
    <t>Strawberry Rhubarb Jam</t>
  </si>
  <si>
    <t>Giselle</t>
  </si>
  <si>
    <t>Paulig</t>
  </si>
  <si>
    <t>gpauligo1@livejournal.com</t>
  </si>
  <si>
    <t>MST</t>
  </si>
  <si>
    <t>Mosta</t>
  </si>
  <si>
    <t>Car Seat Organizer</t>
  </si>
  <si>
    <t>Kristoforo</t>
  </si>
  <si>
    <t>Waugh</t>
  </si>
  <si>
    <t>kwaugho2@bing.com</t>
  </si>
  <si>
    <t>PO Box 44062</t>
  </si>
  <si>
    <t>Bagumbayan</t>
  </si>
  <si>
    <t>Cinnamon Raisin Bread</t>
  </si>
  <si>
    <t>Henryetta</t>
  </si>
  <si>
    <t>Dalrymple</t>
  </si>
  <si>
    <t>hdalrympleo3@cocolog-nifty.com</t>
  </si>
  <si>
    <t>Room 1495</t>
  </si>
  <si>
    <t>Berbérati</t>
  </si>
  <si>
    <t>47-330</t>
  </si>
  <si>
    <t>Essential White Button-Up</t>
  </si>
  <si>
    <t>Callie</t>
  </si>
  <si>
    <t>O'Flaherty</t>
  </si>
  <si>
    <t>coflahertyo4@mozilla.com</t>
  </si>
  <si>
    <t>58278-000</t>
  </si>
  <si>
    <t>Jacaraú</t>
  </si>
  <si>
    <t>Valaree</t>
  </si>
  <si>
    <t>Edwins</t>
  </si>
  <si>
    <t>vedwinso5@mac.com</t>
  </si>
  <si>
    <t>Suite 30</t>
  </si>
  <si>
    <t>Bambakashat</t>
  </si>
  <si>
    <t>Dugue</t>
  </si>
  <si>
    <t>jdugueo6@redcross.org</t>
  </si>
  <si>
    <t>Apt 683</t>
  </si>
  <si>
    <t>Wuquan</t>
  </si>
  <si>
    <t>Ravel</t>
  </si>
  <si>
    <t>kravelo7@theguardian.com</t>
  </si>
  <si>
    <t>Room 227</t>
  </si>
  <si>
    <t>Gombe</t>
  </si>
  <si>
    <t>4960-349</t>
  </si>
  <si>
    <t>Portia</t>
  </si>
  <si>
    <t>Cave</t>
  </si>
  <si>
    <t>pcaveo8@wordpress.org</t>
  </si>
  <si>
    <t>Kawangu</t>
  </si>
  <si>
    <t>39390-000</t>
  </si>
  <si>
    <t>Ginger Snaps</t>
  </si>
  <si>
    <t>Atalanta</t>
  </si>
  <si>
    <t>Westall</t>
  </si>
  <si>
    <t>awestallo9@printfriendly.com</t>
  </si>
  <si>
    <t>122 32</t>
  </si>
  <si>
    <t>Room 1687</t>
  </si>
  <si>
    <t>Enskede</t>
  </si>
  <si>
    <t>Garam Masala Spice Blend</t>
  </si>
  <si>
    <t>Habercham</t>
  </si>
  <si>
    <t>jhaberchamoa@shinystat.com</t>
  </si>
  <si>
    <t>United Arab Emirates</t>
  </si>
  <si>
    <t>PO Box 36303</t>
  </si>
  <si>
    <t>Ajman</t>
  </si>
  <si>
    <t>Outdoor Camping Lantern</t>
  </si>
  <si>
    <t>Nevsa</t>
  </si>
  <si>
    <t>Paradise</t>
  </si>
  <si>
    <t>nparadiseob@aol.com</t>
  </si>
  <si>
    <t>4615-092</t>
  </si>
  <si>
    <t>PO Box 1645</t>
  </si>
  <si>
    <t>Cimo de Vila</t>
  </si>
  <si>
    <t>Smartphone Photography Ring Light</t>
  </si>
  <si>
    <t>Corry</t>
  </si>
  <si>
    <t>Hallward</t>
  </si>
  <si>
    <t>challwardoc@tmall.com</t>
  </si>
  <si>
    <t>33080 CEDEX</t>
  </si>
  <si>
    <t>PO Box 12303</t>
  </si>
  <si>
    <t>Scent Diffuser</t>
  </si>
  <si>
    <t>Dew</t>
  </si>
  <si>
    <t>Pfaff</t>
  </si>
  <si>
    <t>dpfaffod@networksolutions.com</t>
  </si>
  <si>
    <t>Room 1658</t>
  </si>
  <si>
    <t>Jixing</t>
  </si>
  <si>
    <t>Dish Rack</t>
  </si>
  <si>
    <t>Alysa</t>
  </si>
  <si>
    <t>Southern</t>
  </si>
  <si>
    <t>asouthernoe@unblog.fr</t>
  </si>
  <si>
    <t>Tajikistan</t>
  </si>
  <si>
    <t>PO Box 62808</t>
  </si>
  <si>
    <t>Khovaling</t>
  </si>
  <si>
    <t>Compact Digital Camera</t>
  </si>
  <si>
    <t>Bertie</t>
  </si>
  <si>
    <t>Crose</t>
  </si>
  <si>
    <t>bcroseof@addtoany.com</t>
  </si>
  <si>
    <t>PO Box 84347</t>
  </si>
  <si>
    <t>Pelym</t>
  </si>
  <si>
    <t>Lexie</t>
  </si>
  <si>
    <t>Samworth</t>
  </si>
  <si>
    <t>lsamworthog@cbslocal.com</t>
  </si>
  <si>
    <t>Ede</t>
  </si>
  <si>
    <t>Whole Chicken</t>
  </si>
  <si>
    <t>Andryushchenko</t>
  </si>
  <si>
    <t>sandryushchenkooh@tumblr.com</t>
  </si>
  <si>
    <t>Banī Suhaylā</t>
  </si>
  <si>
    <t>Monika</t>
  </si>
  <si>
    <t>Glackin</t>
  </si>
  <si>
    <t>mglackinoi@netscape.com</t>
  </si>
  <si>
    <t>501 78</t>
  </si>
  <si>
    <t>Apt 1830</t>
  </si>
  <si>
    <t>Borås</t>
  </si>
  <si>
    <t>Cajun Seasoning</t>
  </si>
  <si>
    <t>Janifer</t>
  </si>
  <si>
    <t>Pothbury</t>
  </si>
  <si>
    <t>jpothburyoj@wsj.com</t>
  </si>
  <si>
    <t>PO Box 69541</t>
  </si>
  <si>
    <t>Men's Waterproof Hiking Boots</t>
  </si>
  <si>
    <t>Shea</t>
  </si>
  <si>
    <t>Anand</t>
  </si>
  <si>
    <t>sanandok@skyrock.com</t>
  </si>
  <si>
    <t>Apt 207</t>
  </si>
  <si>
    <t>Jiangwan</t>
  </si>
  <si>
    <t>Ryburn</t>
  </si>
  <si>
    <t>dryburnol@skype.com</t>
  </si>
  <si>
    <t>Āq Qāyeh</t>
  </si>
  <si>
    <t>Athletic Jogging Jacket</t>
  </si>
  <si>
    <t>Tatum</t>
  </si>
  <si>
    <t>Joiris</t>
  </si>
  <si>
    <t>tjoirisom@gov.uk</t>
  </si>
  <si>
    <t>960-1476</t>
  </si>
  <si>
    <t>Room 865</t>
  </si>
  <si>
    <t>Ishikawa</t>
  </si>
  <si>
    <t>Wine Glasses</t>
  </si>
  <si>
    <t>Dre</t>
  </si>
  <si>
    <t>Kilfeder</t>
  </si>
  <si>
    <t>dkilfederon@123-reg.co.uk</t>
  </si>
  <si>
    <t>Sangallaya</t>
  </si>
  <si>
    <t>Demetria</t>
  </si>
  <si>
    <t>Sutherley</t>
  </si>
  <si>
    <t>dsutherleyoo@surveymonkey.com</t>
  </si>
  <si>
    <t>Room 1967</t>
  </si>
  <si>
    <t>Taganrog</t>
  </si>
  <si>
    <t>519-0142</t>
  </si>
  <si>
    <t>Kettle BBQ Grill</t>
  </si>
  <si>
    <t>Stefanie</t>
  </si>
  <si>
    <t>Fernandez</t>
  </si>
  <si>
    <t>sfernandezop@bravesites.com</t>
  </si>
  <si>
    <t>PO Box 15146</t>
  </si>
  <si>
    <t>San Alejandro</t>
  </si>
  <si>
    <t>Honey Mustard Sauce</t>
  </si>
  <si>
    <t>Shelton</t>
  </si>
  <si>
    <t>Judgkins</t>
  </si>
  <si>
    <t>sjudgkinsoq@nasa.gov</t>
  </si>
  <si>
    <t>Dabu</t>
  </si>
  <si>
    <t>Handheld Vacuum</t>
  </si>
  <si>
    <t>Orelle</t>
  </si>
  <si>
    <t>MacGillivrie</t>
  </si>
  <si>
    <t>omacgillivrieor@simplemachines.org</t>
  </si>
  <si>
    <t>PO Box 12153</t>
  </si>
  <si>
    <t>Saxin</t>
  </si>
  <si>
    <t>Canvas High-Top Sneakers</t>
  </si>
  <si>
    <t>Fredia</t>
  </si>
  <si>
    <t>Gair</t>
  </si>
  <si>
    <t>fgairos@amazon.co.uk</t>
  </si>
  <si>
    <t>Apt 1603</t>
  </si>
  <si>
    <t>Lela</t>
  </si>
  <si>
    <t>Lemon Zest Olive Oil</t>
  </si>
  <si>
    <t>Food - Oils &amp; Vinegars</t>
  </si>
  <si>
    <t>Beckie</t>
  </si>
  <si>
    <t>Plaister</t>
  </si>
  <si>
    <t>bplaisterot@about.com</t>
  </si>
  <si>
    <t>39-323</t>
  </si>
  <si>
    <t>Mielec</t>
  </si>
  <si>
    <t>33-180</t>
  </si>
  <si>
    <t>Natural Peanut Butter</t>
  </si>
  <si>
    <t>Wenona</t>
  </si>
  <si>
    <t>Brasener</t>
  </si>
  <si>
    <t>wbrasenerou@time.com</t>
  </si>
  <si>
    <t>Pet Travel Backpack Carrier</t>
  </si>
  <si>
    <t>Charmion</t>
  </si>
  <si>
    <t>de Courcey</t>
  </si>
  <si>
    <t>cdecourceyov@foxnews.com</t>
  </si>
  <si>
    <t>Apt 1136</t>
  </si>
  <si>
    <t>Laramate</t>
  </si>
  <si>
    <t>Wildflower Honey</t>
  </si>
  <si>
    <t>Astrid</t>
  </si>
  <si>
    <t>Bertlin</t>
  </si>
  <si>
    <t>abertlinow@is.gd</t>
  </si>
  <si>
    <t>PO Box 72996</t>
  </si>
  <si>
    <t>Atiquizaya</t>
  </si>
  <si>
    <t>Wallache</t>
  </si>
  <si>
    <t>Niezen</t>
  </si>
  <si>
    <t>wniezenox@cdbaby.com</t>
  </si>
  <si>
    <t>Room 1415</t>
  </si>
  <si>
    <t>Raejeru</t>
  </si>
  <si>
    <t>4520-162</t>
  </si>
  <si>
    <t>Organic Chia Seeds</t>
  </si>
  <si>
    <t>Food - Health Foods</t>
  </si>
  <si>
    <t>Rodolph</t>
  </si>
  <si>
    <t>Danielsen</t>
  </si>
  <si>
    <t>rdanielsenoy@simplemachines.org</t>
  </si>
  <si>
    <t>Apt 1937</t>
  </si>
  <si>
    <t>Córdoba</t>
  </si>
  <si>
    <t>Bud</t>
  </si>
  <si>
    <t>Talby</t>
  </si>
  <si>
    <t>btalbyoz@technorati.com</t>
  </si>
  <si>
    <t>Budrus</t>
  </si>
  <si>
    <t>2380-159</t>
  </si>
  <si>
    <t>Arlee</t>
  </si>
  <si>
    <t>Cartlidge</t>
  </si>
  <si>
    <t>acartlidgep0@facebook.com</t>
  </si>
  <si>
    <t>Hougang</t>
  </si>
  <si>
    <t>H9G</t>
  </si>
  <si>
    <t>Noise Reduction Headphones</t>
  </si>
  <si>
    <t>Georgy</t>
  </si>
  <si>
    <t>Tegeller</t>
  </si>
  <si>
    <t>gtegellerp1@netvibes.com</t>
  </si>
  <si>
    <t>Apt 1052</t>
  </si>
  <si>
    <t>LED Christmas Lights</t>
  </si>
  <si>
    <t>Bella</t>
  </si>
  <si>
    <t>Randle</t>
  </si>
  <si>
    <t>brandlep2@about.me</t>
  </si>
  <si>
    <t>Ciudad Guayana</t>
  </si>
  <si>
    <t>Breathable Face Mask Set</t>
  </si>
  <si>
    <t>Franny</t>
  </si>
  <si>
    <t>Bonn</t>
  </si>
  <si>
    <t>fbonnp3@slate.com</t>
  </si>
  <si>
    <t>Room 791</t>
  </si>
  <si>
    <t>Ulyanovsk</t>
  </si>
  <si>
    <t>2040-105</t>
  </si>
  <si>
    <t>Classic Caesar Salad Kit</t>
  </si>
  <si>
    <t>Timmi</t>
  </si>
  <si>
    <t>Pygott</t>
  </si>
  <si>
    <t>tpygottp4@theguardian.com</t>
  </si>
  <si>
    <t>Bronx</t>
  </si>
  <si>
    <t>Self-Inflating Camping Mattress</t>
  </si>
  <si>
    <t>Krimmer</t>
  </si>
  <si>
    <t>ckrimmerp5@nhs.uk</t>
  </si>
  <si>
    <t>PO Box 94558</t>
  </si>
  <si>
    <t>İsmayıllı</t>
  </si>
  <si>
    <t>Decorative Throw Blanket</t>
  </si>
  <si>
    <t>Micheline</t>
  </si>
  <si>
    <t>Larking</t>
  </si>
  <si>
    <t>mlarkingp6@wikispaces.com</t>
  </si>
  <si>
    <t>4540-579</t>
  </si>
  <si>
    <t>Apt 113</t>
  </si>
  <si>
    <t>Igreja</t>
  </si>
  <si>
    <t>Nickolaus</t>
  </si>
  <si>
    <t>Acomb</t>
  </si>
  <si>
    <t>nacombp7@cloudflare.com</t>
  </si>
  <si>
    <t>PO Box 97623</t>
  </si>
  <si>
    <t>Gaozhai</t>
  </si>
  <si>
    <t>Electric Heat Pad</t>
  </si>
  <si>
    <t>Maye</t>
  </si>
  <si>
    <t>Ashlee</t>
  </si>
  <si>
    <t>mashleep8@netvibes.com</t>
  </si>
  <si>
    <t>124 54</t>
  </si>
  <si>
    <t>PO Box 5172</t>
  </si>
  <si>
    <t>Bandhagen</t>
  </si>
  <si>
    <t>Action Camera</t>
  </si>
  <si>
    <t>Emmet</t>
  </si>
  <si>
    <t>Pettko</t>
  </si>
  <si>
    <t>epettkop9@bloglines.com</t>
  </si>
  <si>
    <t>33-181</t>
  </si>
  <si>
    <t>PO Box 63966</t>
  </si>
  <si>
    <t>Siemiechów</t>
  </si>
  <si>
    <t>18260-000</t>
  </si>
  <si>
    <t>Cork Yoga Mat</t>
  </si>
  <si>
    <t>Matthias</t>
  </si>
  <si>
    <t>Markwell</t>
  </si>
  <si>
    <t>mmarkwellpa@dailymotion.com</t>
  </si>
  <si>
    <t>Kirovs’k</t>
  </si>
  <si>
    <t>Weighted Blanket for Adults</t>
  </si>
  <si>
    <t>Valerye</t>
  </si>
  <si>
    <t>Eirwin</t>
  </si>
  <si>
    <t>veirwinpb@joomla.org</t>
  </si>
  <si>
    <t>Room 722</t>
  </si>
  <si>
    <t>Stuttgart</t>
  </si>
  <si>
    <t>Baden-Württemberg</t>
  </si>
  <si>
    <t>Salt and Pepper Grinder Set</t>
  </si>
  <si>
    <t>Rudsdale</t>
  </si>
  <si>
    <t>krudsdalepc@tinyurl.com</t>
  </si>
  <si>
    <t>Sanjia</t>
  </si>
  <si>
    <t>Craft Beer Mustard</t>
  </si>
  <si>
    <t>Marjorie</t>
  </si>
  <si>
    <t>Coast</t>
  </si>
  <si>
    <t>mcoastpd@behance.net</t>
  </si>
  <si>
    <t>Shanhou</t>
  </si>
  <si>
    <t>Kale Salad Kit</t>
  </si>
  <si>
    <t>Silvano</t>
  </si>
  <si>
    <t>Figgess</t>
  </si>
  <si>
    <t>sfiggesspe@ox.ac.uk</t>
  </si>
  <si>
    <t>Apt 204</t>
  </si>
  <si>
    <t>Neiguan</t>
  </si>
  <si>
    <t>Hiking Boots</t>
  </si>
  <si>
    <t>Christina</t>
  </si>
  <si>
    <t>Franceschielli</t>
  </si>
  <si>
    <t>cfranceschiellipf@unc.edu</t>
  </si>
  <si>
    <t>Room 120</t>
  </si>
  <si>
    <t>Siquanpu</t>
  </si>
  <si>
    <t>Athletic Compression Tights</t>
  </si>
  <si>
    <t>Clothing - Activewear</t>
  </si>
  <si>
    <t>Birdie</t>
  </si>
  <si>
    <t>Melmar</t>
  </si>
  <si>
    <t>bmelmarpg@webeden.co.uk</t>
  </si>
  <si>
    <t>Karangsumber</t>
  </si>
  <si>
    <t>15200-000</t>
  </si>
  <si>
    <t>Foldable Electric Scooter</t>
  </si>
  <si>
    <t>Kynthia</t>
  </si>
  <si>
    <t>Purchon</t>
  </si>
  <si>
    <t>kpurchonph@shareasale.com</t>
  </si>
  <si>
    <t>Apt 73</t>
  </si>
  <si>
    <t>Asen</t>
  </si>
  <si>
    <t>Decorative Wall Tapestry</t>
  </si>
  <si>
    <t>Den</t>
  </si>
  <si>
    <t>MacPhaden</t>
  </si>
  <si>
    <t>dmacphadenpi@purevolume.com</t>
  </si>
  <si>
    <t>PO Box 15293</t>
  </si>
  <si>
    <t>Lazarevac</t>
  </si>
  <si>
    <t>Nan</t>
  </si>
  <si>
    <t>Sidry</t>
  </si>
  <si>
    <t>nsidrypj@icio.us</t>
  </si>
  <si>
    <t>PO Box 66911</t>
  </si>
  <si>
    <t>Chợ Gạo</t>
  </si>
  <si>
    <t>2790-009</t>
  </si>
  <si>
    <t>Peanut Butter Banana Smoothie Mix</t>
  </si>
  <si>
    <t>Myrle</t>
  </si>
  <si>
    <t>Dunan</t>
  </si>
  <si>
    <t>mdunanpk@pcworld.com</t>
  </si>
  <si>
    <t>14500-000</t>
  </si>
  <si>
    <t>Room 1195</t>
  </si>
  <si>
    <t>Ituverava</t>
  </si>
  <si>
    <t>Electric Butter Churn</t>
  </si>
  <si>
    <t>Mendie</t>
  </si>
  <si>
    <t>Medway</t>
  </si>
  <si>
    <t>mmedwaypl@angelfire.com</t>
  </si>
  <si>
    <t>Cherven Bryag</t>
  </si>
  <si>
    <t>Daron</t>
  </si>
  <si>
    <t>Biesinger</t>
  </si>
  <si>
    <t>dbiesingerpm@hc360.com</t>
  </si>
  <si>
    <t>Longuita</t>
  </si>
  <si>
    <t>BD7</t>
  </si>
  <si>
    <t>Garlic Herb Cream Cheese</t>
  </si>
  <si>
    <t>Keeton</t>
  </si>
  <si>
    <t>dkeetonpn@techcrunch.com</t>
  </si>
  <si>
    <t>Na Kae</t>
  </si>
  <si>
    <t>Morris</t>
  </si>
  <si>
    <t>Cridlin</t>
  </si>
  <si>
    <t>mcridlinpo@fotki.com</t>
  </si>
  <si>
    <t>Apt 1771</t>
  </si>
  <si>
    <t>Kut Bak</t>
  </si>
  <si>
    <t>Smart Air Purifier</t>
  </si>
  <si>
    <t>Cyrille</t>
  </si>
  <si>
    <t>Easton</t>
  </si>
  <si>
    <t>ceastonpp@discuz.net</t>
  </si>
  <si>
    <t>Apt 321</t>
  </si>
  <si>
    <t>Huertas</t>
  </si>
  <si>
    <t>31044 CEDEX 9</t>
  </si>
  <si>
    <t>Phone Case</t>
  </si>
  <si>
    <t>Tedman</t>
  </si>
  <si>
    <t>Farens</t>
  </si>
  <si>
    <t>tfarenspq@msn.com</t>
  </si>
  <si>
    <t>Room 1270</t>
  </si>
  <si>
    <t>Hekou</t>
  </si>
  <si>
    <t>Spinach and Cheese Stuffed Shells</t>
  </si>
  <si>
    <t>Lindeboom</t>
  </si>
  <si>
    <t>nlindeboompr@fotki.com</t>
  </si>
  <si>
    <t>Room 1933</t>
  </si>
  <si>
    <t>El Hamma</t>
  </si>
  <si>
    <t>Chocolate Coconut Granola</t>
  </si>
  <si>
    <t>Forster</t>
  </si>
  <si>
    <t>eforsterps@yale.edu</t>
  </si>
  <si>
    <t>Room 118</t>
  </si>
  <si>
    <t>Ningdun</t>
  </si>
  <si>
    <t>Lesli</t>
  </si>
  <si>
    <t>Brandrick</t>
  </si>
  <si>
    <t>lbrandrickpt@discovery.com</t>
  </si>
  <si>
    <t>Swaziland</t>
  </si>
  <si>
    <t>Tshaneni</t>
  </si>
  <si>
    <t>Self-Cleaning Cat Litter Box</t>
  </si>
  <si>
    <t>Zelda</t>
  </si>
  <si>
    <t>Stears</t>
  </si>
  <si>
    <t>zstearspu@altervista.org</t>
  </si>
  <si>
    <t>Apt 54</t>
  </si>
  <si>
    <t>Aigínio</t>
  </si>
  <si>
    <t>Personal Blender with Cups</t>
  </si>
  <si>
    <t>Paulina</t>
  </si>
  <si>
    <t>Hartington</t>
  </si>
  <si>
    <t>phartingtonpv@sakura.ne.jp</t>
  </si>
  <si>
    <t>74-210</t>
  </si>
  <si>
    <t>Apt 814</t>
  </si>
  <si>
    <t>Przelewice</t>
  </si>
  <si>
    <t>Nicholle</t>
  </si>
  <si>
    <t>Vanin</t>
  </si>
  <si>
    <t>nvaninpw@aboutads.info</t>
  </si>
  <si>
    <t>PO Box 51838</t>
  </si>
  <si>
    <t>Skip</t>
  </si>
  <si>
    <t>Maylin</t>
  </si>
  <si>
    <t>smaylinpx@loc.gov</t>
  </si>
  <si>
    <t>PO Box 58661</t>
  </si>
  <si>
    <t>Cicayur</t>
  </si>
  <si>
    <t>Falafel Mix</t>
  </si>
  <si>
    <t>Food - Baking &amp; Cooking</t>
  </si>
  <si>
    <t>Trescha</t>
  </si>
  <si>
    <t>Senter</t>
  </si>
  <si>
    <t>tsenterpy@wufoo.com</t>
  </si>
  <si>
    <t>Aruba</t>
  </si>
  <si>
    <t>Apt 394</t>
  </si>
  <si>
    <t>Oranjestad</t>
  </si>
  <si>
    <t>Chocolate Hazelnut Granola</t>
  </si>
  <si>
    <t>Obed</t>
  </si>
  <si>
    <t>Vezey</t>
  </si>
  <si>
    <t>ovezeypz@reference.com</t>
  </si>
  <si>
    <t>PO Box 58821</t>
  </si>
  <si>
    <t>Karangtalun</t>
  </si>
  <si>
    <t>Ketti</t>
  </si>
  <si>
    <t>Filipychev</t>
  </si>
  <si>
    <t>kfilipychevq0@4shared.com</t>
  </si>
  <si>
    <t>Room 1841</t>
  </si>
  <si>
    <t>Abbotsford</t>
  </si>
  <si>
    <t>British Columbia</t>
  </si>
  <si>
    <t>Caroljean</t>
  </si>
  <si>
    <t>Bolf</t>
  </si>
  <si>
    <t>cbolfq1@google.com.hk</t>
  </si>
  <si>
    <t>Apt 677</t>
  </si>
  <si>
    <t>Kylie</t>
  </si>
  <si>
    <t>Sawford</t>
  </si>
  <si>
    <t>ksawfordq2@hubpages.com</t>
  </si>
  <si>
    <t>46004 CEDEX 9</t>
  </si>
  <si>
    <t>Apt 1626</t>
  </si>
  <si>
    <t>Cahors</t>
  </si>
  <si>
    <t>Karel</t>
  </si>
  <si>
    <t>Dressel</t>
  </si>
  <si>
    <t>kdresselq3@toplist.cz</t>
  </si>
  <si>
    <t>Pukkila</t>
  </si>
  <si>
    <t>Mommy</t>
  </si>
  <si>
    <t>Ackers</t>
  </si>
  <si>
    <t>mackersq4@whitehouse.gov</t>
  </si>
  <si>
    <t>Semarang</t>
  </si>
  <si>
    <t>Calla</t>
  </si>
  <si>
    <t>Durrance</t>
  </si>
  <si>
    <t>cdurranceq5@patch.com</t>
  </si>
  <si>
    <t>Prao</t>
  </si>
  <si>
    <t>62-620</t>
  </si>
  <si>
    <t>Chocolate Coconut Protein Balls</t>
  </si>
  <si>
    <t>Margaretha</t>
  </si>
  <si>
    <t>Mc Grath</t>
  </si>
  <si>
    <t>mmcgrathq6@ted.com</t>
  </si>
  <si>
    <t>Apt 1867</t>
  </si>
  <si>
    <t>Guyangan</t>
  </si>
  <si>
    <t>Kettle Chip Variety Pack</t>
  </si>
  <si>
    <t>Teri</t>
  </si>
  <si>
    <t>Sherlaw</t>
  </si>
  <si>
    <t>tsherlawq7@blogs.com</t>
  </si>
  <si>
    <t>999-0141</t>
  </si>
  <si>
    <t>Takayama</t>
  </si>
  <si>
    <t>Coconut Water</t>
  </si>
  <si>
    <t>Kellen</t>
  </si>
  <si>
    <t>kralphq8@about.com</t>
  </si>
  <si>
    <t>PO Box 63469</t>
  </si>
  <si>
    <t>Lensk</t>
  </si>
  <si>
    <t>Augustine</t>
  </si>
  <si>
    <t>Carress</t>
  </si>
  <si>
    <t>acarressq9@upenn.edu</t>
  </si>
  <si>
    <t>Kontiolahti</t>
  </si>
  <si>
    <t>Ice Cream Scoop</t>
  </si>
  <si>
    <t>Megan</t>
  </si>
  <si>
    <t>Round</t>
  </si>
  <si>
    <t>mroundqa@mail.ru</t>
  </si>
  <si>
    <t>Room 1630</t>
  </si>
  <si>
    <t>Zhengchang</t>
  </si>
  <si>
    <t>Yankee</t>
  </si>
  <si>
    <t>Ickovits</t>
  </si>
  <si>
    <t>yickovitsqb@ebay.co.uk</t>
  </si>
  <si>
    <t>Taphan Hin</t>
  </si>
  <si>
    <t>Frank</t>
  </si>
  <si>
    <t>MacCaughan</t>
  </si>
  <si>
    <t>fmaccaughanqc@huffingtonpost.com</t>
  </si>
  <si>
    <t>690-1115</t>
  </si>
  <si>
    <t>Matsue-shi</t>
  </si>
  <si>
    <t>Noemi</t>
  </si>
  <si>
    <t>Aspinall</t>
  </si>
  <si>
    <t>naspinallqd@freewebs.com</t>
  </si>
  <si>
    <t>Dusun Desa Bunter</t>
  </si>
  <si>
    <t>Safety Goggles</t>
  </si>
  <si>
    <t>Madelaine</t>
  </si>
  <si>
    <t>Jirik</t>
  </si>
  <si>
    <t>mjirikqe@chron.com</t>
  </si>
  <si>
    <t>630-2355</t>
  </si>
  <si>
    <t>Ōmagari</t>
  </si>
  <si>
    <t>Italian Marinara Sauce</t>
  </si>
  <si>
    <t>Chaffe</t>
  </si>
  <si>
    <t>echaffeqf@sakura.ne.jp</t>
  </si>
  <si>
    <t>Longtan</t>
  </si>
  <si>
    <t>4805-583</t>
  </si>
  <si>
    <t>Sergei</t>
  </si>
  <si>
    <t>Bugdall</t>
  </si>
  <si>
    <t>sbugdallqg@state.gov</t>
  </si>
  <si>
    <t>Karang Daye</t>
  </si>
  <si>
    <t>Feta Cheese</t>
  </si>
  <si>
    <t>Corrie</t>
  </si>
  <si>
    <t>Esseby</t>
  </si>
  <si>
    <t>cessebyqh@msu.edu</t>
  </si>
  <si>
    <t>869-0233</t>
  </si>
  <si>
    <t>Room 1050</t>
  </si>
  <si>
    <t>Koga</t>
  </si>
  <si>
    <t>06-225</t>
  </si>
  <si>
    <t>Ultraviolet Phone Sanitizer</t>
  </si>
  <si>
    <t>Judon</t>
  </si>
  <si>
    <t>Sparke</t>
  </si>
  <si>
    <t>jsparkeqi@list-manage.com</t>
  </si>
  <si>
    <t>59376 CEDEX 1</t>
  </si>
  <si>
    <t>Dunkerque</t>
  </si>
  <si>
    <t>Outdoor String Lights</t>
  </si>
  <si>
    <t>Katherina</t>
  </si>
  <si>
    <t>Guyet</t>
  </si>
  <si>
    <t>kguyetqj@latimes.com</t>
  </si>
  <si>
    <t>4575-069</t>
  </si>
  <si>
    <t>Serra</t>
  </si>
  <si>
    <t>Lucien</t>
  </si>
  <si>
    <t>Panner</t>
  </si>
  <si>
    <t>lpannerqk@who.int</t>
  </si>
  <si>
    <t>Room 299</t>
  </si>
  <si>
    <t>463 65</t>
  </si>
  <si>
    <t>Tattoo Kit</t>
  </si>
  <si>
    <t>Bromilow</t>
  </si>
  <si>
    <t>ebromilowql@bandcamp.com</t>
  </si>
  <si>
    <t>Apt 262</t>
  </si>
  <si>
    <t>Jos</t>
  </si>
  <si>
    <t>Chipotle Seasoning Blend</t>
  </si>
  <si>
    <t>Rodd</t>
  </si>
  <si>
    <t>Maulkin</t>
  </si>
  <si>
    <t>rmaulkinqm@tuttocitta.it</t>
  </si>
  <si>
    <t>PO Box 88395</t>
  </si>
  <si>
    <t>Bačka Palanka</t>
  </si>
  <si>
    <t>Zesty Cilantro Lime Dressing</t>
  </si>
  <si>
    <t>Chelsae</t>
  </si>
  <si>
    <t>cspelwoodqn@exblog.jp</t>
  </si>
  <si>
    <t>06224 CEDEX</t>
  </si>
  <si>
    <t>Apt 1283</t>
  </si>
  <si>
    <t>Vallauris</t>
  </si>
  <si>
    <t>Handmade Leather Wallet</t>
  </si>
  <si>
    <t>Britta</t>
  </si>
  <si>
    <t>Romei</t>
  </si>
  <si>
    <t>bromeiqo@japanpost.jp</t>
  </si>
  <si>
    <t>Sungsang</t>
  </si>
  <si>
    <t>Tomato Basil Soup</t>
  </si>
  <si>
    <t>Tades</t>
  </si>
  <si>
    <t>Mollen</t>
  </si>
  <si>
    <t>tmollenqp@vistaprint.com</t>
  </si>
  <si>
    <t>Room 1963</t>
  </si>
  <si>
    <t>Applewood Smoked Bacon</t>
  </si>
  <si>
    <t>Tracey</t>
  </si>
  <si>
    <t>Adnett</t>
  </si>
  <si>
    <t>tadnettqq@bluehost.com</t>
  </si>
  <si>
    <t>Apt 1044</t>
  </si>
  <si>
    <t>Cabangan</t>
  </si>
  <si>
    <t>Chiffon Blouse</t>
  </si>
  <si>
    <t>Kearney</t>
  </si>
  <si>
    <t>Truelock</t>
  </si>
  <si>
    <t>ktruelockqr@themeforest.net</t>
  </si>
  <si>
    <t>PO Box 48562</t>
  </si>
  <si>
    <t>Capas</t>
  </si>
  <si>
    <t>Organic Baby Spinach</t>
  </si>
  <si>
    <t>Nicko</t>
  </si>
  <si>
    <t>Lapthorne</t>
  </si>
  <si>
    <t>nlapthorneqs@comsenz.com</t>
  </si>
  <si>
    <t>PO Box 88983</t>
  </si>
  <si>
    <t>Chengjiao</t>
  </si>
  <si>
    <t>Hibiscus Herbal Tea</t>
  </si>
  <si>
    <t>Oralle</t>
  </si>
  <si>
    <t>Raine</t>
  </si>
  <si>
    <t>oraineqt@hud.gov</t>
  </si>
  <si>
    <t>Apt 238</t>
  </si>
  <si>
    <t>Butubut Norte</t>
  </si>
  <si>
    <t>Asian Noodle Salad Kit</t>
  </si>
  <si>
    <t>Denisyev</t>
  </si>
  <si>
    <t>jdenisyevqu@usgs.gov</t>
  </si>
  <si>
    <t>Chiriguaná</t>
  </si>
  <si>
    <t>Cranberry Almond Biscotti</t>
  </si>
  <si>
    <t>Adelaide</t>
  </si>
  <si>
    <t>Bert</t>
  </si>
  <si>
    <t>abertqv@istockphoto.com</t>
  </si>
  <si>
    <t>L-9780</t>
  </si>
  <si>
    <t>Room 1361</t>
  </si>
  <si>
    <t>Wincrange</t>
  </si>
  <si>
    <t>Danette</t>
  </si>
  <si>
    <t>Hairesnape</t>
  </si>
  <si>
    <t>dhairesnapeqw@ebay.com</t>
  </si>
  <si>
    <t>Room 930</t>
  </si>
  <si>
    <t>Santa Justina</t>
  </si>
  <si>
    <t>Desk Organizer Set</t>
  </si>
  <si>
    <t>Orrett</t>
  </si>
  <si>
    <t>correttqx@springer.com</t>
  </si>
  <si>
    <t>Room 217</t>
  </si>
  <si>
    <t>Bolhrad</t>
  </si>
  <si>
    <t>Spice Rack</t>
  </si>
  <si>
    <t>Pauly</t>
  </si>
  <si>
    <t>Boal</t>
  </si>
  <si>
    <t>pboalqy@earthlink.net</t>
  </si>
  <si>
    <t>Bluff</t>
  </si>
  <si>
    <t>Nero</t>
  </si>
  <si>
    <t>Artus</t>
  </si>
  <si>
    <t>nartusqz@thetimes.co.uk</t>
  </si>
  <si>
    <t>Yangjingziwan</t>
  </si>
  <si>
    <t>Creamy Spinach Dip</t>
  </si>
  <si>
    <t>Tawsha</t>
  </si>
  <si>
    <t>Dellatorre</t>
  </si>
  <si>
    <t>tdellatorrer0@drupal.org</t>
  </si>
  <si>
    <t>J7G</t>
  </si>
  <si>
    <t>Apt 1889</t>
  </si>
  <si>
    <t>Boisbriand</t>
  </si>
  <si>
    <t>35605 CEDEX</t>
  </si>
  <si>
    <t>Pandora</t>
  </si>
  <si>
    <t>pfrancer1@google.fr</t>
  </si>
  <si>
    <t>Irv</t>
  </si>
  <si>
    <t>Kyston</t>
  </si>
  <si>
    <t>ikystonr2@delicious.com</t>
  </si>
  <si>
    <t>Room 432</t>
  </si>
  <si>
    <t>Bealanana</t>
  </si>
  <si>
    <t>Pesto Pasta Salad</t>
  </si>
  <si>
    <t>Ronda</t>
  </si>
  <si>
    <t>Jouaneton</t>
  </si>
  <si>
    <t>rjouanetonr3@squarespace.com</t>
  </si>
  <si>
    <t>Bukama</t>
  </si>
  <si>
    <t>Beef Tacos</t>
  </si>
  <si>
    <t>Tarrance</t>
  </si>
  <si>
    <t>St Quenin</t>
  </si>
  <si>
    <t>tstqueninr4@google.com.au</t>
  </si>
  <si>
    <t>Perrelos</t>
  </si>
  <si>
    <t>Halley</t>
  </si>
  <si>
    <t>Knoller</t>
  </si>
  <si>
    <t>hknollerr5@bandcamp.com</t>
  </si>
  <si>
    <t>72091 CEDEX 9</t>
  </si>
  <si>
    <t>PO Box 87343</t>
  </si>
  <si>
    <t>Le Mans</t>
  </si>
  <si>
    <t>167 74</t>
  </si>
  <si>
    <t>Kellia</t>
  </si>
  <si>
    <t>Giacobelli</t>
  </si>
  <si>
    <t>kgiacobellir6@go.com</t>
  </si>
  <si>
    <t>Sŏnbong</t>
  </si>
  <si>
    <t>Professional Chef Knife</t>
  </si>
  <si>
    <t>Portman</t>
  </si>
  <si>
    <t>eportmanr7@epa.gov</t>
  </si>
  <si>
    <t>Eastern Suburbs Mc</t>
  </si>
  <si>
    <t>Cereal Dispenser with Portion Control</t>
  </si>
  <si>
    <t>Joni</t>
  </si>
  <si>
    <t>Cordery</t>
  </si>
  <si>
    <t>jcorderyr8@loc.gov</t>
  </si>
  <si>
    <t>4690-588</t>
  </si>
  <si>
    <t>Apt 961</t>
  </si>
  <si>
    <t>Vila Nova</t>
  </si>
  <si>
    <t>Viseu</t>
  </si>
  <si>
    <t>Chicken Parmesan Dinner Kit</t>
  </si>
  <si>
    <t>Kattie</t>
  </si>
  <si>
    <t>Sherel</t>
  </si>
  <si>
    <t>ksherelr9@deviantart.com</t>
  </si>
  <si>
    <t>PO Box 16736</t>
  </si>
  <si>
    <t>Hpa-an</t>
  </si>
  <si>
    <t>Lianna</t>
  </si>
  <si>
    <t>Winslade</t>
  </si>
  <si>
    <t>lwinsladera@accuweather.com</t>
  </si>
  <si>
    <t>PO Box 82245</t>
  </si>
  <si>
    <t>Nyimba</t>
  </si>
  <si>
    <t>Evvie</t>
  </si>
  <si>
    <t>Schachter</t>
  </si>
  <si>
    <t>eschachterrb@com.com</t>
  </si>
  <si>
    <t>Bantawora</t>
  </si>
  <si>
    <t>Silicone Cooking Utensils Set</t>
  </si>
  <si>
    <t>Yolande</t>
  </si>
  <si>
    <t>Dyke</t>
  </si>
  <si>
    <t>ydykerc@zdnet.com</t>
  </si>
  <si>
    <t>Room 955</t>
  </si>
  <si>
    <t>T9M</t>
  </si>
  <si>
    <t>Maridel</t>
  </si>
  <si>
    <t>Karmel</t>
  </si>
  <si>
    <t>mkarmelrd@washingtonpost.com</t>
  </si>
  <si>
    <t>639-2244</t>
  </si>
  <si>
    <t>Kashihara-shi</t>
  </si>
  <si>
    <t>Kessia</t>
  </si>
  <si>
    <t>Churms</t>
  </si>
  <si>
    <t>kchurmsre@google.nl</t>
  </si>
  <si>
    <t>463 42</t>
  </si>
  <si>
    <t>Apt 1189</t>
  </si>
  <si>
    <t>Hodkovice nad Mohelkou</t>
  </si>
  <si>
    <t>Peanut Butter Protein Balls</t>
  </si>
  <si>
    <t>Ninnette</t>
  </si>
  <si>
    <t>Zelland</t>
  </si>
  <si>
    <t>nzellandrf@aboutads.info</t>
  </si>
  <si>
    <t>Mórrope</t>
  </si>
  <si>
    <t>103 22</t>
  </si>
  <si>
    <t>Vegetable Sushi Rolls</t>
  </si>
  <si>
    <t>Freddy</t>
  </si>
  <si>
    <t>Hayland</t>
  </si>
  <si>
    <t>fhaylandrg@disqus.com</t>
  </si>
  <si>
    <t>Santa Fe</t>
  </si>
  <si>
    <t>Outdoor Picnic Blanket</t>
  </si>
  <si>
    <t>Tony</t>
  </si>
  <si>
    <t>Unitt</t>
  </si>
  <si>
    <t>tunittrh@independent.co.uk</t>
  </si>
  <si>
    <t>Habingkloang</t>
  </si>
  <si>
    <t>Peach Preserves</t>
  </si>
  <si>
    <t>Madel</t>
  </si>
  <si>
    <t>Dodshon</t>
  </si>
  <si>
    <t>mdodshonri@google.co.jp</t>
  </si>
  <si>
    <t>4755-318</t>
  </si>
  <si>
    <t>Room 967</t>
  </si>
  <si>
    <t>Midões</t>
  </si>
  <si>
    <t>Paprika</t>
  </si>
  <si>
    <t>Barr</t>
  </si>
  <si>
    <t>Gathwaite</t>
  </si>
  <si>
    <t>bgathwaiterj@un.org</t>
  </si>
  <si>
    <t>Apt 485</t>
  </si>
  <si>
    <t>Fashionable Belt Bag</t>
  </si>
  <si>
    <t>Dell 'Orto</t>
  </si>
  <si>
    <t>mdellortork@storify.com</t>
  </si>
  <si>
    <t>Hedi</t>
  </si>
  <si>
    <t>Fawcett</t>
  </si>
  <si>
    <t>zfawcettrl@usnews.com</t>
  </si>
  <si>
    <t>Erandique</t>
  </si>
  <si>
    <t>Whole Wheat Pasta</t>
  </si>
  <si>
    <t>Roderigo</t>
  </si>
  <si>
    <t>Pavlovic</t>
  </si>
  <si>
    <t>rpavlovicrm@arstechnica.com</t>
  </si>
  <si>
    <t>411 86</t>
  </si>
  <si>
    <t>Bechlín</t>
  </si>
  <si>
    <t>Blueberry Oatmeal Cups</t>
  </si>
  <si>
    <t>Wendeline</t>
  </si>
  <si>
    <t>Angell</t>
  </si>
  <si>
    <t>wangellrn@youtu.be</t>
  </si>
  <si>
    <t>Room 250</t>
  </si>
  <si>
    <t>Farmahīn</t>
  </si>
  <si>
    <t>Fitness Tracker Watch</t>
  </si>
  <si>
    <t>Bleasby</t>
  </si>
  <si>
    <t>jbleasbyro@walmart.com</t>
  </si>
  <si>
    <t>PO Box 14094</t>
  </si>
  <si>
    <t>La Esperanza</t>
  </si>
  <si>
    <t>Organic Quinoa</t>
  </si>
  <si>
    <t>Dedra</t>
  </si>
  <si>
    <t>Hollows</t>
  </si>
  <si>
    <t>dhollowsrp@pagesperso-orange.fr</t>
  </si>
  <si>
    <t>Apt 1886</t>
  </si>
  <si>
    <t>Clogherhead</t>
  </si>
  <si>
    <t>Diena</t>
  </si>
  <si>
    <t>Torrent</t>
  </si>
  <si>
    <t>dtorrentrq@gov.uk</t>
  </si>
  <si>
    <t>Apt 879</t>
  </si>
  <si>
    <t>Vanadzor</t>
  </si>
  <si>
    <t>Almond Joy Munch Bars</t>
  </si>
  <si>
    <t>Alberta</t>
  </si>
  <si>
    <t>Bellin</t>
  </si>
  <si>
    <t>abellinrr@rambler.ru</t>
  </si>
  <si>
    <t>Apt 1079</t>
  </si>
  <si>
    <t>Santa Marcela</t>
  </si>
  <si>
    <t>Product Name</t>
  </si>
  <si>
    <t>Product Category</t>
  </si>
  <si>
    <t>Total Quantity Sold</t>
  </si>
  <si>
    <t>Total Sales ($)</t>
  </si>
  <si>
    <t>Average price ($)</t>
  </si>
  <si>
    <t>Best selling product(Top 5)</t>
  </si>
  <si>
    <t>Customer Name</t>
  </si>
  <si>
    <t>Customer Email</t>
  </si>
  <si>
    <t>Country</t>
  </si>
  <si>
    <t>Total Orders</t>
  </si>
  <si>
    <t>Total Quantity</t>
  </si>
  <si>
    <t>Total Sales($)</t>
  </si>
  <si>
    <t>Transaction ID</t>
  </si>
  <si>
    <t>Transaction Date</t>
  </si>
  <si>
    <t>Quantity</t>
  </si>
  <si>
    <t>Total($)</t>
  </si>
  <si>
    <t>Payment Method</t>
  </si>
  <si>
    <t>KPI</t>
  </si>
  <si>
    <t>Value</t>
  </si>
  <si>
    <t>Top Product Name</t>
  </si>
  <si>
    <t>Top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</si>
</sst>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2" fontId="3" numFmtId="0" xfId="0" applyAlignment="1" applyBorder="1" applyFont="1">
      <alignment readingOrder="0"/>
    </xf>
    <xf borderId="0" fillId="2" fontId="2" numFmtId="0" xfId="0" applyFont="1"/>
    <xf borderId="0" fillId="0" fontId="2" numFmtId="0" xfId="0" applyFont="1"/>
    <xf borderId="1" fillId="2" fontId="3" numFmtId="0" xfId="0" applyBorder="1" applyFont="1"/>
    <xf borderId="0" fillId="0" fontId="2" numFmtId="164" xfId="0" applyFont="1" applyNumberFormat="1"/>
    <xf borderId="1" fillId="2" fontId="3" numFmtId="0" xfId="0" applyAlignment="1" applyBorder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0.5"/>
    <col customWidth="1" min="3" max="3" width="11.88"/>
    <col customWidth="1" min="4" max="4" width="15.63"/>
    <col customWidth="1" min="5" max="5" width="33.13"/>
    <col customWidth="1" min="6" max="6" width="22.0"/>
    <col customWidth="1" min="7" max="7" width="13.25"/>
    <col customWidth="1" min="8" max="8" width="19.5"/>
    <col customWidth="1" min="9" max="9" width="19.25"/>
    <col customWidth="1" min="10" max="10" width="30.88"/>
    <col customWidth="1" min="11" max="11" width="26.38"/>
    <col customWidth="1" min="12" max="12" width="21.0"/>
    <col customWidth="1" min="13" max="13" width="19.0"/>
    <col customWidth="1" min="14" max="14" width="15.75"/>
    <col customWidth="1" min="15" max="15" width="16.13"/>
    <col customWidth="1" min="16" max="16" width="16.63"/>
    <col customWidth="1" min="17" max="17" width="21.25"/>
    <col customWidth="1" min="18" max="18" width="22.0"/>
    <col customWidth="1" min="19" max="19" width="17.5"/>
    <col customWidth="1" min="20" max="20" width="26.38"/>
    <col customWidth="1" min="21" max="2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2">
        <v>1.0</v>
      </c>
      <c r="C2" s="2">
        <v>1.0</v>
      </c>
      <c r="D2" s="3">
        <v>44227.0</v>
      </c>
      <c r="E2" s="2" t="s">
        <v>21</v>
      </c>
      <c r="F2" s="2" t="s">
        <v>22</v>
      </c>
      <c r="G2" s="2">
        <v>440.91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54.0</v>
      </c>
      <c r="N2" s="2">
        <v>2305.58</v>
      </c>
      <c r="O2" s="2" t="s">
        <v>28</v>
      </c>
      <c r="P2" s="2" t="s">
        <v>29</v>
      </c>
      <c r="Q2" s="2" t="s">
        <v>30</v>
      </c>
      <c r="R2" s="2" t="s">
        <v>31</v>
      </c>
      <c r="T2" s="2" t="s">
        <v>32</v>
      </c>
      <c r="U2" s="2" t="s">
        <v>33</v>
      </c>
    </row>
    <row r="3">
      <c r="A3" s="2">
        <v>2.0</v>
      </c>
      <c r="B3" s="2">
        <v>2.0</v>
      </c>
      <c r="C3" s="2">
        <v>2.0</v>
      </c>
      <c r="D3" s="3">
        <v>44046.0</v>
      </c>
      <c r="E3" s="2" t="s">
        <v>34</v>
      </c>
      <c r="F3" s="2" t="s">
        <v>35</v>
      </c>
      <c r="G3" s="2">
        <v>914.38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>
        <v>75.0</v>
      </c>
      <c r="N3" s="2">
        <v>2292.82</v>
      </c>
      <c r="O3" s="2" t="s">
        <v>41</v>
      </c>
      <c r="P3" s="2" t="s">
        <v>42</v>
      </c>
      <c r="Q3" s="2" t="s">
        <v>43</v>
      </c>
      <c r="R3" s="2" t="s">
        <v>44</v>
      </c>
      <c r="S3" s="2">
        <v>47001.0</v>
      </c>
      <c r="T3" s="2" t="s">
        <v>45</v>
      </c>
      <c r="U3" s="2" t="s">
        <v>46</v>
      </c>
    </row>
    <row r="4">
      <c r="A4" s="2">
        <v>3.0</v>
      </c>
      <c r="B4" s="2">
        <v>3.0</v>
      </c>
      <c r="C4" s="2">
        <v>3.0</v>
      </c>
      <c r="D4" s="3">
        <v>43916.0</v>
      </c>
      <c r="E4" s="2" t="s">
        <v>47</v>
      </c>
      <c r="F4" s="2" t="s">
        <v>48</v>
      </c>
      <c r="G4" s="2">
        <v>189.34</v>
      </c>
      <c r="H4" s="2" t="s">
        <v>49</v>
      </c>
      <c r="I4" s="2" t="s">
        <v>50</v>
      </c>
      <c r="J4" s="2" t="s">
        <v>51</v>
      </c>
      <c r="K4" s="2" t="s">
        <v>32</v>
      </c>
      <c r="M4" s="2">
        <v>70.0</v>
      </c>
      <c r="N4" s="2">
        <v>205.91</v>
      </c>
      <c r="O4" s="2" t="s">
        <v>52</v>
      </c>
      <c r="P4" s="2" t="s">
        <v>53</v>
      </c>
      <c r="Q4" s="2" t="s">
        <v>54</v>
      </c>
      <c r="T4" s="2" t="s">
        <v>32</v>
      </c>
      <c r="U4" s="2" t="s">
        <v>46</v>
      </c>
    </row>
    <row r="5">
      <c r="A5" s="2">
        <v>4.0</v>
      </c>
      <c r="B5" s="2">
        <v>4.0</v>
      </c>
      <c r="C5" s="2">
        <v>4.0</v>
      </c>
      <c r="D5" s="3">
        <v>44247.0</v>
      </c>
      <c r="E5" s="2" t="s">
        <v>55</v>
      </c>
      <c r="F5" s="2" t="s">
        <v>56</v>
      </c>
      <c r="G5" s="2">
        <v>429.24</v>
      </c>
      <c r="H5" s="2" t="s">
        <v>57</v>
      </c>
      <c r="I5" s="2" t="s">
        <v>58</v>
      </c>
      <c r="J5" s="2" t="s">
        <v>59</v>
      </c>
      <c r="K5" s="2" t="s">
        <v>32</v>
      </c>
      <c r="M5" s="2">
        <v>93.0</v>
      </c>
      <c r="N5" s="2">
        <v>8714.41</v>
      </c>
      <c r="O5" s="2" t="s">
        <v>28</v>
      </c>
      <c r="P5" s="2" t="s">
        <v>60</v>
      </c>
      <c r="Q5" s="2" t="s">
        <v>61</v>
      </c>
      <c r="T5" s="2" t="s">
        <v>62</v>
      </c>
      <c r="U5" s="2" t="s">
        <v>33</v>
      </c>
    </row>
    <row r="6">
      <c r="A6" s="2">
        <v>5.0</v>
      </c>
      <c r="B6" s="2">
        <v>5.0</v>
      </c>
      <c r="C6" s="2">
        <v>5.0</v>
      </c>
      <c r="D6" s="3">
        <v>44011.0</v>
      </c>
      <c r="E6" s="2" t="s">
        <v>63</v>
      </c>
      <c r="F6" s="2" t="s">
        <v>64</v>
      </c>
      <c r="G6" s="2">
        <v>162.61</v>
      </c>
      <c r="H6" s="2" t="s">
        <v>65</v>
      </c>
      <c r="I6" s="2" t="s">
        <v>66</v>
      </c>
      <c r="J6" s="2" t="s">
        <v>67</v>
      </c>
      <c r="K6" s="2" t="s">
        <v>68</v>
      </c>
      <c r="L6" s="2">
        <v>142461.0</v>
      </c>
      <c r="M6" s="2">
        <v>25.0</v>
      </c>
      <c r="N6" s="2">
        <v>1881.39</v>
      </c>
      <c r="O6" s="2" t="s">
        <v>52</v>
      </c>
      <c r="P6" s="2" t="s">
        <v>69</v>
      </c>
      <c r="Q6" s="2" t="s">
        <v>70</v>
      </c>
      <c r="S6" s="2">
        <v>249144.0</v>
      </c>
      <c r="T6" s="2" t="s">
        <v>68</v>
      </c>
      <c r="U6" s="2" t="s">
        <v>71</v>
      </c>
    </row>
    <row r="7">
      <c r="A7" s="2">
        <v>6.0</v>
      </c>
      <c r="B7" s="2">
        <v>6.0</v>
      </c>
      <c r="C7" s="2">
        <v>6.0</v>
      </c>
      <c r="D7" s="3">
        <v>44236.0</v>
      </c>
      <c r="E7" s="2" t="s">
        <v>72</v>
      </c>
      <c r="F7" s="2" t="s">
        <v>73</v>
      </c>
      <c r="G7" s="2">
        <v>536.91</v>
      </c>
      <c r="H7" s="2" t="s">
        <v>74</v>
      </c>
      <c r="I7" s="2" t="s">
        <v>75</v>
      </c>
      <c r="J7" s="2" t="s">
        <v>76</v>
      </c>
      <c r="K7" s="2" t="s">
        <v>77</v>
      </c>
      <c r="M7" s="2">
        <v>36.0</v>
      </c>
      <c r="N7" s="2">
        <v>9400.42</v>
      </c>
      <c r="O7" s="2" t="s">
        <v>52</v>
      </c>
      <c r="P7" s="2" t="s">
        <v>78</v>
      </c>
      <c r="Q7" s="2" t="s">
        <v>79</v>
      </c>
      <c r="T7" s="2" t="s">
        <v>32</v>
      </c>
      <c r="U7" s="2" t="s">
        <v>71</v>
      </c>
    </row>
    <row r="8">
      <c r="A8" s="2">
        <v>7.0</v>
      </c>
      <c r="B8" s="2">
        <v>7.0</v>
      </c>
      <c r="C8" s="2">
        <v>7.0</v>
      </c>
      <c r="D8" s="3">
        <v>44455.0</v>
      </c>
      <c r="E8" s="2" t="s">
        <v>80</v>
      </c>
      <c r="F8" s="2" t="s">
        <v>73</v>
      </c>
      <c r="G8" s="2">
        <v>993.98</v>
      </c>
      <c r="H8" s="2" t="s">
        <v>81</v>
      </c>
      <c r="I8" s="2" t="s">
        <v>82</v>
      </c>
      <c r="J8" s="2" t="s">
        <v>83</v>
      </c>
      <c r="K8" s="2" t="s">
        <v>32</v>
      </c>
      <c r="M8" s="2">
        <v>69.0</v>
      </c>
      <c r="N8" s="2">
        <v>3048.02</v>
      </c>
      <c r="O8" s="2" t="s">
        <v>52</v>
      </c>
      <c r="P8" s="2" t="s">
        <v>84</v>
      </c>
      <c r="Q8" s="2" t="s">
        <v>85</v>
      </c>
      <c r="T8" s="2" t="s">
        <v>86</v>
      </c>
      <c r="U8" s="2" t="s">
        <v>71</v>
      </c>
    </row>
    <row r="9">
      <c r="A9" s="2">
        <v>8.0</v>
      </c>
      <c r="B9" s="2">
        <v>8.0</v>
      </c>
      <c r="C9" s="2">
        <v>8.0</v>
      </c>
      <c r="D9" s="3">
        <v>44206.0</v>
      </c>
      <c r="E9" s="2" t="s">
        <v>87</v>
      </c>
      <c r="F9" s="2" t="s">
        <v>88</v>
      </c>
      <c r="G9" s="2">
        <v>449.33</v>
      </c>
      <c r="H9" s="2" t="s">
        <v>89</v>
      </c>
      <c r="I9" s="2" t="s">
        <v>90</v>
      </c>
      <c r="J9" s="2" t="s">
        <v>91</v>
      </c>
      <c r="K9" s="2" t="s">
        <v>92</v>
      </c>
      <c r="M9" s="2">
        <v>25.0</v>
      </c>
      <c r="N9" s="2">
        <v>1135.79</v>
      </c>
      <c r="O9" s="2" t="s">
        <v>41</v>
      </c>
      <c r="P9" s="2" t="s">
        <v>93</v>
      </c>
      <c r="Q9" s="2" t="s">
        <v>94</v>
      </c>
      <c r="T9" s="2" t="s">
        <v>95</v>
      </c>
      <c r="U9" s="2" t="s">
        <v>71</v>
      </c>
    </row>
    <row r="10">
      <c r="A10" s="2">
        <v>9.0</v>
      </c>
      <c r="B10" s="2">
        <v>9.0</v>
      </c>
      <c r="C10" s="2">
        <v>9.0</v>
      </c>
      <c r="D10" s="3">
        <v>43840.0</v>
      </c>
      <c r="E10" s="2" t="s">
        <v>96</v>
      </c>
      <c r="F10" s="2" t="s">
        <v>97</v>
      </c>
      <c r="G10" s="2">
        <v>778.84</v>
      </c>
      <c r="H10" s="2" t="s">
        <v>98</v>
      </c>
      <c r="I10" s="2" t="s">
        <v>99</v>
      </c>
      <c r="J10" s="2" t="s">
        <v>100</v>
      </c>
      <c r="K10" s="2" t="s">
        <v>101</v>
      </c>
      <c r="L10" s="2">
        <v>91186.0</v>
      </c>
      <c r="M10" s="2">
        <v>20.0</v>
      </c>
      <c r="N10" s="2">
        <v>7919.81</v>
      </c>
      <c r="O10" s="2" t="s">
        <v>41</v>
      </c>
      <c r="P10" s="2" t="s">
        <v>102</v>
      </c>
      <c r="Q10" s="2" t="s">
        <v>103</v>
      </c>
      <c r="R10" s="2" t="s">
        <v>104</v>
      </c>
      <c r="S10" s="2" t="s">
        <v>105</v>
      </c>
      <c r="T10" s="2" t="s">
        <v>106</v>
      </c>
      <c r="U10" s="2" t="s">
        <v>71</v>
      </c>
    </row>
    <row r="11">
      <c r="A11" s="2">
        <v>10.0</v>
      </c>
      <c r="B11" s="2">
        <v>10.0</v>
      </c>
      <c r="C11" s="2">
        <v>10.0</v>
      </c>
      <c r="D11" s="3">
        <v>43901.0</v>
      </c>
      <c r="E11" s="2" t="s">
        <v>107</v>
      </c>
      <c r="F11" s="2" t="s">
        <v>73</v>
      </c>
      <c r="G11" s="2">
        <v>79.8</v>
      </c>
      <c r="H11" s="2" t="s">
        <v>108</v>
      </c>
      <c r="I11" s="2" t="s">
        <v>109</v>
      </c>
      <c r="J11" s="2" t="s">
        <v>110</v>
      </c>
      <c r="K11" s="2" t="s">
        <v>32</v>
      </c>
      <c r="M11" s="2">
        <v>39.0</v>
      </c>
      <c r="N11" s="2">
        <v>9904.39</v>
      </c>
      <c r="O11" s="2" t="s">
        <v>28</v>
      </c>
      <c r="P11" s="2" t="s">
        <v>111</v>
      </c>
      <c r="Q11" s="2" t="s">
        <v>112</v>
      </c>
      <c r="S11" s="2" t="s">
        <v>113</v>
      </c>
      <c r="T11" s="2" t="s">
        <v>114</v>
      </c>
      <c r="U11" s="2" t="s">
        <v>33</v>
      </c>
    </row>
    <row r="12">
      <c r="A12" s="2">
        <v>11.0</v>
      </c>
      <c r="B12" s="2">
        <v>11.0</v>
      </c>
      <c r="C12" s="2">
        <v>11.0</v>
      </c>
      <c r="D12" s="3">
        <v>44376.0</v>
      </c>
      <c r="E12" s="2" t="s">
        <v>115</v>
      </c>
      <c r="F12" s="2" t="s">
        <v>35</v>
      </c>
      <c r="G12" s="2">
        <v>488.82</v>
      </c>
      <c r="H12" s="2" t="s">
        <v>116</v>
      </c>
      <c r="I12" s="2" t="s">
        <v>117</v>
      </c>
      <c r="J12" s="2" t="s">
        <v>118</v>
      </c>
      <c r="K12" s="2" t="s">
        <v>119</v>
      </c>
      <c r="M12" s="2">
        <v>1.0</v>
      </c>
      <c r="N12" s="2">
        <v>5119.51</v>
      </c>
      <c r="O12" s="2" t="s">
        <v>52</v>
      </c>
      <c r="P12" s="2" t="s">
        <v>120</v>
      </c>
      <c r="Q12" s="2" t="s">
        <v>121</v>
      </c>
      <c r="T12" s="2" t="s">
        <v>32</v>
      </c>
      <c r="U12" s="2" t="s">
        <v>71</v>
      </c>
    </row>
    <row r="13">
      <c r="A13" s="2">
        <v>12.0</v>
      </c>
      <c r="B13" s="2">
        <v>12.0</v>
      </c>
      <c r="C13" s="2">
        <v>12.0</v>
      </c>
      <c r="D13" s="3">
        <v>44010.0</v>
      </c>
      <c r="E13" s="2" t="s">
        <v>122</v>
      </c>
      <c r="F13" s="2" t="s">
        <v>123</v>
      </c>
      <c r="G13" s="2">
        <v>488.74</v>
      </c>
      <c r="H13" s="2" t="s">
        <v>124</v>
      </c>
      <c r="I13" s="2" t="s">
        <v>125</v>
      </c>
      <c r="J13" s="2" t="s">
        <v>126</v>
      </c>
      <c r="K13" s="2" t="s">
        <v>127</v>
      </c>
      <c r="L13" s="2" t="s">
        <v>128</v>
      </c>
      <c r="M13" s="2">
        <v>49.0</v>
      </c>
      <c r="N13" s="2">
        <v>1482.23</v>
      </c>
      <c r="O13" s="2" t="s">
        <v>28</v>
      </c>
      <c r="P13" s="2" t="s">
        <v>129</v>
      </c>
      <c r="Q13" s="2" t="s">
        <v>130</v>
      </c>
      <c r="S13" s="2">
        <v>8914.0</v>
      </c>
      <c r="T13" s="2" t="s">
        <v>131</v>
      </c>
      <c r="U13" s="2" t="s">
        <v>33</v>
      </c>
    </row>
    <row r="14">
      <c r="A14" s="2">
        <v>13.0</v>
      </c>
      <c r="B14" s="2">
        <v>13.0</v>
      </c>
      <c r="C14" s="2">
        <v>13.0</v>
      </c>
      <c r="D14" s="3">
        <v>44119.0</v>
      </c>
      <c r="E14" s="2" t="s">
        <v>132</v>
      </c>
      <c r="F14" s="2" t="s">
        <v>133</v>
      </c>
      <c r="G14" s="2">
        <v>569.31</v>
      </c>
      <c r="H14" s="2" t="s">
        <v>134</v>
      </c>
      <c r="I14" s="2" t="s">
        <v>135</v>
      </c>
      <c r="J14" s="2" t="s">
        <v>136</v>
      </c>
      <c r="K14" s="2" t="s">
        <v>137</v>
      </c>
      <c r="M14" s="2">
        <v>78.0</v>
      </c>
      <c r="N14" s="2">
        <v>7984.75</v>
      </c>
      <c r="O14" s="2" t="s">
        <v>52</v>
      </c>
      <c r="P14" s="2" t="s">
        <v>138</v>
      </c>
      <c r="Q14" s="2" t="s">
        <v>139</v>
      </c>
      <c r="T14" s="2" t="s">
        <v>140</v>
      </c>
      <c r="U14" s="2" t="s">
        <v>71</v>
      </c>
    </row>
    <row r="15">
      <c r="A15" s="2">
        <v>14.0</v>
      </c>
      <c r="B15" s="2">
        <v>14.0</v>
      </c>
      <c r="C15" s="2">
        <v>14.0</v>
      </c>
      <c r="D15" s="3">
        <v>43895.0</v>
      </c>
      <c r="E15" s="2" t="s">
        <v>141</v>
      </c>
      <c r="F15" s="2" t="s">
        <v>142</v>
      </c>
      <c r="G15" s="2">
        <v>973.4</v>
      </c>
      <c r="H15" s="2" t="s">
        <v>143</v>
      </c>
      <c r="I15" s="2" t="s">
        <v>144</v>
      </c>
      <c r="J15" s="2" t="s">
        <v>145</v>
      </c>
      <c r="K15" s="2" t="s">
        <v>146</v>
      </c>
      <c r="M15" s="2">
        <v>11.0</v>
      </c>
      <c r="N15" s="2">
        <v>6223.28</v>
      </c>
      <c r="O15" s="2" t="s">
        <v>41</v>
      </c>
      <c r="P15" s="2" t="s">
        <v>147</v>
      </c>
      <c r="Q15" s="2" t="s">
        <v>148</v>
      </c>
      <c r="S15" s="2">
        <v>188667.0</v>
      </c>
      <c r="T15" s="2" t="s">
        <v>68</v>
      </c>
      <c r="U15" s="2" t="s">
        <v>33</v>
      </c>
    </row>
    <row r="16">
      <c r="A16" s="2">
        <v>15.0</v>
      </c>
      <c r="B16" s="2">
        <v>15.0</v>
      </c>
      <c r="C16" s="2">
        <v>15.0</v>
      </c>
      <c r="D16" s="3">
        <v>44124.0</v>
      </c>
      <c r="E16" s="2" t="s">
        <v>149</v>
      </c>
      <c r="F16" s="2" t="s">
        <v>22</v>
      </c>
      <c r="G16" s="2">
        <v>527.01</v>
      </c>
      <c r="H16" s="2" t="s">
        <v>150</v>
      </c>
      <c r="I16" s="2" t="s">
        <v>151</v>
      </c>
      <c r="J16" s="2" t="s">
        <v>152</v>
      </c>
      <c r="K16" s="2" t="s">
        <v>119</v>
      </c>
      <c r="M16" s="2">
        <v>21.0</v>
      </c>
      <c r="N16" s="2">
        <v>6990.63</v>
      </c>
      <c r="O16" s="2" t="s">
        <v>28</v>
      </c>
      <c r="P16" s="2" t="s">
        <v>153</v>
      </c>
      <c r="Q16" s="2" t="s">
        <v>154</v>
      </c>
      <c r="S16" s="2" t="s">
        <v>155</v>
      </c>
      <c r="T16" s="2" t="s">
        <v>39</v>
      </c>
      <c r="U16" s="2" t="s">
        <v>33</v>
      </c>
    </row>
    <row r="17">
      <c r="A17" s="2">
        <v>16.0</v>
      </c>
      <c r="B17" s="2">
        <v>16.0</v>
      </c>
      <c r="C17" s="2">
        <v>16.0</v>
      </c>
      <c r="D17" s="3">
        <v>43855.0</v>
      </c>
      <c r="E17" s="2" t="s">
        <v>156</v>
      </c>
      <c r="F17" s="2" t="s">
        <v>73</v>
      </c>
      <c r="G17" s="2">
        <v>711.82</v>
      </c>
      <c r="H17" s="2" t="s">
        <v>157</v>
      </c>
      <c r="I17" s="2" t="s">
        <v>158</v>
      </c>
      <c r="J17" s="2" t="s">
        <v>159</v>
      </c>
      <c r="K17" s="2" t="s">
        <v>119</v>
      </c>
      <c r="M17" s="2">
        <v>29.0</v>
      </c>
      <c r="N17" s="2">
        <v>4354.31</v>
      </c>
      <c r="O17" s="2" t="s">
        <v>28</v>
      </c>
      <c r="P17" s="2" t="s">
        <v>160</v>
      </c>
      <c r="Q17" s="2" t="s">
        <v>161</v>
      </c>
      <c r="S17" s="2" t="s">
        <v>162</v>
      </c>
      <c r="T17" s="2" t="s">
        <v>163</v>
      </c>
      <c r="U17" s="2" t="s">
        <v>33</v>
      </c>
    </row>
    <row r="18">
      <c r="A18" s="2">
        <v>17.0</v>
      </c>
      <c r="B18" s="2">
        <v>17.0</v>
      </c>
      <c r="C18" s="2">
        <v>17.0</v>
      </c>
      <c r="D18" s="3">
        <v>44220.0</v>
      </c>
      <c r="E18" s="2" t="s">
        <v>164</v>
      </c>
      <c r="F18" s="2" t="s">
        <v>165</v>
      </c>
      <c r="G18" s="2">
        <v>365.7</v>
      </c>
      <c r="H18" s="2" t="s">
        <v>166</v>
      </c>
      <c r="I18" s="2" t="s">
        <v>167</v>
      </c>
      <c r="J18" s="2" t="s">
        <v>168</v>
      </c>
      <c r="K18" s="2" t="s">
        <v>169</v>
      </c>
      <c r="L18" s="2">
        <v>7006.0</v>
      </c>
      <c r="M18" s="2">
        <v>64.0</v>
      </c>
      <c r="N18" s="2">
        <v>6168.49</v>
      </c>
      <c r="O18" s="2" t="s">
        <v>28</v>
      </c>
      <c r="P18" s="2" t="s">
        <v>170</v>
      </c>
      <c r="Q18" s="2" t="s">
        <v>171</v>
      </c>
      <c r="R18" s="2" t="s">
        <v>172</v>
      </c>
      <c r="S18" s="2" t="s">
        <v>173</v>
      </c>
      <c r="T18" s="2" t="s">
        <v>163</v>
      </c>
      <c r="U18" s="2" t="s">
        <v>71</v>
      </c>
    </row>
    <row r="19">
      <c r="A19" s="2">
        <v>18.0</v>
      </c>
      <c r="B19" s="2">
        <v>18.0</v>
      </c>
      <c r="C19" s="2">
        <v>18.0</v>
      </c>
      <c r="D19" s="3">
        <v>43933.0</v>
      </c>
      <c r="E19" s="2" t="s">
        <v>174</v>
      </c>
      <c r="F19" s="2" t="s">
        <v>142</v>
      </c>
      <c r="G19" s="2">
        <v>364.43</v>
      </c>
      <c r="H19" s="2" t="s">
        <v>175</v>
      </c>
      <c r="I19" s="2" t="s">
        <v>176</v>
      </c>
      <c r="J19" s="2" t="s">
        <v>177</v>
      </c>
      <c r="K19" s="2" t="s">
        <v>178</v>
      </c>
      <c r="L19" s="2">
        <v>3466.0</v>
      </c>
      <c r="M19" s="2">
        <v>25.0</v>
      </c>
      <c r="N19" s="2">
        <v>9172.97</v>
      </c>
      <c r="O19" s="2" t="s">
        <v>28</v>
      </c>
      <c r="P19" s="2" t="s">
        <v>179</v>
      </c>
      <c r="Q19" s="2" t="s">
        <v>180</v>
      </c>
      <c r="S19" s="2" t="s">
        <v>181</v>
      </c>
      <c r="T19" s="2" t="s">
        <v>39</v>
      </c>
      <c r="U19" s="2" t="s">
        <v>33</v>
      </c>
    </row>
    <row r="20">
      <c r="A20" s="2">
        <v>19.0</v>
      </c>
      <c r="B20" s="2">
        <v>19.0</v>
      </c>
      <c r="C20" s="2">
        <v>19.0</v>
      </c>
      <c r="D20" s="3">
        <v>44093.0</v>
      </c>
      <c r="E20" s="2" t="s">
        <v>182</v>
      </c>
      <c r="F20" s="2" t="s">
        <v>183</v>
      </c>
      <c r="G20" s="2">
        <v>854.36</v>
      </c>
      <c r="H20" s="2" t="s">
        <v>184</v>
      </c>
      <c r="I20" s="2" t="s">
        <v>185</v>
      </c>
      <c r="J20" s="2" t="s">
        <v>186</v>
      </c>
      <c r="K20" s="2" t="s">
        <v>68</v>
      </c>
      <c r="L20" s="2">
        <v>423031.0</v>
      </c>
      <c r="M20" s="2">
        <v>58.0</v>
      </c>
      <c r="N20" s="2">
        <v>8194.18</v>
      </c>
      <c r="O20" s="2" t="s">
        <v>52</v>
      </c>
      <c r="P20" s="2" t="s">
        <v>187</v>
      </c>
      <c r="Q20" s="2" t="s">
        <v>188</v>
      </c>
      <c r="T20" s="2" t="s">
        <v>189</v>
      </c>
      <c r="U20" s="2" t="s">
        <v>46</v>
      </c>
    </row>
    <row r="21">
      <c r="A21" s="2">
        <v>20.0</v>
      </c>
      <c r="B21" s="2">
        <v>20.0</v>
      </c>
      <c r="C21" s="2">
        <v>20.0</v>
      </c>
      <c r="D21" s="3">
        <v>44159.0</v>
      </c>
      <c r="E21" s="2" t="s">
        <v>190</v>
      </c>
      <c r="F21" s="2" t="s">
        <v>191</v>
      </c>
      <c r="G21" s="2">
        <v>35.84</v>
      </c>
      <c r="H21" s="2" t="s">
        <v>192</v>
      </c>
      <c r="I21" s="2" t="s">
        <v>193</v>
      </c>
      <c r="J21" s="2" t="s">
        <v>194</v>
      </c>
      <c r="K21" s="2" t="s">
        <v>119</v>
      </c>
      <c r="M21" s="2">
        <v>25.0</v>
      </c>
      <c r="N21" s="2">
        <v>1397.42</v>
      </c>
      <c r="O21" s="2" t="s">
        <v>52</v>
      </c>
      <c r="P21" s="2" t="s">
        <v>195</v>
      </c>
      <c r="Q21" s="2" t="s">
        <v>196</v>
      </c>
      <c r="S21" s="2">
        <v>422920.0</v>
      </c>
      <c r="T21" s="2" t="s">
        <v>68</v>
      </c>
      <c r="U21" s="2" t="s">
        <v>71</v>
      </c>
    </row>
    <row r="22">
      <c r="A22" s="2">
        <v>21.0</v>
      </c>
      <c r="B22" s="2">
        <v>21.0</v>
      </c>
      <c r="C22" s="2">
        <v>21.0</v>
      </c>
      <c r="D22" s="3">
        <v>44326.0</v>
      </c>
      <c r="E22" s="2" t="s">
        <v>197</v>
      </c>
      <c r="F22" s="2" t="s">
        <v>198</v>
      </c>
      <c r="G22" s="2">
        <v>254.7</v>
      </c>
      <c r="H22" s="2" t="s">
        <v>199</v>
      </c>
      <c r="I22" s="2" t="s">
        <v>200</v>
      </c>
      <c r="J22" s="2" t="s">
        <v>201</v>
      </c>
      <c r="K22" s="2" t="s">
        <v>137</v>
      </c>
      <c r="M22" s="2">
        <v>16.0</v>
      </c>
      <c r="N22" s="2">
        <v>7180.54</v>
      </c>
      <c r="O22" s="2" t="s">
        <v>52</v>
      </c>
      <c r="P22" s="2" t="s">
        <v>202</v>
      </c>
      <c r="Q22" s="2" t="s">
        <v>203</v>
      </c>
      <c r="S22" s="2" t="s">
        <v>204</v>
      </c>
      <c r="T22" s="2" t="s">
        <v>26</v>
      </c>
      <c r="U22" s="2" t="s">
        <v>71</v>
      </c>
    </row>
    <row r="23">
      <c r="A23" s="2">
        <v>22.0</v>
      </c>
      <c r="B23" s="2">
        <v>22.0</v>
      </c>
      <c r="C23" s="2">
        <v>22.0</v>
      </c>
      <c r="D23" s="3">
        <v>44206.0</v>
      </c>
      <c r="E23" s="2" t="s">
        <v>205</v>
      </c>
      <c r="F23" s="2" t="s">
        <v>206</v>
      </c>
      <c r="G23" s="2">
        <v>965.17</v>
      </c>
      <c r="H23" s="2" t="s">
        <v>207</v>
      </c>
      <c r="I23" s="2" t="s">
        <v>208</v>
      </c>
      <c r="J23" s="2" t="s">
        <v>209</v>
      </c>
      <c r="K23" s="2" t="s">
        <v>119</v>
      </c>
      <c r="M23" s="2">
        <v>26.0</v>
      </c>
      <c r="N23" s="2">
        <v>120.28</v>
      </c>
      <c r="O23" s="2" t="s">
        <v>52</v>
      </c>
      <c r="P23" s="2" t="s">
        <v>210</v>
      </c>
      <c r="Q23" s="2" t="s">
        <v>211</v>
      </c>
      <c r="T23" s="2" t="s">
        <v>119</v>
      </c>
      <c r="U23" s="2" t="s">
        <v>46</v>
      </c>
    </row>
    <row r="24">
      <c r="A24" s="2">
        <v>23.0</v>
      </c>
      <c r="B24" s="2">
        <v>23.0</v>
      </c>
      <c r="C24" s="2">
        <v>23.0</v>
      </c>
      <c r="D24" s="3">
        <v>43841.0</v>
      </c>
      <c r="E24" s="2" t="s">
        <v>212</v>
      </c>
      <c r="F24" s="2" t="s">
        <v>213</v>
      </c>
      <c r="G24" s="2">
        <v>669.42</v>
      </c>
      <c r="H24" s="2" t="s">
        <v>214</v>
      </c>
      <c r="I24" s="2" t="s">
        <v>215</v>
      </c>
      <c r="J24" s="2" t="s">
        <v>216</v>
      </c>
      <c r="K24" s="2" t="s">
        <v>217</v>
      </c>
      <c r="L24" s="2">
        <v>51281.0</v>
      </c>
      <c r="M24" s="2">
        <v>42.0</v>
      </c>
      <c r="N24" s="2">
        <v>3597.95</v>
      </c>
      <c r="O24" s="2" t="s">
        <v>41</v>
      </c>
      <c r="P24" s="2" t="s">
        <v>218</v>
      </c>
      <c r="Q24" s="2" t="s">
        <v>219</v>
      </c>
      <c r="S24" s="2">
        <v>7309.0</v>
      </c>
      <c r="T24" s="2" t="s">
        <v>131</v>
      </c>
      <c r="U24" s="2" t="s">
        <v>33</v>
      </c>
    </row>
    <row r="25">
      <c r="A25" s="2">
        <v>24.0</v>
      </c>
      <c r="B25" s="2">
        <v>24.0</v>
      </c>
      <c r="C25" s="2">
        <v>24.0</v>
      </c>
      <c r="D25" s="3">
        <v>44384.0</v>
      </c>
      <c r="E25" s="2" t="s">
        <v>220</v>
      </c>
      <c r="F25" s="2" t="s">
        <v>221</v>
      </c>
      <c r="G25" s="2">
        <v>554.28</v>
      </c>
      <c r="H25" s="2" t="s">
        <v>222</v>
      </c>
      <c r="I25" s="2" t="s">
        <v>223</v>
      </c>
      <c r="J25" s="2" t="s">
        <v>224</v>
      </c>
      <c r="K25" s="2" t="s">
        <v>225</v>
      </c>
      <c r="M25" s="2">
        <v>47.0</v>
      </c>
      <c r="N25" s="2">
        <v>792.14</v>
      </c>
      <c r="O25" s="2" t="s">
        <v>41</v>
      </c>
      <c r="P25" s="2" t="s">
        <v>226</v>
      </c>
      <c r="Q25" s="2" t="s">
        <v>227</v>
      </c>
      <c r="T25" s="2" t="s">
        <v>228</v>
      </c>
      <c r="U25" s="2" t="s">
        <v>33</v>
      </c>
    </row>
    <row r="26">
      <c r="A26" s="2">
        <v>25.0</v>
      </c>
      <c r="B26" s="2">
        <v>25.0</v>
      </c>
      <c r="C26" s="2">
        <v>25.0</v>
      </c>
      <c r="D26" s="3">
        <v>43906.0</v>
      </c>
      <c r="E26" s="2" t="s">
        <v>229</v>
      </c>
      <c r="F26" s="2" t="s">
        <v>230</v>
      </c>
      <c r="G26" s="2">
        <v>467.7</v>
      </c>
      <c r="H26" s="2" t="s">
        <v>231</v>
      </c>
      <c r="I26" s="2" t="s">
        <v>232</v>
      </c>
      <c r="J26" s="2" t="s">
        <v>233</v>
      </c>
      <c r="K26" s="2" t="s">
        <v>119</v>
      </c>
      <c r="M26" s="2">
        <v>3.0</v>
      </c>
      <c r="N26" s="2">
        <v>5186.98</v>
      </c>
      <c r="O26" s="2" t="s">
        <v>52</v>
      </c>
      <c r="P26" s="2" t="s">
        <v>234</v>
      </c>
      <c r="Q26" s="2" t="s">
        <v>235</v>
      </c>
      <c r="T26" s="2" t="s">
        <v>32</v>
      </c>
      <c r="U26" s="2" t="s">
        <v>46</v>
      </c>
    </row>
    <row r="27">
      <c r="A27" s="2">
        <v>26.0</v>
      </c>
      <c r="B27" s="2">
        <v>26.0</v>
      </c>
      <c r="C27" s="2">
        <v>26.0</v>
      </c>
      <c r="D27" s="3">
        <v>44345.0</v>
      </c>
      <c r="E27" s="2" t="s">
        <v>236</v>
      </c>
      <c r="F27" s="2" t="s">
        <v>237</v>
      </c>
      <c r="G27" s="2">
        <v>494.99</v>
      </c>
      <c r="H27" s="2" t="s">
        <v>238</v>
      </c>
      <c r="I27" s="2" t="s">
        <v>239</v>
      </c>
      <c r="J27" s="2" t="s">
        <v>240</v>
      </c>
      <c r="K27" s="2" t="s">
        <v>241</v>
      </c>
      <c r="L27" s="2">
        <v>2722.0</v>
      </c>
      <c r="M27" s="2">
        <v>85.0</v>
      </c>
      <c r="N27" s="2">
        <v>1768.48</v>
      </c>
      <c r="O27" s="2" t="s">
        <v>28</v>
      </c>
      <c r="P27" s="2" t="s">
        <v>242</v>
      </c>
      <c r="Q27" s="2" t="s">
        <v>243</v>
      </c>
      <c r="T27" s="2" t="s">
        <v>32</v>
      </c>
      <c r="U27" s="2" t="s">
        <v>71</v>
      </c>
    </row>
    <row r="28">
      <c r="A28" s="2">
        <v>27.0</v>
      </c>
      <c r="B28" s="2">
        <v>27.0</v>
      </c>
      <c r="C28" s="2">
        <v>27.0</v>
      </c>
      <c r="D28" s="3">
        <v>44516.0</v>
      </c>
      <c r="E28" s="2" t="s">
        <v>244</v>
      </c>
      <c r="F28" s="2" t="s">
        <v>245</v>
      </c>
      <c r="G28" s="2">
        <v>387.13</v>
      </c>
      <c r="H28" s="2" t="s">
        <v>246</v>
      </c>
      <c r="I28" s="2" t="s">
        <v>247</v>
      </c>
      <c r="J28" s="2" t="s">
        <v>248</v>
      </c>
      <c r="K28" s="2" t="s">
        <v>249</v>
      </c>
      <c r="M28" s="2">
        <v>15.0</v>
      </c>
      <c r="N28" s="2">
        <v>6170.8</v>
      </c>
      <c r="O28" s="2" t="s">
        <v>28</v>
      </c>
      <c r="P28" s="2" t="s">
        <v>250</v>
      </c>
      <c r="Q28" s="2" t="s">
        <v>251</v>
      </c>
      <c r="T28" s="2" t="s">
        <v>252</v>
      </c>
      <c r="U28" s="2" t="s">
        <v>71</v>
      </c>
    </row>
    <row r="29">
      <c r="A29" s="2">
        <v>28.0</v>
      </c>
      <c r="B29" s="2">
        <v>28.0</v>
      </c>
      <c r="C29" s="2">
        <v>28.0</v>
      </c>
      <c r="D29" s="3">
        <v>44392.0</v>
      </c>
      <c r="E29" s="2" t="s">
        <v>253</v>
      </c>
      <c r="F29" s="2" t="s">
        <v>142</v>
      </c>
      <c r="G29" s="2">
        <v>794.83</v>
      </c>
      <c r="H29" s="2" t="s">
        <v>254</v>
      </c>
      <c r="I29" s="2" t="s">
        <v>255</v>
      </c>
      <c r="J29" s="2" t="s">
        <v>256</v>
      </c>
      <c r="K29" s="2" t="s">
        <v>257</v>
      </c>
      <c r="L29" s="2" t="s">
        <v>258</v>
      </c>
      <c r="M29" s="2">
        <v>100.0</v>
      </c>
      <c r="N29" s="2">
        <v>7819.25</v>
      </c>
      <c r="O29" s="2" t="s">
        <v>28</v>
      </c>
      <c r="P29" s="2" t="s">
        <v>259</v>
      </c>
      <c r="Q29" s="2" t="s">
        <v>260</v>
      </c>
      <c r="R29" s="2" t="s">
        <v>261</v>
      </c>
      <c r="T29" s="2" t="s">
        <v>32</v>
      </c>
      <c r="U29" s="2" t="s">
        <v>46</v>
      </c>
    </row>
    <row r="30">
      <c r="A30" s="2">
        <v>29.0</v>
      </c>
      <c r="B30" s="2">
        <v>29.0</v>
      </c>
      <c r="C30" s="2">
        <v>29.0</v>
      </c>
      <c r="D30" s="3">
        <v>44525.0</v>
      </c>
      <c r="E30" s="2" t="s">
        <v>262</v>
      </c>
      <c r="F30" s="2" t="s">
        <v>263</v>
      </c>
      <c r="G30" s="2">
        <v>999.12</v>
      </c>
      <c r="H30" s="2" t="s">
        <v>264</v>
      </c>
      <c r="I30" s="2" t="s">
        <v>265</v>
      </c>
      <c r="J30" s="2" t="s">
        <v>266</v>
      </c>
      <c r="K30" s="2" t="s">
        <v>267</v>
      </c>
      <c r="M30" s="2">
        <v>99.0</v>
      </c>
      <c r="N30" s="2">
        <v>89.42</v>
      </c>
      <c r="O30" s="2" t="s">
        <v>41</v>
      </c>
      <c r="P30" s="2" t="s">
        <v>268</v>
      </c>
      <c r="Q30" s="2" t="s">
        <v>269</v>
      </c>
      <c r="S30" s="2" t="s">
        <v>270</v>
      </c>
      <c r="T30" s="2" t="s">
        <v>26</v>
      </c>
      <c r="U30" s="2" t="s">
        <v>33</v>
      </c>
    </row>
    <row r="31">
      <c r="A31" s="2">
        <v>30.0</v>
      </c>
      <c r="B31" s="2">
        <v>30.0</v>
      </c>
      <c r="C31" s="2">
        <v>30.0</v>
      </c>
      <c r="D31" s="3">
        <v>44398.0</v>
      </c>
      <c r="E31" s="2" t="s">
        <v>271</v>
      </c>
      <c r="F31" s="2" t="s">
        <v>272</v>
      </c>
      <c r="G31" s="2">
        <v>870.25</v>
      </c>
      <c r="H31" s="2" t="s">
        <v>273</v>
      </c>
      <c r="I31" s="2" t="s">
        <v>274</v>
      </c>
      <c r="J31" s="2" t="s">
        <v>275</v>
      </c>
      <c r="K31" s="2" t="s">
        <v>276</v>
      </c>
      <c r="M31" s="2">
        <v>13.0</v>
      </c>
      <c r="N31" s="2">
        <v>6307.09</v>
      </c>
      <c r="O31" s="2" t="s">
        <v>28</v>
      </c>
      <c r="P31" s="2" t="s">
        <v>277</v>
      </c>
      <c r="Q31" s="2" t="s">
        <v>278</v>
      </c>
      <c r="T31" s="2" t="s">
        <v>119</v>
      </c>
      <c r="U31" s="2" t="s">
        <v>46</v>
      </c>
    </row>
    <row r="32">
      <c r="A32" s="2">
        <v>31.0</v>
      </c>
      <c r="B32" s="2">
        <v>31.0</v>
      </c>
      <c r="C32" s="2">
        <v>31.0</v>
      </c>
      <c r="D32" s="3">
        <v>44429.0</v>
      </c>
      <c r="E32" s="2" t="s">
        <v>279</v>
      </c>
      <c r="F32" s="2" t="s">
        <v>142</v>
      </c>
      <c r="G32" s="2">
        <v>876.74</v>
      </c>
      <c r="H32" s="2" t="s">
        <v>280</v>
      </c>
      <c r="I32" s="2" t="s">
        <v>281</v>
      </c>
      <c r="J32" s="2" t="s">
        <v>282</v>
      </c>
      <c r="K32" s="2" t="s">
        <v>163</v>
      </c>
      <c r="L32" s="2" t="s">
        <v>283</v>
      </c>
      <c r="M32" s="2">
        <v>93.0</v>
      </c>
      <c r="N32" s="2">
        <v>6644.91</v>
      </c>
      <c r="O32" s="2" t="s">
        <v>52</v>
      </c>
      <c r="P32" s="2" t="s">
        <v>284</v>
      </c>
      <c r="Q32" s="2" t="s">
        <v>285</v>
      </c>
      <c r="S32" s="2" t="s">
        <v>286</v>
      </c>
      <c r="T32" s="2" t="s">
        <v>106</v>
      </c>
      <c r="U32" s="2" t="s">
        <v>46</v>
      </c>
    </row>
    <row r="33">
      <c r="A33" s="2">
        <v>32.0</v>
      </c>
      <c r="B33" s="2">
        <v>32.0</v>
      </c>
      <c r="C33" s="2">
        <v>32.0</v>
      </c>
      <c r="D33" s="3">
        <v>44177.0</v>
      </c>
      <c r="E33" s="2" t="s">
        <v>287</v>
      </c>
      <c r="F33" s="2" t="s">
        <v>288</v>
      </c>
      <c r="G33" s="2">
        <v>112.15</v>
      </c>
      <c r="H33" s="2" t="s">
        <v>289</v>
      </c>
      <c r="I33" s="2" t="s">
        <v>290</v>
      </c>
      <c r="J33" s="2" t="s">
        <v>291</v>
      </c>
      <c r="K33" s="2" t="s">
        <v>292</v>
      </c>
      <c r="M33" s="2">
        <v>98.0</v>
      </c>
      <c r="N33" s="2">
        <v>9152.9</v>
      </c>
      <c r="O33" s="2" t="s">
        <v>52</v>
      </c>
      <c r="P33" s="2" t="s">
        <v>293</v>
      </c>
      <c r="Q33" s="2" t="s">
        <v>294</v>
      </c>
      <c r="T33" s="2" t="s">
        <v>137</v>
      </c>
      <c r="U33" s="2" t="s">
        <v>71</v>
      </c>
    </row>
    <row r="34">
      <c r="A34" s="2">
        <v>33.0</v>
      </c>
      <c r="B34" s="2">
        <v>33.0</v>
      </c>
      <c r="C34" s="2">
        <v>33.0</v>
      </c>
      <c r="D34" s="3">
        <v>44257.0</v>
      </c>
      <c r="E34" s="2" t="s">
        <v>295</v>
      </c>
      <c r="F34" s="2" t="s">
        <v>296</v>
      </c>
      <c r="G34" s="2">
        <v>969.57</v>
      </c>
      <c r="H34" s="2" t="s">
        <v>297</v>
      </c>
      <c r="I34" s="2" t="s">
        <v>298</v>
      </c>
      <c r="J34" s="2" t="s">
        <v>299</v>
      </c>
      <c r="K34" s="2" t="s">
        <v>137</v>
      </c>
      <c r="M34" s="2">
        <v>61.0</v>
      </c>
      <c r="N34" s="2">
        <v>7812.34</v>
      </c>
      <c r="O34" s="2" t="s">
        <v>41</v>
      </c>
      <c r="P34" s="2" t="s">
        <v>300</v>
      </c>
      <c r="Q34" s="2" t="s">
        <v>301</v>
      </c>
      <c r="S34" s="2" t="s">
        <v>302</v>
      </c>
      <c r="T34" s="2" t="s">
        <v>106</v>
      </c>
      <c r="U34" s="2" t="s">
        <v>71</v>
      </c>
    </row>
    <row r="35">
      <c r="A35" s="2">
        <v>34.0</v>
      </c>
      <c r="B35" s="2">
        <v>34.0</v>
      </c>
      <c r="C35" s="2">
        <v>34.0</v>
      </c>
      <c r="D35" s="3">
        <v>43944.0</v>
      </c>
      <c r="E35" s="2" t="s">
        <v>303</v>
      </c>
      <c r="F35" s="2" t="s">
        <v>22</v>
      </c>
      <c r="G35" s="2">
        <v>861.46</v>
      </c>
      <c r="H35" s="2" t="s">
        <v>304</v>
      </c>
      <c r="I35" s="2" t="s">
        <v>305</v>
      </c>
      <c r="J35" s="2" t="s">
        <v>306</v>
      </c>
      <c r="K35" s="2" t="s">
        <v>32</v>
      </c>
      <c r="M35" s="2">
        <v>4.0</v>
      </c>
      <c r="N35" s="2">
        <v>4026.69</v>
      </c>
      <c r="O35" s="2" t="s">
        <v>28</v>
      </c>
      <c r="P35" s="2" t="s">
        <v>307</v>
      </c>
      <c r="Q35" s="2" t="s">
        <v>308</v>
      </c>
      <c r="T35" s="2" t="s">
        <v>119</v>
      </c>
      <c r="U35" s="2" t="s">
        <v>71</v>
      </c>
    </row>
    <row r="36">
      <c r="A36" s="2">
        <v>35.0</v>
      </c>
      <c r="B36" s="2">
        <v>35.0</v>
      </c>
      <c r="C36" s="2">
        <v>35.0</v>
      </c>
      <c r="D36" s="3">
        <v>44479.0</v>
      </c>
      <c r="E36" s="2" t="s">
        <v>309</v>
      </c>
      <c r="F36" s="2" t="s">
        <v>310</v>
      </c>
      <c r="G36" s="2">
        <v>887.53</v>
      </c>
      <c r="H36" s="2" t="s">
        <v>311</v>
      </c>
      <c r="I36" s="2" t="s">
        <v>312</v>
      </c>
      <c r="J36" s="2" t="s">
        <v>313</v>
      </c>
      <c r="K36" s="2" t="s">
        <v>68</v>
      </c>
      <c r="L36" s="2">
        <v>152730.0</v>
      </c>
      <c r="M36" s="2">
        <v>61.0</v>
      </c>
      <c r="N36" s="2">
        <v>1483.36</v>
      </c>
      <c r="O36" s="2" t="s">
        <v>41</v>
      </c>
      <c r="P36" s="2" t="s">
        <v>314</v>
      </c>
      <c r="Q36" s="2" t="s">
        <v>315</v>
      </c>
      <c r="T36" s="2" t="s">
        <v>316</v>
      </c>
      <c r="U36" s="2" t="s">
        <v>71</v>
      </c>
    </row>
    <row r="37">
      <c r="A37" s="2">
        <v>36.0</v>
      </c>
      <c r="B37" s="2">
        <v>36.0</v>
      </c>
      <c r="C37" s="2">
        <v>36.0</v>
      </c>
      <c r="D37" s="3">
        <v>44107.0</v>
      </c>
      <c r="E37" s="2" t="s">
        <v>317</v>
      </c>
      <c r="F37" s="2" t="s">
        <v>310</v>
      </c>
      <c r="G37" s="2">
        <v>50.56</v>
      </c>
      <c r="H37" s="2" t="s">
        <v>318</v>
      </c>
      <c r="I37" s="2" t="s">
        <v>319</v>
      </c>
      <c r="J37" s="2" t="s">
        <v>320</v>
      </c>
      <c r="K37" s="2" t="s">
        <v>32</v>
      </c>
      <c r="M37" s="2">
        <v>82.0</v>
      </c>
      <c r="N37" s="2">
        <v>2163.95</v>
      </c>
      <c r="O37" s="2" t="s">
        <v>41</v>
      </c>
      <c r="P37" s="2" t="s">
        <v>321</v>
      </c>
      <c r="Q37" s="2" t="s">
        <v>322</v>
      </c>
      <c r="S37" s="2">
        <v>188668.0</v>
      </c>
      <c r="T37" s="2" t="s">
        <v>68</v>
      </c>
      <c r="U37" s="2" t="s">
        <v>71</v>
      </c>
    </row>
    <row r="38">
      <c r="A38" s="2">
        <v>37.0</v>
      </c>
      <c r="B38" s="2">
        <v>37.0</v>
      </c>
      <c r="C38" s="2">
        <v>37.0</v>
      </c>
      <c r="D38" s="3">
        <v>44340.0</v>
      </c>
      <c r="E38" s="2" t="s">
        <v>323</v>
      </c>
      <c r="F38" s="2" t="s">
        <v>237</v>
      </c>
      <c r="G38" s="2">
        <v>410.4</v>
      </c>
      <c r="H38" s="2" t="s">
        <v>324</v>
      </c>
      <c r="I38" s="2" t="s">
        <v>325</v>
      </c>
      <c r="J38" s="2" t="s">
        <v>326</v>
      </c>
      <c r="K38" s="2" t="s">
        <v>327</v>
      </c>
      <c r="L38" s="2">
        <v>5930.0</v>
      </c>
      <c r="M38" s="2">
        <v>48.0</v>
      </c>
      <c r="N38" s="2">
        <v>2660.13</v>
      </c>
      <c r="O38" s="2" t="s">
        <v>28</v>
      </c>
      <c r="P38" s="2" t="s">
        <v>328</v>
      </c>
      <c r="Q38" s="2" t="s">
        <v>329</v>
      </c>
      <c r="T38" s="2" t="s">
        <v>330</v>
      </c>
      <c r="U38" s="2" t="s">
        <v>71</v>
      </c>
    </row>
    <row r="39">
      <c r="A39" s="2">
        <v>38.0</v>
      </c>
      <c r="B39" s="2">
        <v>38.0</v>
      </c>
      <c r="C39" s="2">
        <v>38.0</v>
      </c>
      <c r="D39" s="3">
        <v>44162.0</v>
      </c>
      <c r="E39" s="2" t="s">
        <v>331</v>
      </c>
      <c r="F39" s="2" t="s">
        <v>332</v>
      </c>
      <c r="G39" s="2">
        <v>259.85</v>
      </c>
      <c r="H39" s="2" t="s">
        <v>333</v>
      </c>
      <c r="I39" s="2" t="s">
        <v>334</v>
      </c>
      <c r="J39" s="2" t="s">
        <v>335</v>
      </c>
      <c r="K39" s="2" t="s">
        <v>101</v>
      </c>
      <c r="L39" s="2">
        <v>55108.0</v>
      </c>
      <c r="M39" s="2">
        <v>99.0</v>
      </c>
      <c r="N39" s="2">
        <v>5132.13</v>
      </c>
      <c r="O39" s="2" t="s">
        <v>28</v>
      </c>
      <c r="P39" s="2" t="s">
        <v>336</v>
      </c>
      <c r="Q39" s="2" t="s">
        <v>337</v>
      </c>
      <c r="R39" s="2" t="s">
        <v>338</v>
      </c>
      <c r="S39" s="2" t="s">
        <v>339</v>
      </c>
      <c r="T39" s="2" t="s">
        <v>340</v>
      </c>
      <c r="U39" s="2" t="s">
        <v>46</v>
      </c>
    </row>
    <row r="40">
      <c r="A40" s="2">
        <v>39.0</v>
      </c>
      <c r="B40" s="2">
        <v>39.0</v>
      </c>
      <c r="C40" s="2">
        <v>39.0</v>
      </c>
      <c r="D40" s="3">
        <v>43957.0</v>
      </c>
      <c r="E40" s="2" t="s">
        <v>341</v>
      </c>
      <c r="F40" s="2" t="s">
        <v>342</v>
      </c>
      <c r="G40" s="2">
        <v>418.91</v>
      </c>
      <c r="H40" s="2" t="s">
        <v>343</v>
      </c>
      <c r="I40" s="2" t="s">
        <v>344</v>
      </c>
      <c r="J40" s="2" t="s">
        <v>345</v>
      </c>
      <c r="K40" s="2" t="s">
        <v>257</v>
      </c>
      <c r="L40" s="2" t="s">
        <v>346</v>
      </c>
      <c r="M40" s="2">
        <v>73.0</v>
      </c>
      <c r="N40" s="2">
        <v>9593.87</v>
      </c>
      <c r="O40" s="2" t="s">
        <v>52</v>
      </c>
      <c r="P40" s="2" t="s">
        <v>347</v>
      </c>
      <c r="Q40" s="2" t="s">
        <v>348</v>
      </c>
      <c r="R40" s="2" t="s">
        <v>349</v>
      </c>
      <c r="S40" s="2" t="s">
        <v>350</v>
      </c>
      <c r="T40" s="2" t="s">
        <v>257</v>
      </c>
      <c r="U40" s="2" t="s">
        <v>71</v>
      </c>
    </row>
    <row r="41">
      <c r="A41" s="2">
        <v>40.0</v>
      </c>
      <c r="B41" s="2">
        <v>40.0</v>
      </c>
      <c r="C41" s="2">
        <v>40.0</v>
      </c>
      <c r="D41" s="3">
        <v>44368.0</v>
      </c>
      <c r="E41" s="2" t="s">
        <v>351</v>
      </c>
      <c r="F41" s="2" t="s">
        <v>73</v>
      </c>
      <c r="G41" s="2">
        <v>650.85</v>
      </c>
      <c r="H41" s="2" t="s">
        <v>352</v>
      </c>
      <c r="I41" s="2" t="s">
        <v>353</v>
      </c>
      <c r="J41" s="2" t="s">
        <v>354</v>
      </c>
      <c r="K41" s="2" t="s">
        <v>119</v>
      </c>
      <c r="M41" s="2">
        <v>66.0</v>
      </c>
      <c r="N41" s="2">
        <v>9624.76</v>
      </c>
      <c r="O41" s="2" t="s">
        <v>52</v>
      </c>
      <c r="P41" s="2" t="s">
        <v>355</v>
      </c>
      <c r="Q41" s="2" t="s">
        <v>356</v>
      </c>
      <c r="T41" s="2" t="s">
        <v>32</v>
      </c>
      <c r="U41" s="2" t="s">
        <v>71</v>
      </c>
    </row>
    <row r="42">
      <c r="A42" s="2">
        <v>41.0</v>
      </c>
      <c r="B42" s="2">
        <v>41.0</v>
      </c>
      <c r="C42" s="2">
        <v>41.0</v>
      </c>
      <c r="D42" s="3">
        <v>44456.0</v>
      </c>
      <c r="E42" s="2" t="s">
        <v>357</v>
      </c>
      <c r="F42" s="2" t="s">
        <v>272</v>
      </c>
      <c r="G42" s="2">
        <v>228.61</v>
      </c>
      <c r="H42" s="2" t="s">
        <v>358</v>
      </c>
      <c r="I42" s="2" t="s">
        <v>359</v>
      </c>
      <c r="J42" s="2" t="s">
        <v>360</v>
      </c>
      <c r="K42" s="2" t="s">
        <v>32</v>
      </c>
      <c r="M42" s="2">
        <v>32.0</v>
      </c>
      <c r="N42" s="2">
        <v>2593.95</v>
      </c>
      <c r="O42" s="2" t="s">
        <v>52</v>
      </c>
      <c r="P42" s="2" t="s">
        <v>361</v>
      </c>
      <c r="Q42" s="2" t="s">
        <v>362</v>
      </c>
      <c r="T42" s="2" t="s">
        <v>363</v>
      </c>
      <c r="U42" s="2" t="s">
        <v>33</v>
      </c>
    </row>
    <row r="43">
      <c r="A43" s="2">
        <v>42.0</v>
      </c>
      <c r="B43" s="2">
        <v>42.0</v>
      </c>
      <c r="C43" s="2">
        <v>42.0</v>
      </c>
      <c r="D43" s="3">
        <v>44383.0</v>
      </c>
      <c r="E43" s="2" t="s">
        <v>364</v>
      </c>
      <c r="F43" s="2" t="s">
        <v>73</v>
      </c>
      <c r="G43" s="2">
        <v>894.92</v>
      </c>
      <c r="H43" s="2" t="s">
        <v>365</v>
      </c>
      <c r="I43" s="2" t="s">
        <v>366</v>
      </c>
      <c r="J43" s="2" t="s">
        <v>367</v>
      </c>
      <c r="K43" s="2" t="s">
        <v>257</v>
      </c>
      <c r="L43" s="2" t="s">
        <v>368</v>
      </c>
      <c r="M43" s="2">
        <v>88.0</v>
      </c>
      <c r="N43" s="2">
        <v>1618.03</v>
      </c>
      <c r="O43" s="2" t="s">
        <v>41</v>
      </c>
      <c r="P43" s="2" t="s">
        <v>369</v>
      </c>
      <c r="Q43" s="2" t="s">
        <v>370</v>
      </c>
      <c r="R43" s="2" t="s">
        <v>371</v>
      </c>
      <c r="T43" s="2" t="s">
        <v>77</v>
      </c>
      <c r="U43" s="2" t="s">
        <v>46</v>
      </c>
    </row>
    <row r="44">
      <c r="A44" s="2">
        <v>43.0</v>
      </c>
      <c r="B44" s="2">
        <v>43.0</v>
      </c>
      <c r="C44" s="2">
        <v>43.0</v>
      </c>
      <c r="D44" s="3">
        <v>44513.0</v>
      </c>
      <c r="E44" s="2" t="s">
        <v>372</v>
      </c>
      <c r="F44" s="2" t="s">
        <v>73</v>
      </c>
      <c r="G44" s="2">
        <v>992.02</v>
      </c>
      <c r="H44" s="2" t="s">
        <v>373</v>
      </c>
      <c r="I44" s="2" t="s">
        <v>374</v>
      </c>
      <c r="J44" s="2" t="s">
        <v>375</v>
      </c>
      <c r="K44" s="2" t="s">
        <v>32</v>
      </c>
      <c r="M44" s="2">
        <v>50.0</v>
      </c>
      <c r="N44" s="2">
        <v>6191.5</v>
      </c>
      <c r="O44" s="2" t="s">
        <v>41</v>
      </c>
      <c r="P44" s="2" t="s">
        <v>376</v>
      </c>
      <c r="Q44" s="2" t="s">
        <v>377</v>
      </c>
      <c r="S44" s="2" t="s">
        <v>378</v>
      </c>
      <c r="T44" s="2" t="s">
        <v>379</v>
      </c>
      <c r="U44" s="2" t="s">
        <v>46</v>
      </c>
    </row>
    <row r="45">
      <c r="A45" s="2">
        <v>44.0</v>
      </c>
      <c r="B45" s="2">
        <v>44.0</v>
      </c>
      <c r="C45" s="2">
        <v>44.0</v>
      </c>
      <c r="D45" s="3">
        <v>44487.0</v>
      </c>
      <c r="E45" s="2" t="s">
        <v>380</v>
      </c>
      <c r="F45" s="2" t="s">
        <v>381</v>
      </c>
      <c r="G45" s="2">
        <v>808.38</v>
      </c>
      <c r="H45" s="2" t="s">
        <v>382</v>
      </c>
      <c r="I45" s="2" t="s">
        <v>383</v>
      </c>
      <c r="J45" s="2" t="s">
        <v>384</v>
      </c>
      <c r="K45" s="2" t="s">
        <v>385</v>
      </c>
      <c r="L45" s="2">
        <v>9210.0</v>
      </c>
      <c r="M45" s="2">
        <v>24.0</v>
      </c>
      <c r="N45" s="2">
        <v>7035.67</v>
      </c>
      <c r="O45" s="2" t="s">
        <v>28</v>
      </c>
      <c r="P45" s="2" t="s">
        <v>386</v>
      </c>
      <c r="Q45" s="2" t="s">
        <v>387</v>
      </c>
      <c r="T45" s="2" t="s">
        <v>119</v>
      </c>
      <c r="U45" s="2" t="s">
        <v>33</v>
      </c>
    </row>
    <row r="46">
      <c r="A46" s="2">
        <v>45.0</v>
      </c>
      <c r="B46" s="2">
        <v>45.0</v>
      </c>
      <c r="C46" s="2">
        <v>45.0</v>
      </c>
      <c r="D46" s="3">
        <v>43969.0</v>
      </c>
      <c r="E46" s="2" t="s">
        <v>141</v>
      </c>
      <c r="F46" s="2" t="s">
        <v>142</v>
      </c>
      <c r="G46" s="2">
        <v>294.19</v>
      </c>
      <c r="H46" s="2" t="s">
        <v>388</v>
      </c>
      <c r="I46" s="2" t="s">
        <v>389</v>
      </c>
      <c r="J46" s="2" t="s">
        <v>390</v>
      </c>
      <c r="K46" s="2" t="s">
        <v>32</v>
      </c>
      <c r="M46" s="2">
        <v>77.0</v>
      </c>
      <c r="N46" s="2">
        <v>5524.72</v>
      </c>
      <c r="O46" s="2" t="s">
        <v>41</v>
      </c>
      <c r="P46" s="2" t="s">
        <v>391</v>
      </c>
      <c r="Q46" s="2" t="s">
        <v>392</v>
      </c>
      <c r="T46" s="2" t="s">
        <v>393</v>
      </c>
      <c r="U46" s="2" t="s">
        <v>46</v>
      </c>
    </row>
    <row r="47">
      <c r="A47" s="2">
        <v>46.0</v>
      </c>
      <c r="B47" s="2">
        <v>46.0</v>
      </c>
      <c r="C47" s="2">
        <v>46.0</v>
      </c>
      <c r="D47" s="3">
        <v>44236.0</v>
      </c>
      <c r="E47" s="2" t="s">
        <v>394</v>
      </c>
      <c r="F47" s="2" t="s">
        <v>35</v>
      </c>
      <c r="G47" s="2">
        <v>8.32</v>
      </c>
      <c r="H47" s="2" t="s">
        <v>395</v>
      </c>
      <c r="I47" s="2" t="s">
        <v>396</v>
      </c>
      <c r="J47" s="2" t="s">
        <v>397</v>
      </c>
      <c r="K47" s="2" t="s">
        <v>119</v>
      </c>
      <c r="M47" s="2">
        <v>26.0</v>
      </c>
      <c r="N47" s="2">
        <v>9606.31</v>
      </c>
      <c r="O47" s="2" t="s">
        <v>28</v>
      </c>
      <c r="P47" s="2" t="s">
        <v>398</v>
      </c>
      <c r="Q47" s="2" t="s">
        <v>399</v>
      </c>
      <c r="S47" s="2">
        <v>622970.0</v>
      </c>
      <c r="T47" s="2" t="s">
        <v>68</v>
      </c>
      <c r="U47" s="2" t="s">
        <v>33</v>
      </c>
    </row>
    <row r="48">
      <c r="A48" s="2">
        <v>47.0</v>
      </c>
      <c r="B48" s="2">
        <v>47.0</v>
      </c>
      <c r="C48" s="2">
        <v>47.0</v>
      </c>
      <c r="D48" s="3">
        <v>44128.0</v>
      </c>
      <c r="E48" s="2" t="s">
        <v>400</v>
      </c>
      <c r="F48" s="2" t="s">
        <v>35</v>
      </c>
      <c r="G48" s="2">
        <v>633.07</v>
      </c>
      <c r="H48" s="2" t="s">
        <v>401</v>
      </c>
      <c r="I48" s="2" t="s">
        <v>402</v>
      </c>
      <c r="J48" s="2" t="s">
        <v>403</v>
      </c>
      <c r="K48" s="2" t="s">
        <v>32</v>
      </c>
      <c r="M48" s="2">
        <v>16.0</v>
      </c>
      <c r="N48" s="2">
        <v>3150.34</v>
      </c>
      <c r="O48" s="2" t="s">
        <v>41</v>
      </c>
      <c r="P48" s="2" t="s">
        <v>404</v>
      </c>
      <c r="Q48" s="2" t="s">
        <v>405</v>
      </c>
      <c r="T48" s="2" t="s">
        <v>32</v>
      </c>
      <c r="U48" s="2" t="s">
        <v>33</v>
      </c>
    </row>
    <row r="49">
      <c r="A49" s="2">
        <v>48.0</v>
      </c>
      <c r="B49" s="2">
        <v>48.0</v>
      </c>
      <c r="C49" s="2">
        <v>48.0</v>
      </c>
      <c r="D49" s="3">
        <v>44221.0</v>
      </c>
      <c r="E49" s="2" t="s">
        <v>406</v>
      </c>
      <c r="F49" s="2" t="s">
        <v>142</v>
      </c>
      <c r="G49" s="2">
        <v>279.25</v>
      </c>
      <c r="H49" s="2" t="s">
        <v>407</v>
      </c>
      <c r="I49" s="2" t="s">
        <v>408</v>
      </c>
      <c r="J49" s="2" t="s">
        <v>409</v>
      </c>
      <c r="K49" s="2" t="s">
        <v>62</v>
      </c>
      <c r="M49" s="2">
        <v>5.0</v>
      </c>
      <c r="N49" s="2">
        <v>3093.4</v>
      </c>
      <c r="O49" s="2" t="s">
        <v>41</v>
      </c>
      <c r="P49" s="2" t="s">
        <v>410</v>
      </c>
      <c r="Q49" s="2" t="s">
        <v>411</v>
      </c>
      <c r="T49" s="2" t="s">
        <v>267</v>
      </c>
      <c r="U49" s="2" t="s">
        <v>33</v>
      </c>
    </row>
    <row r="50">
      <c r="A50" s="2">
        <v>49.0</v>
      </c>
      <c r="B50" s="2">
        <v>49.0</v>
      </c>
      <c r="C50" s="2">
        <v>49.0</v>
      </c>
      <c r="D50" s="3">
        <v>44037.0</v>
      </c>
      <c r="E50" s="2" t="s">
        <v>412</v>
      </c>
      <c r="F50" s="2" t="s">
        <v>413</v>
      </c>
      <c r="G50" s="2">
        <v>918.31</v>
      </c>
      <c r="H50" s="2" t="s">
        <v>414</v>
      </c>
      <c r="I50" s="2" t="s">
        <v>415</v>
      </c>
      <c r="J50" s="2" t="s">
        <v>416</v>
      </c>
      <c r="K50" s="2" t="s">
        <v>137</v>
      </c>
      <c r="M50" s="2">
        <v>77.0</v>
      </c>
      <c r="N50" s="2">
        <v>5496.53</v>
      </c>
      <c r="O50" s="2" t="s">
        <v>41</v>
      </c>
      <c r="P50" s="2" t="s">
        <v>417</v>
      </c>
      <c r="Q50" s="2" t="s">
        <v>418</v>
      </c>
      <c r="S50" s="2" t="s">
        <v>419</v>
      </c>
      <c r="T50" s="2" t="s">
        <v>26</v>
      </c>
      <c r="U50" s="2" t="s">
        <v>46</v>
      </c>
    </row>
    <row r="51">
      <c r="A51" s="2">
        <v>50.0</v>
      </c>
      <c r="B51" s="2">
        <v>50.0</v>
      </c>
      <c r="C51" s="2">
        <v>50.0</v>
      </c>
      <c r="D51" s="3">
        <v>43862.0</v>
      </c>
      <c r="E51" s="2" t="s">
        <v>420</v>
      </c>
      <c r="F51" s="2" t="s">
        <v>237</v>
      </c>
      <c r="G51" s="2">
        <v>122.64</v>
      </c>
      <c r="H51" s="2" t="s">
        <v>421</v>
      </c>
      <c r="I51" s="2" t="s">
        <v>422</v>
      </c>
      <c r="J51" s="2" t="s">
        <v>423</v>
      </c>
      <c r="K51" s="2" t="s">
        <v>32</v>
      </c>
      <c r="M51" s="2">
        <v>96.0</v>
      </c>
      <c r="N51" s="2">
        <v>8631.13</v>
      </c>
      <c r="O51" s="2" t="s">
        <v>28</v>
      </c>
      <c r="P51" s="2" t="s">
        <v>424</v>
      </c>
      <c r="Q51" s="2" t="s">
        <v>425</v>
      </c>
      <c r="T51" s="2" t="s">
        <v>32</v>
      </c>
      <c r="U51" s="2" t="s">
        <v>33</v>
      </c>
    </row>
    <row r="52">
      <c r="A52" s="2">
        <v>51.0</v>
      </c>
      <c r="B52" s="2">
        <v>51.0</v>
      </c>
      <c r="C52" s="2">
        <v>51.0</v>
      </c>
      <c r="D52" s="3">
        <v>43834.0</v>
      </c>
      <c r="E52" s="2" t="s">
        <v>426</v>
      </c>
      <c r="F52" s="2" t="s">
        <v>213</v>
      </c>
      <c r="G52" s="2">
        <v>21.87</v>
      </c>
      <c r="H52" s="2" t="s">
        <v>427</v>
      </c>
      <c r="I52" s="2" t="s">
        <v>428</v>
      </c>
      <c r="J52" s="2" t="s">
        <v>429</v>
      </c>
      <c r="K52" s="2" t="s">
        <v>26</v>
      </c>
      <c r="L52" s="2" t="s">
        <v>430</v>
      </c>
      <c r="M52" s="2">
        <v>17.0</v>
      </c>
      <c r="N52" s="2">
        <v>7982.25</v>
      </c>
      <c r="O52" s="2" t="s">
        <v>28</v>
      </c>
      <c r="P52" s="2" t="s">
        <v>431</v>
      </c>
      <c r="Q52" s="2" t="s">
        <v>432</v>
      </c>
      <c r="R52" s="2" t="s">
        <v>433</v>
      </c>
      <c r="T52" s="2" t="s">
        <v>434</v>
      </c>
      <c r="U52" s="2" t="s">
        <v>46</v>
      </c>
    </row>
    <row r="53">
      <c r="A53" s="2">
        <v>52.0</v>
      </c>
      <c r="B53" s="2">
        <v>52.0</v>
      </c>
      <c r="C53" s="2">
        <v>52.0</v>
      </c>
      <c r="D53" s="3">
        <v>44232.0</v>
      </c>
      <c r="E53" s="2" t="s">
        <v>435</v>
      </c>
      <c r="F53" s="2" t="s">
        <v>436</v>
      </c>
      <c r="G53" s="2">
        <v>158.12</v>
      </c>
      <c r="H53" s="2" t="s">
        <v>437</v>
      </c>
      <c r="I53" s="2" t="s">
        <v>438</v>
      </c>
      <c r="J53" s="2" t="s">
        <v>439</v>
      </c>
      <c r="K53" s="2" t="s">
        <v>119</v>
      </c>
      <c r="M53" s="2">
        <v>56.0</v>
      </c>
      <c r="N53" s="2">
        <v>619.38</v>
      </c>
      <c r="O53" s="2" t="s">
        <v>28</v>
      </c>
      <c r="P53" s="2" t="s">
        <v>440</v>
      </c>
      <c r="Q53" s="2" t="s">
        <v>441</v>
      </c>
      <c r="T53" s="2" t="s">
        <v>442</v>
      </c>
      <c r="U53" s="2" t="s">
        <v>46</v>
      </c>
    </row>
    <row r="54">
      <c r="A54" s="2">
        <v>53.0</v>
      </c>
      <c r="B54" s="2">
        <v>53.0</v>
      </c>
      <c r="C54" s="2">
        <v>53.0</v>
      </c>
      <c r="D54" s="3">
        <v>44364.0</v>
      </c>
      <c r="E54" s="2" t="s">
        <v>443</v>
      </c>
      <c r="F54" s="2" t="s">
        <v>73</v>
      </c>
      <c r="G54" s="2">
        <v>371.41</v>
      </c>
      <c r="H54" s="2" t="s">
        <v>444</v>
      </c>
      <c r="I54" s="2" t="s">
        <v>445</v>
      </c>
      <c r="J54" s="2" t="s">
        <v>446</v>
      </c>
      <c r="K54" s="2" t="s">
        <v>137</v>
      </c>
      <c r="M54" s="2">
        <v>36.0</v>
      </c>
      <c r="N54" s="2">
        <v>1486.39</v>
      </c>
      <c r="O54" s="2" t="s">
        <v>52</v>
      </c>
      <c r="P54" s="2" t="s">
        <v>447</v>
      </c>
      <c r="Q54" s="2" t="s">
        <v>448</v>
      </c>
      <c r="T54" s="2" t="s">
        <v>32</v>
      </c>
      <c r="U54" s="2" t="s">
        <v>33</v>
      </c>
    </row>
    <row r="55">
      <c r="A55" s="2">
        <v>54.0</v>
      </c>
      <c r="B55" s="2">
        <v>54.0</v>
      </c>
      <c r="C55" s="2">
        <v>54.0</v>
      </c>
      <c r="D55" s="3">
        <v>44502.0</v>
      </c>
      <c r="E55" s="2" t="s">
        <v>449</v>
      </c>
      <c r="F55" s="2" t="s">
        <v>97</v>
      </c>
      <c r="G55" s="2">
        <v>449.95</v>
      </c>
      <c r="H55" s="2" t="s">
        <v>450</v>
      </c>
      <c r="I55" s="2" t="s">
        <v>451</v>
      </c>
      <c r="J55" s="2" t="s">
        <v>452</v>
      </c>
      <c r="K55" s="2" t="s">
        <v>453</v>
      </c>
      <c r="L55" s="2">
        <v>309.0</v>
      </c>
      <c r="M55" s="2">
        <v>39.0</v>
      </c>
      <c r="N55" s="2">
        <v>8712.25</v>
      </c>
      <c r="O55" s="2" t="s">
        <v>28</v>
      </c>
      <c r="P55" s="2" t="s">
        <v>454</v>
      </c>
      <c r="Q55" s="2" t="s">
        <v>455</v>
      </c>
      <c r="R55" s="2" t="s">
        <v>455</v>
      </c>
      <c r="T55" s="2" t="s">
        <v>316</v>
      </c>
      <c r="U55" s="2" t="s">
        <v>33</v>
      </c>
    </row>
    <row r="56">
      <c r="A56" s="2">
        <v>55.0</v>
      </c>
      <c r="B56" s="2">
        <v>55.0</v>
      </c>
      <c r="C56" s="2">
        <v>55.0</v>
      </c>
      <c r="D56" s="3">
        <v>44481.0</v>
      </c>
      <c r="E56" s="2" t="s">
        <v>456</v>
      </c>
      <c r="F56" s="2" t="s">
        <v>35</v>
      </c>
      <c r="G56" s="2">
        <v>731.11</v>
      </c>
      <c r="H56" s="2" t="s">
        <v>457</v>
      </c>
      <c r="I56" s="2" t="s">
        <v>458</v>
      </c>
      <c r="J56" s="2" t="s">
        <v>459</v>
      </c>
      <c r="K56" s="2" t="s">
        <v>460</v>
      </c>
      <c r="L56" s="2">
        <v>5688.0</v>
      </c>
      <c r="M56" s="2">
        <v>56.0</v>
      </c>
      <c r="N56" s="2">
        <v>3460.68</v>
      </c>
      <c r="O56" s="2" t="s">
        <v>28</v>
      </c>
      <c r="P56" s="2" t="s">
        <v>461</v>
      </c>
      <c r="Q56" s="2" t="s">
        <v>462</v>
      </c>
      <c r="T56" s="2" t="s">
        <v>463</v>
      </c>
      <c r="U56" s="2" t="s">
        <v>33</v>
      </c>
    </row>
    <row r="57">
      <c r="A57" s="2">
        <v>56.0</v>
      </c>
      <c r="B57" s="2">
        <v>56.0</v>
      </c>
      <c r="C57" s="2">
        <v>56.0</v>
      </c>
      <c r="D57" s="3">
        <v>44437.0</v>
      </c>
      <c r="E57" s="2" t="s">
        <v>464</v>
      </c>
      <c r="F57" s="2" t="s">
        <v>237</v>
      </c>
      <c r="G57" s="2">
        <v>721.05</v>
      </c>
      <c r="H57" s="2" t="s">
        <v>465</v>
      </c>
      <c r="I57" s="2" t="s">
        <v>466</v>
      </c>
      <c r="J57" s="2" t="s">
        <v>467</v>
      </c>
      <c r="K57" s="2" t="s">
        <v>39</v>
      </c>
      <c r="L57" s="2" t="s">
        <v>468</v>
      </c>
      <c r="M57" s="2">
        <v>59.0</v>
      </c>
      <c r="N57" s="2">
        <v>4664.86</v>
      </c>
      <c r="O57" s="2" t="s">
        <v>28</v>
      </c>
      <c r="P57" s="2" t="s">
        <v>469</v>
      </c>
      <c r="Q57" s="2" t="s">
        <v>470</v>
      </c>
      <c r="R57" s="2" t="s">
        <v>470</v>
      </c>
      <c r="S57" s="2" t="s">
        <v>471</v>
      </c>
      <c r="T57" s="2" t="s">
        <v>26</v>
      </c>
      <c r="U57" s="2" t="s">
        <v>46</v>
      </c>
    </row>
    <row r="58">
      <c r="A58" s="2">
        <v>57.0</v>
      </c>
      <c r="B58" s="2">
        <v>57.0</v>
      </c>
      <c r="C58" s="2">
        <v>57.0</v>
      </c>
      <c r="D58" s="3">
        <v>43909.0</v>
      </c>
      <c r="E58" s="2" t="s">
        <v>472</v>
      </c>
      <c r="F58" s="2" t="s">
        <v>237</v>
      </c>
      <c r="G58" s="2">
        <v>653.07</v>
      </c>
      <c r="H58" s="2" t="s">
        <v>473</v>
      </c>
      <c r="I58" s="2" t="s">
        <v>474</v>
      </c>
      <c r="J58" s="2" t="s">
        <v>475</v>
      </c>
      <c r="K58" s="2" t="s">
        <v>119</v>
      </c>
      <c r="M58" s="2">
        <v>30.0</v>
      </c>
      <c r="N58" s="2">
        <v>7824.59</v>
      </c>
      <c r="O58" s="2" t="s">
        <v>52</v>
      </c>
      <c r="P58" s="2" t="s">
        <v>476</v>
      </c>
      <c r="Q58" s="2" t="s">
        <v>477</v>
      </c>
      <c r="T58" s="2" t="s">
        <v>478</v>
      </c>
      <c r="U58" s="2" t="s">
        <v>71</v>
      </c>
    </row>
    <row r="59">
      <c r="A59" s="2">
        <v>58.0</v>
      </c>
      <c r="B59" s="2">
        <v>58.0</v>
      </c>
      <c r="C59" s="2">
        <v>58.0</v>
      </c>
      <c r="D59" s="3">
        <v>43890.0</v>
      </c>
      <c r="E59" s="2" t="s">
        <v>479</v>
      </c>
      <c r="F59" s="2" t="s">
        <v>480</v>
      </c>
      <c r="G59" s="2">
        <v>624.35</v>
      </c>
      <c r="H59" s="2" t="s">
        <v>481</v>
      </c>
      <c r="I59" s="2" t="s">
        <v>482</v>
      </c>
      <c r="J59" s="2" t="s">
        <v>483</v>
      </c>
      <c r="K59" s="2" t="s">
        <v>101</v>
      </c>
      <c r="L59" s="2">
        <v>84125.0</v>
      </c>
      <c r="M59" s="2">
        <v>45.0</v>
      </c>
      <c r="N59" s="2">
        <v>4523.67</v>
      </c>
      <c r="O59" s="2" t="s">
        <v>41</v>
      </c>
      <c r="P59" s="2" t="s">
        <v>484</v>
      </c>
      <c r="Q59" s="2" t="s">
        <v>485</v>
      </c>
      <c r="R59" s="2" t="s">
        <v>486</v>
      </c>
      <c r="T59" s="2" t="s">
        <v>32</v>
      </c>
      <c r="U59" s="2" t="s">
        <v>46</v>
      </c>
    </row>
    <row r="60">
      <c r="A60" s="2">
        <v>59.0</v>
      </c>
      <c r="B60" s="2">
        <v>59.0</v>
      </c>
      <c r="C60" s="2">
        <v>59.0</v>
      </c>
      <c r="D60" s="3">
        <v>44436.0</v>
      </c>
      <c r="E60" s="2" t="s">
        <v>487</v>
      </c>
      <c r="F60" s="2" t="s">
        <v>73</v>
      </c>
      <c r="G60" s="2">
        <v>764.81</v>
      </c>
      <c r="H60" s="2" t="s">
        <v>488</v>
      </c>
      <c r="I60" s="2" t="s">
        <v>489</v>
      </c>
      <c r="J60" s="2" t="s">
        <v>490</v>
      </c>
      <c r="K60" s="2" t="s">
        <v>491</v>
      </c>
      <c r="M60" s="2">
        <v>41.0</v>
      </c>
      <c r="N60" s="2">
        <v>5518.46</v>
      </c>
      <c r="O60" s="2" t="s">
        <v>41</v>
      </c>
      <c r="P60" s="2" t="s">
        <v>492</v>
      </c>
      <c r="Q60" s="2" t="s">
        <v>493</v>
      </c>
      <c r="S60" s="2">
        <v>188422.0</v>
      </c>
      <c r="T60" s="2" t="s">
        <v>68</v>
      </c>
      <c r="U60" s="2" t="s">
        <v>71</v>
      </c>
    </row>
    <row r="61">
      <c r="A61" s="2">
        <v>60.0</v>
      </c>
      <c r="B61" s="2">
        <v>60.0</v>
      </c>
      <c r="C61" s="2">
        <v>60.0</v>
      </c>
      <c r="D61" s="3">
        <v>44072.0</v>
      </c>
      <c r="E61" s="2" t="s">
        <v>494</v>
      </c>
      <c r="F61" s="2" t="s">
        <v>183</v>
      </c>
      <c r="G61" s="2">
        <v>913.83</v>
      </c>
      <c r="H61" s="2" t="s">
        <v>495</v>
      </c>
      <c r="I61" s="2" t="s">
        <v>496</v>
      </c>
      <c r="J61" s="2" t="s">
        <v>497</v>
      </c>
      <c r="K61" s="2" t="s">
        <v>316</v>
      </c>
      <c r="M61" s="2">
        <v>97.0</v>
      </c>
      <c r="N61" s="2">
        <v>5230.02</v>
      </c>
      <c r="O61" s="2" t="s">
        <v>28</v>
      </c>
      <c r="P61" s="2" t="s">
        <v>498</v>
      </c>
      <c r="Q61" s="2" t="s">
        <v>499</v>
      </c>
      <c r="T61" s="2" t="s">
        <v>32</v>
      </c>
      <c r="U61" s="2" t="s">
        <v>46</v>
      </c>
    </row>
    <row r="62">
      <c r="A62" s="2">
        <v>61.0</v>
      </c>
      <c r="B62" s="2">
        <v>61.0</v>
      </c>
      <c r="C62" s="2">
        <v>61.0</v>
      </c>
      <c r="D62" s="3">
        <v>44042.0</v>
      </c>
      <c r="E62" s="2" t="s">
        <v>500</v>
      </c>
      <c r="F62" s="2" t="s">
        <v>501</v>
      </c>
      <c r="G62" s="2">
        <v>606.58</v>
      </c>
      <c r="H62" s="2" t="s">
        <v>502</v>
      </c>
      <c r="I62" s="2" t="s">
        <v>503</v>
      </c>
      <c r="J62" s="2" t="s">
        <v>504</v>
      </c>
      <c r="K62" s="2" t="s">
        <v>505</v>
      </c>
      <c r="M62" s="2">
        <v>48.0</v>
      </c>
      <c r="N62" s="2">
        <v>4344.0</v>
      </c>
      <c r="O62" s="2" t="s">
        <v>52</v>
      </c>
      <c r="P62" s="2" t="s">
        <v>506</v>
      </c>
      <c r="Q62" s="2" t="s">
        <v>507</v>
      </c>
      <c r="T62" s="2" t="s">
        <v>32</v>
      </c>
      <c r="U62" s="2" t="s">
        <v>33</v>
      </c>
    </row>
    <row r="63">
      <c r="A63" s="2">
        <v>62.0</v>
      </c>
      <c r="B63" s="2">
        <v>62.0</v>
      </c>
      <c r="C63" s="2">
        <v>62.0</v>
      </c>
      <c r="D63" s="3">
        <v>44225.0</v>
      </c>
      <c r="E63" s="2" t="s">
        <v>508</v>
      </c>
      <c r="F63" s="2" t="s">
        <v>237</v>
      </c>
      <c r="G63" s="2">
        <v>284.91</v>
      </c>
      <c r="H63" s="2" t="s">
        <v>509</v>
      </c>
      <c r="I63" s="2" t="s">
        <v>510</v>
      </c>
      <c r="J63" s="2" t="s">
        <v>511</v>
      </c>
      <c r="K63" s="2" t="s">
        <v>257</v>
      </c>
      <c r="L63" s="2" t="s">
        <v>512</v>
      </c>
      <c r="M63" s="2">
        <v>92.0</v>
      </c>
      <c r="N63" s="2">
        <v>7875.06</v>
      </c>
      <c r="O63" s="2" t="s">
        <v>41</v>
      </c>
      <c r="P63" s="2" t="s">
        <v>513</v>
      </c>
      <c r="Q63" s="2" t="s">
        <v>514</v>
      </c>
      <c r="R63" s="2" t="s">
        <v>515</v>
      </c>
      <c r="T63" s="2" t="s">
        <v>137</v>
      </c>
      <c r="U63" s="2" t="s">
        <v>33</v>
      </c>
    </row>
    <row r="64">
      <c r="A64" s="2">
        <v>63.0</v>
      </c>
      <c r="B64" s="2">
        <v>63.0</v>
      </c>
      <c r="C64" s="2">
        <v>63.0</v>
      </c>
      <c r="D64" s="3">
        <v>43985.0</v>
      </c>
      <c r="E64" s="2" t="s">
        <v>516</v>
      </c>
      <c r="F64" s="2" t="s">
        <v>310</v>
      </c>
      <c r="G64" s="2">
        <v>640.09</v>
      </c>
      <c r="H64" s="2" t="s">
        <v>517</v>
      </c>
      <c r="I64" s="2" t="s">
        <v>518</v>
      </c>
      <c r="J64" s="2" t="s">
        <v>519</v>
      </c>
      <c r="K64" s="2" t="s">
        <v>127</v>
      </c>
      <c r="L64" s="2" t="s">
        <v>520</v>
      </c>
      <c r="M64" s="2">
        <v>30.0</v>
      </c>
      <c r="N64" s="2">
        <v>1201.8</v>
      </c>
      <c r="O64" s="2" t="s">
        <v>41</v>
      </c>
      <c r="P64" s="2" t="s">
        <v>521</v>
      </c>
      <c r="Q64" s="2" t="s">
        <v>522</v>
      </c>
      <c r="T64" s="2" t="s">
        <v>478</v>
      </c>
      <c r="U64" s="2" t="s">
        <v>46</v>
      </c>
    </row>
    <row r="65">
      <c r="A65" s="2">
        <v>64.0</v>
      </c>
      <c r="B65" s="2">
        <v>64.0</v>
      </c>
      <c r="C65" s="2">
        <v>64.0</v>
      </c>
      <c r="D65" s="3">
        <v>43846.0</v>
      </c>
      <c r="E65" s="2" t="s">
        <v>523</v>
      </c>
      <c r="F65" s="2" t="s">
        <v>97</v>
      </c>
      <c r="G65" s="2">
        <v>94.7</v>
      </c>
      <c r="H65" s="2" t="s">
        <v>524</v>
      </c>
      <c r="I65" s="2" t="s">
        <v>525</v>
      </c>
      <c r="J65" s="2" t="s">
        <v>526</v>
      </c>
      <c r="K65" s="2" t="s">
        <v>505</v>
      </c>
      <c r="M65" s="2">
        <v>25.0</v>
      </c>
      <c r="N65" s="2">
        <v>5978.58</v>
      </c>
      <c r="O65" s="2" t="s">
        <v>52</v>
      </c>
      <c r="P65" s="2" t="s">
        <v>527</v>
      </c>
      <c r="Q65" s="2" t="s">
        <v>528</v>
      </c>
      <c r="S65" s="2">
        <v>32600.0</v>
      </c>
      <c r="T65" s="2" t="s">
        <v>529</v>
      </c>
      <c r="U65" s="2" t="s">
        <v>71</v>
      </c>
    </row>
    <row r="66">
      <c r="A66" s="2">
        <v>65.0</v>
      </c>
      <c r="B66" s="2">
        <v>65.0</v>
      </c>
      <c r="C66" s="2">
        <v>65.0</v>
      </c>
      <c r="D66" s="3">
        <v>44222.0</v>
      </c>
      <c r="E66" s="2" t="s">
        <v>530</v>
      </c>
      <c r="F66" s="2" t="s">
        <v>73</v>
      </c>
      <c r="G66" s="2">
        <v>68.84</v>
      </c>
      <c r="H66" s="2" t="s">
        <v>531</v>
      </c>
      <c r="I66" s="2" t="s">
        <v>532</v>
      </c>
      <c r="J66" s="2" t="s">
        <v>533</v>
      </c>
      <c r="K66" s="2" t="s">
        <v>534</v>
      </c>
      <c r="M66" s="2">
        <v>86.0</v>
      </c>
      <c r="N66" s="2">
        <v>1881.23</v>
      </c>
      <c r="O66" s="2" t="s">
        <v>52</v>
      </c>
      <c r="P66" s="2" t="s">
        <v>535</v>
      </c>
      <c r="Q66" s="2" t="s">
        <v>536</v>
      </c>
      <c r="S66" s="2">
        <v>4515.0</v>
      </c>
      <c r="T66" s="2" t="s">
        <v>241</v>
      </c>
      <c r="U66" s="2" t="s">
        <v>46</v>
      </c>
    </row>
    <row r="67">
      <c r="A67" s="2">
        <v>66.0</v>
      </c>
      <c r="B67" s="2">
        <v>66.0</v>
      </c>
      <c r="C67" s="2">
        <v>66.0</v>
      </c>
      <c r="D67" s="3">
        <v>43911.0</v>
      </c>
      <c r="E67" s="2" t="s">
        <v>537</v>
      </c>
      <c r="F67" s="2" t="s">
        <v>538</v>
      </c>
      <c r="G67" s="2">
        <v>504.91</v>
      </c>
      <c r="H67" s="2" t="s">
        <v>539</v>
      </c>
      <c r="I67" s="2" t="s">
        <v>540</v>
      </c>
      <c r="J67" s="2" t="s">
        <v>541</v>
      </c>
      <c r="K67" s="2" t="s">
        <v>163</v>
      </c>
      <c r="L67" s="2" t="s">
        <v>542</v>
      </c>
      <c r="M67" s="2">
        <v>1.0</v>
      </c>
      <c r="N67" s="2">
        <v>6960.72</v>
      </c>
      <c r="O67" s="2" t="s">
        <v>41</v>
      </c>
      <c r="P67" s="2" t="s">
        <v>543</v>
      </c>
      <c r="Q67" s="2" t="s">
        <v>544</v>
      </c>
      <c r="T67" s="2" t="s">
        <v>32</v>
      </c>
      <c r="U67" s="2" t="s">
        <v>33</v>
      </c>
    </row>
    <row r="68">
      <c r="A68" s="2">
        <v>67.0</v>
      </c>
      <c r="B68" s="2">
        <v>67.0</v>
      </c>
      <c r="C68" s="2">
        <v>67.0</v>
      </c>
      <c r="D68" s="3">
        <v>44198.0</v>
      </c>
      <c r="E68" s="2" t="s">
        <v>545</v>
      </c>
      <c r="F68" s="2" t="s">
        <v>546</v>
      </c>
      <c r="G68" s="2">
        <v>217.81</v>
      </c>
      <c r="H68" s="2" t="s">
        <v>547</v>
      </c>
      <c r="I68" s="2" t="s">
        <v>548</v>
      </c>
      <c r="J68" s="2" t="s">
        <v>549</v>
      </c>
      <c r="K68" s="2" t="s">
        <v>119</v>
      </c>
      <c r="M68" s="2">
        <v>94.0</v>
      </c>
      <c r="N68" s="2">
        <v>4660.39</v>
      </c>
      <c r="O68" s="2" t="s">
        <v>41</v>
      </c>
      <c r="P68" s="2" t="s">
        <v>550</v>
      </c>
      <c r="Q68" s="2" t="s">
        <v>551</v>
      </c>
      <c r="S68" s="2" t="s">
        <v>552</v>
      </c>
      <c r="T68" s="2" t="s">
        <v>114</v>
      </c>
      <c r="U68" s="2" t="s">
        <v>46</v>
      </c>
    </row>
    <row r="69">
      <c r="A69" s="2">
        <v>68.0</v>
      </c>
      <c r="B69" s="2">
        <v>68.0</v>
      </c>
      <c r="C69" s="2">
        <v>68.0</v>
      </c>
      <c r="D69" s="3">
        <v>44042.0</v>
      </c>
      <c r="E69" s="2" t="s">
        <v>553</v>
      </c>
      <c r="F69" s="2" t="s">
        <v>413</v>
      </c>
      <c r="G69" s="2">
        <v>595.89</v>
      </c>
      <c r="H69" s="2" t="s">
        <v>554</v>
      </c>
      <c r="I69" s="2" t="s">
        <v>555</v>
      </c>
      <c r="J69" s="2" t="s">
        <v>556</v>
      </c>
      <c r="K69" s="2" t="s">
        <v>163</v>
      </c>
      <c r="L69" s="2" t="s">
        <v>557</v>
      </c>
      <c r="M69" s="2">
        <v>13.0</v>
      </c>
      <c r="N69" s="2">
        <v>259.74</v>
      </c>
      <c r="O69" s="2" t="s">
        <v>28</v>
      </c>
      <c r="P69" s="2" t="s">
        <v>558</v>
      </c>
      <c r="Q69" s="2" t="s">
        <v>559</v>
      </c>
      <c r="T69" s="2" t="s">
        <v>119</v>
      </c>
      <c r="U69" s="2" t="s">
        <v>71</v>
      </c>
    </row>
    <row r="70">
      <c r="A70" s="2">
        <v>69.0</v>
      </c>
      <c r="B70" s="2">
        <v>69.0</v>
      </c>
      <c r="C70" s="2">
        <v>69.0</v>
      </c>
      <c r="D70" s="3">
        <v>44201.0</v>
      </c>
      <c r="E70" s="2" t="s">
        <v>560</v>
      </c>
      <c r="F70" s="2" t="s">
        <v>35</v>
      </c>
      <c r="G70" s="2">
        <v>910.02</v>
      </c>
      <c r="H70" s="2" t="s">
        <v>561</v>
      </c>
      <c r="I70" s="2" t="s">
        <v>562</v>
      </c>
      <c r="J70" s="2" t="s">
        <v>563</v>
      </c>
      <c r="K70" s="2" t="s">
        <v>68</v>
      </c>
      <c r="L70" s="2">
        <v>641780.0</v>
      </c>
      <c r="M70" s="2">
        <v>75.0</v>
      </c>
      <c r="N70" s="2">
        <v>6933.16</v>
      </c>
      <c r="O70" s="2" t="s">
        <v>28</v>
      </c>
      <c r="P70" s="2" t="s">
        <v>564</v>
      </c>
      <c r="Q70" s="2" t="s">
        <v>565</v>
      </c>
      <c r="S70" s="2">
        <v>2421.0</v>
      </c>
      <c r="T70" s="2" t="s">
        <v>178</v>
      </c>
      <c r="U70" s="2" t="s">
        <v>46</v>
      </c>
    </row>
    <row r="71">
      <c r="A71" s="2">
        <v>70.0</v>
      </c>
      <c r="B71" s="2">
        <v>70.0</v>
      </c>
      <c r="C71" s="2">
        <v>70.0</v>
      </c>
      <c r="D71" s="3">
        <v>44249.0</v>
      </c>
      <c r="E71" s="2" t="s">
        <v>566</v>
      </c>
      <c r="F71" s="2" t="s">
        <v>567</v>
      </c>
      <c r="G71" s="2">
        <v>144.66</v>
      </c>
      <c r="H71" s="2" t="s">
        <v>568</v>
      </c>
      <c r="I71" s="2" t="s">
        <v>569</v>
      </c>
      <c r="J71" s="2" t="s">
        <v>570</v>
      </c>
      <c r="K71" s="2" t="s">
        <v>68</v>
      </c>
      <c r="L71" s="2">
        <v>446521.0</v>
      </c>
      <c r="M71" s="2">
        <v>42.0</v>
      </c>
      <c r="N71" s="2">
        <v>9508.39</v>
      </c>
      <c r="O71" s="2" t="s">
        <v>41</v>
      </c>
      <c r="P71" s="2" t="s">
        <v>571</v>
      </c>
      <c r="Q71" s="2" t="s">
        <v>572</v>
      </c>
      <c r="T71" s="2" t="s">
        <v>573</v>
      </c>
      <c r="U71" s="2" t="s">
        <v>46</v>
      </c>
    </row>
    <row r="72">
      <c r="A72" s="2">
        <v>71.0</v>
      </c>
      <c r="B72" s="2">
        <v>71.0</v>
      </c>
      <c r="C72" s="2">
        <v>71.0</v>
      </c>
      <c r="D72" s="3">
        <v>44288.0</v>
      </c>
      <c r="E72" s="2" t="s">
        <v>574</v>
      </c>
      <c r="F72" s="2" t="s">
        <v>142</v>
      </c>
      <c r="G72" s="2">
        <v>808.97</v>
      </c>
      <c r="H72" s="2" t="s">
        <v>575</v>
      </c>
      <c r="I72" s="2" t="s">
        <v>576</v>
      </c>
      <c r="J72" s="2" t="s">
        <v>577</v>
      </c>
      <c r="K72" s="2" t="s">
        <v>68</v>
      </c>
      <c r="L72" s="2">
        <v>665501.0</v>
      </c>
      <c r="M72" s="2">
        <v>60.0</v>
      </c>
      <c r="N72" s="2">
        <v>9110.34</v>
      </c>
      <c r="O72" s="2" t="s">
        <v>28</v>
      </c>
      <c r="P72" s="2" t="s">
        <v>578</v>
      </c>
      <c r="Q72" s="2" t="s">
        <v>579</v>
      </c>
      <c r="S72" s="2" t="s">
        <v>580</v>
      </c>
      <c r="T72" s="2" t="s">
        <v>114</v>
      </c>
      <c r="U72" s="2" t="s">
        <v>46</v>
      </c>
    </row>
    <row r="73">
      <c r="A73" s="2">
        <v>72.0</v>
      </c>
      <c r="B73" s="2">
        <v>72.0</v>
      </c>
      <c r="C73" s="2">
        <v>72.0</v>
      </c>
      <c r="D73" s="3">
        <v>44359.0</v>
      </c>
      <c r="E73" s="2" t="s">
        <v>581</v>
      </c>
      <c r="F73" s="2" t="s">
        <v>237</v>
      </c>
      <c r="G73" s="2">
        <v>331.28</v>
      </c>
      <c r="H73" s="2" t="s">
        <v>582</v>
      </c>
      <c r="I73" s="2" t="s">
        <v>583</v>
      </c>
      <c r="J73" s="2" t="s">
        <v>584</v>
      </c>
      <c r="K73" s="2" t="s">
        <v>585</v>
      </c>
      <c r="M73" s="2">
        <v>1.0</v>
      </c>
      <c r="N73" s="2">
        <v>4885.85</v>
      </c>
      <c r="O73" s="2" t="s">
        <v>28</v>
      </c>
      <c r="P73" s="2" t="s">
        <v>586</v>
      </c>
      <c r="Q73" s="2" t="s">
        <v>587</v>
      </c>
      <c r="S73" s="2" t="s">
        <v>588</v>
      </c>
      <c r="T73" s="2" t="s">
        <v>163</v>
      </c>
      <c r="U73" s="2" t="s">
        <v>71</v>
      </c>
    </row>
    <row r="74">
      <c r="A74" s="2">
        <v>73.0</v>
      </c>
      <c r="B74" s="2">
        <v>73.0</v>
      </c>
      <c r="C74" s="2">
        <v>73.0</v>
      </c>
      <c r="D74" s="3">
        <v>44253.0</v>
      </c>
      <c r="E74" s="2" t="s">
        <v>589</v>
      </c>
      <c r="F74" s="2" t="s">
        <v>245</v>
      </c>
      <c r="G74" s="2">
        <v>787.1</v>
      </c>
      <c r="H74" s="2" t="s">
        <v>590</v>
      </c>
      <c r="I74" s="2" t="s">
        <v>591</v>
      </c>
      <c r="J74" s="2" t="s">
        <v>592</v>
      </c>
      <c r="K74" s="2" t="s">
        <v>106</v>
      </c>
      <c r="L74" s="2" t="s">
        <v>593</v>
      </c>
      <c r="M74" s="2">
        <v>15.0</v>
      </c>
      <c r="N74" s="2">
        <v>1084.43</v>
      </c>
      <c r="O74" s="2" t="s">
        <v>41</v>
      </c>
      <c r="P74" s="2" t="s">
        <v>594</v>
      </c>
      <c r="Q74" s="2" t="s">
        <v>595</v>
      </c>
      <c r="T74" s="2" t="s">
        <v>119</v>
      </c>
      <c r="U74" s="2" t="s">
        <v>46</v>
      </c>
    </row>
    <row r="75">
      <c r="A75" s="2">
        <v>74.0</v>
      </c>
      <c r="B75" s="2">
        <v>74.0</v>
      </c>
      <c r="C75" s="2">
        <v>74.0</v>
      </c>
      <c r="D75" s="3">
        <v>44260.0</v>
      </c>
      <c r="E75" s="2" t="s">
        <v>596</v>
      </c>
      <c r="F75" s="2" t="s">
        <v>142</v>
      </c>
      <c r="G75" s="2">
        <v>944.97</v>
      </c>
      <c r="H75" s="2" t="s">
        <v>597</v>
      </c>
      <c r="I75" s="2" t="s">
        <v>598</v>
      </c>
      <c r="J75" s="2" t="s">
        <v>599</v>
      </c>
      <c r="K75" s="2" t="s">
        <v>32</v>
      </c>
      <c r="M75" s="2">
        <v>26.0</v>
      </c>
      <c r="N75" s="2">
        <v>5592.37</v>
      </c>
      <c r="O75" s="2" t="s">
        <v>41</v>
      </c>
      <c r="P75" s="2" t="s">
        <v>600</v>
      </c>
      <c r="Q75" s="2" t="s">
        <v>601</v>
      </c>
      <c r="S75" s="2" t="s">
        <v>602</v>
      </c>
      <c r="T75" s="2" t="s">
        <v>127</v>
      </c>
      <c r="U75" s="2" t="s">
        <v>71</v>
      </c>
    </row>
    <row r="76">
      <c r="A76" s="2">
        <v>75.0</v>
      </c>
      <c r="B76" s="2">
        <v>75.0</v>
      </c>
      <c r="C76" s="2">
        <v>75.0</v>
      </c>
      <c r="D76" s="3">
        <v>44269.0</v>
      </c>
      <c r="E76" s="2" t="s">
        <v>603</v>
      </c>
      <c r="F76" s="2" t="s">
        <v>230</v>
      </c>
      <c r="G76" s="2">
        <v>861.33</v>
      </c>
      <c r="H76" s="2" t="s">
        <v>604</v>
      </c>
      <c r="I76" s="2" t="s">
        <v>605</v>
      </c>
      <c r="J76" s="2" t="s">
        <v>606</v>
      </c>
      <c r="K76" s="2" t="s">
        <v>32</v>
      </c>
      <c r="M76" s="2">
        <v>46.0</v>
      </c>
      <c r="N76" s="2">
        <v>5455.24</v>
      </c>
      <c r="O76" s="2" t="s">
        <v>41</v>
      </c>
      <c r="P76" s="2" t="s">
        <v>600</v>
      </c>
      <c r="Q76" s="2" t="s">
        <v>607</v>
      </c>
      <c r="T76" s="2" t="s">
        <v>32</v>
      </c>
      <c r="U76" s="2" t="s">
        <v>33</v>
      </c>
    </row>
    <row r="77">
      <c r="A77" s="2">
        <v>76.0</v>
      </c>
      <c r="B77" s="2">
        <v>76.0</v>
      </c>
      <c r="C77" s="2">
        <v>76.0</v>
      </c>
      <c r="D77" s="3">
        <v>44119.0</v>
      </c>
      <c r="E77" s="2" t="s">
        <v>608</v>
      </c>
      <c r="F77" s="2" t="s">
        <v>237</v>
      </c>
      <c r="G77" s="2">
        <v>132.94</v>
      </c>
      <c r="H77" s="2" t="s">
        <v>609</v>
      </c>
      <c r="I77" s="2" t="s">
        <v>610</v>
      </c>
      <c r="J77" s="2" t="s">
        <v>611</v>
      </c>
      <c r="K77" s="2" t="s">
        <v>612</v>
      </c>
      <c r="M77" s="2">
        <v>41.0</v>
      </c>
      <c r="N77" s="2">
        <v>7111.75</v>
      </c>
      <c r="O77" s="2" t="s">
        <v>41</v>
      </c>
      <c r="P77" s="2" t="s">
        <v>613</v>
      </c>
      <c r="Q77" s="2" t="s">
        <v>614</v>
      </c>
      <c r="S77" s="2">
        <v>157944.0</v>
      </c>
      <c r="T77" s="2" t="s">
        <v>68</v>
      </c>
      <c r="U77" s="2" t="s">
        <v>46</v>
      </c>
    </row>
    <row r="78">
      <c r="A78" s="2">
        <v>77.0</v>
      </c>
      <c r="B78" s="2">
        <v>77.0</v>
      </c>
      <c r="C78" s="2">
        <v>77.0</v>
      </c>
      <c r="D78" s="3">
        <v>44318.0</v>
      </c>
      <c r="E78" s="2" t="s">
        <v>615</v>
      </c>
      <c r="F78" s="2" t="s">
        <v>342</v>
      </c>
      <c r="G78" s="2">
        <v>733.22</v>
      </c>
      <c r="H78" s="2" t="s">
        <v>616</v>
      </c>
      <c r="I78" s="2" t="s">
        <v>617</v>
      </c>
      <c r="J78" s="2" t="s">
        <v>618</v>
      </c>
      <c r="K78" s="2" t="s">
        <v>32</v>
      </c>
      <c r="M78" s="2">
        <v>41.0</v>
      </c>
      <c r="N78" s="2">
        <v>3585.58</v>
      </c>
      <c r="O78" s="2" t="s">
        <v>28</v>
      </c>
      <c r="P78" s="2" t="s">
        <v>619</v>
      </c>
      <c r="Q78" s="2" t="s">
        <v>620</v>
      </c>
      <c r="T78" s="2" t="s">
        <v>621</v>
      </c>
      <c r="U78" s="2" t="s">
        <v>33</v>
      </c>
    </row>
    <row r="79">
      <c r="A79" s="2">
        <v>78.0</v>
      </c>
      <c r="B79" s="2">
        <v>78.0</v>
      </c>
      <c r="C79" s="2">
        <v>78.0</v>
      </c>
      <c r="D79" s="3">
        <v>43833.0</v>
      </c>
      <c r="E79" s="2" t="s">
        <v>622</v>
      </c>
      <c r="F79" s="2" t="s">
        <v>623</v>
      </c>
      <c r="G79" s="2">
        <v>803.07</v>
      </c>
      <c r="H79" s="2" t="s">
        <v>624</v>
      </c>
      <c r="I79" s="2" t="s">
        <v>625</v>
      </c>
      <c r="J79" s="2" t="s">
        <v>626</v>
      </c>
      <c r="K79" s="2" t="s">
        <v>627</v>
      </c>
      <c r="L79" s="2">
        <v>37180.0</v>
      </c>
      <c r="M79" s="2">
        <v>7.0</v>
      </c>
      <c r="N79" s="2">
        <v>8020.74</v>
      </c>
      <c r="O79" s="2" t="s">
        <v>41</v>
      </c>
      <c r="P79" s="2" t="s">
        <v>628</v>
      </c>
      <c r="Q79" s="2" t="s">
        <v>629</v>
      </c>
      <c r="S79" s="2">
        <v>23568.0</v>
      </c>
      <c r="T79" s="2" t="s">
        <v>630</v>
      </c>
      <c r="U79" s="2" t="s">
        <v>71</v>
      </c>
    </row>
    <row r="80">
      <c r="A80" s="2">
        <v>79.0</v>
      </c>
      <c r="B80" s="2">
        <v>79.0</v>
      </c>
      <c r="C80" s="2">
        <v>79.0</v>
      </c>
      <c r="D80" s="3">
        <v>44467.0</v>
      </c>
      <c r="E80" s="2" t="s">
        <v>631</v>
      </c>
      <c r="F80" s="2" t="s">
        <v>142</v>
      </c>
      <c r="G80" s="2">
        <v>886.63</v>
      </c>
      <c r="H80" s="2" t="s">
        <v>632</v>
      </c>
      <c r="I80" s="2" t="s">
        <v>633</v>
      </c>
      <c r="J80" s="2" t="s">
        <v>634</v>
      </c>
      <c r="K80" s="2" t="s">
        <v>32</v>
      </c>
      <c r="M80" s="2">
        <v>81.0</v>
      </c>
      <c r="N80" s="2">
        <v>3647.03</v>
      </c>
      <c r="O80" s="2" t="s">
        <v>28</v>
      </c>
      <c r="P80" s="2" t="s">
        <v>635</v>
      </c>
      <c r="Q80" s="2" t="s">
        <v>636</v>
      </c>
      <c r="S80" s="2" t="s">
        <v>637</v>
      </c>
      <c r="T80" s="2" t="s">
        <v>163</v>
      </c>
      <c r="U80" s="2" t="s">
        <v>33</v>
      </c>
    </row>
    <row r="81">
      <c r="A81" s="2">
        <v>80.0</v>
      </c>
      <c r="B81" s="2">
        <v>80.0</v>
      </c>
      <c r="C81" s="2">
        <v>80.0</v>
      </c>
      <c r="D81" s="3">
        <v>44286.0</v>
      </c>
      <c r="E81" s="2" t="s">
        <v>638</v>
      </c>
      <c r="F81" s="2" t="s">
        <v>639</v>
      </c>
      <c r="G81" s="2">
        <v>912.91</v>
      </c>
      <c r="H81" s="2" t="s">
        <v>640</v>
      </c>
      <c r="I81" s="2" t="s">
        <v>641</v>
      </c>
      <c r="J81" s="2" t="s">
        <v>642</v>
      </c>
      <c r="K81" s="2" t="s">
        <v>32</v>
      </c>
      <c r="M81" s="2">
        <v>15.0</v>
      </c>
      <c r="N81" s="2">
        <v>1793.41</v>
      </c>
      <c r="O81" s="2" t="s">
        <v>28</v>
      </c>
      <c r="P81" s="2" t="s">
        <v>643</v>
      </c>
      <c r="Q81" s="2" t="s">
        <v>644</v>
      </c>
      <c r="S81" s="2" t="s">
        <v>645</v>
      </c>
      <c r="T81" s="2" t="s">
        <v>114</v>
      </c>
      <c r="U81" s="2" t="s">
        <v>46</v>
      </c>
    </row>
    <row r="82">
      <c r="A82" s="2">
        <v>81.0</v>
      </c>
      <c r="B82" s="2">
        <v>81.0</v>
      </c>
      <c r="C82" s="2">
        <v>81.0</v>
      </c>
      <c r="D82" s="3">
        <v>44244.0</v>
      </c>
      <c r="E82" s="2" t="s">
        <v>646</v>
      </c>
      <c r="F82" s="2" t="s">
        <v>546</v>
      </c>
      <c r="G82" s="2">
        <v>235.67</v>
      </c>
      <c r="H82" s="2" t="s">
        <v>647</v>
      </c>
      <c r="I82" s="2" t="s">
        <v>648</v>
      </c>
      <c r="J82" s="2" t="s">
        <v>649</v>
      </c>
      <c r="K82" s="2" t="s">
        <v>650</v>
      </c>
      <c r="M82" s="2">
        <v>79.0</v>
      </c>
      <c r="N82" s="2">
        <v>8416.21</v>
      </c>
      <c r="O82" s="2" t="s">
        <v>28</v>
      </c>
      <c r="P82" s="2" t="s">
        <v>259</v>
      </c>
      <c r="Q82" s="2" t="s">
        <v>651</v>
      </c>
      <c r="S82" s="2" t="s">
        <v>652</v>
      </c>
      <c r="T82" s="2" t="s">
        <v>39</v>
      </c>
      <c r="U82" s="2" t="s">
        <v>71</v>
      </c>
    </row>
    <row r="83">
      <c r="A83" s="2">
        <v>82.0</v>
      </c>
      <c r="B83" s="2">
        <v>82.0</v>
      </c>
      <c r="C83" s="2">
        <v>82.0</v>
      </c>
      <c r="D83" s="3">
        <v>44397.0</v>
      </c>
      <c r="E83" s="2" t="s">
        <v>653</v>
      </c>
      <c r="F83" s="2" t="s">
        <v>142</v>
      </c>
      <c r="G83" s="2">
        <v>56.4</v>
      </c>
      <c r="H83" s="2" t="s">
        <v>654</v>
      </c>
      <c r="I83" s="2" t="s">
        <v>655</v>
      </c>
      <c r="J83" s="2" t="s">
        <v>656</v>
      </c>
      <c r="K83" s="2" t="s">
        <v>26</v>
      </c>
      <c r="L83" s="2" t="s">
        <v>657</v>
      </c>
      <c r="M83" s="2">
        <v>29.0</v>
      </c>
      <c r="N83" s="2">
        <v>878.72</v>
      </c>
      <c r="O83" s="2" t="s">
        <v>28</v>
      </c>
      <c r="P83" s="2" t="s">
        <v>658</v>
      </c>
      <c r="Q83" s="2" t="s">
        <v>659</v>
      </c>
      <c r="R83" s="2" t="s">
        <v>660</v>
      </c>
      <c r="T83" s="2" t="s">
        <v>119</v>
      </c>
      <c r="U83" s="2" t="s">
        <v>33</v>
      </c>
    </row>
    <row r="84">
      <c r="A84" s="2">
        <v>83.0</v>
      </c>
      <c r="B84" s="2">
        <v>83.0</v>
      </c>
      <c r="C84" s="2">
        <v>83.0</v>
      </c>
      <c r="D84" s="3">
        <v>44180.0</v>
      </c>
      <c r="E84" s="2" t="s">
        <v>661</v>
      </c>
      <c r="F84" s="2" t="s">
        <v>662</v>
      </c>
      <c r="G84" s="2">
        <v>126.74</v>
      </c>
      <c r="H84" s="2" t="s">
        <v>663</v>
      </c>
      <c r="I84" s="2" t="s">
        <v>664</v>
      </c>
      <c r="J84" s="2" t="s">
        <v>665</v>
      </c>
      <c r="K84" s="2" t="s">
        <v>101</v>
      </c>
      <c r="L84" s="2">
        <v>67236.0</v>
      </c>
      <c r="M84" s="2">
        <v>39.0</v>
      </c>
      <c r="N84" s="2">
        <v>4519.89</v>
      </c>
      <c r="O84" s="2" t="s">
        <v>28</v>
      </c>
      <c r="P84" s="2" t="s">
        <v>613</v>
      </c>
      <c r="Q84" s="2" t="s">
        <v>666</v>
      </c>
      <c r="R84" s="2" t="s">
        <v>667</v>
      </c>
      <c r="T84" s="2" t="s">
        <v>119</v>
      </c>
      <c r="U84" s="2" t="s">
        <v>33</v>
      </c>
    </row>
    <row r="85">
      <c r="A85" s="2">
        <v>84.0</v>
      </c>
      <c r="B85" s="2">
        <v>84.0</v>
      </c>
      <c r="C85" s="2">
        <v>84.0</v>
      </c>
      <c r="D85" s="3">
        <v>44137.0</v>
      </c>
      <c r="E85" s="2" t="s">
        <v>668</v>
      </c>
      <c r="F85" s="2" t="s">
        <v>48</v>
      </c>
      <c r="G85" s="2">
        <v>765.29</v>
      </c>
      <c r="H85" s="2" t="s">
        <v>669</v>
      </c>
      <c r="I85" s="2" t="s">
        <v>670</v>
      </c>
      <c r="J85" s="2" t="s">
        <v>671</v>
      </c>
      <c r="K85" s="2" t="s">
        <v>257</v>
      </c>
      <c r="L85" s="2" t="s">
        <v>672</v>
      </c>
      <c r="M85" s="2">
        <v>99.0</v>
      </c>
      <c r="N85" s="2">
        <v>4472.54</v>
      </c>
      <c r="O85" s="2" t="s">
        <v>28</v>
      </c>
      <c r="P85" s="2" t="s">
        <v>594</v>
      </c>
      <c r="Q85" s="2" t="s">
        <v>673</v>
      </c>
      <c r="R85" s="2" t="s">
        <v>674</v>
      </c>
      <c r="T85" s="2" t="s">
        <v>119</v>
      </c>
      <c r="U85" s="2" t="s">
        <v>33</v>
      </c>
    </row>
    <row r="86">
      <c r="A86" s="2">
        <v>85.0</v>
      </c>
      <c r="B86" s="2">
        <v>85.0</v>
      </c>
      <c r="C86" s="2">
        <v>85.0</v>
      </c>
      <c r="D86" s="3">
        <v>44487.0</v>
      </c>
      <c r="E86" s="2" t="s">
        <v>675</v>
      </c>
      <c r="F86" s="2" t="s">
        <v>332</v>
      </c>
      <c r="G86" s="2">
        <v>143.78</v>
      </c>
      <c r="H86" s="2" t="s">
        <v>676</v>
      </c>
      <c r="I86" s="2" t="s">
        <v>677</v>
      </c>
      <c r="J86" s="2" t="s">
        <v>678</v>
      </c>
      <c r="K86" s="2" t="s">
        <v>26</v>
      </c>
      <c r="L86" s="2" t="s">
        <v>679</v>
      </c>
      <c r="M86" s="2">
        <v>67.0</v>
      </c>
      <c r="N86" s="2">
        <v>3367.73</v>
      </c>
      <c r="O86" s="2" t="s">
        <v>28</v>
      </c>
      <c r="P86" s="2" t="s">
        <v>680</v>
      </c>
      <c r="Q86" s="2" t="s">
        <v>681</v>
      </c>
      <c r="R86" s="2" t="s">
        <v>682</v>
      </c>
      <c r="T86" s="2" t="s">
        <v>119</v>
      </c>
      <c r="U86" s="2" t="s">
        <v>71</v>
      </c>
    </row>
    <row r="87">
      <c r="A87" s="2">
        <v>86.0</v>
      </c>
      <c r="B87" s="2">
        <v>86.0</v>
      </c>
      <c r="C87" s="2">
        <v>86.0</v>
      </c>
      <c r="D87" s="3">
        <v>44083.0</v>
      </c>
      <c r="E87" s="2" t="s">
        <v>683</v>
      </c>
      <c r="F87" s="2" t="s">
        <v>35</v>
      </c>
      <c r="G87" s="2">
        <v>700.63</v>
      </c>
      <c r="H87" s="2" t="s">
        <v>684</v>
      </c>
      <c r="I87" s="2" t="s">
        <v>685</v>
      </c>
      <c r="J87" s="2" t="s">
        <v>686</v>
      </c>
      <c r="K87" s="2" t="s">
        <v>146</v>
      </c>
      <c r="M87" s="2">
        <v>88.0</v>
      </c>
      <c r="N87" s="2">
        <v>325.0</v>
      </c>
      <c r="O87" s="2" t="s">
        <v>28</v>
      </c>
      <c r="P87" s="2" t="s">
        <v>687</v>
      </c>
      <c r="Q87" s="2" t="s">
        <v>688</v>
      </c>
      <c r="S87" s="2" t="s">
        <v>689</v>
      </c>
      <c r="T87" s="2" t="s">
        <v>163</v>
      </c>
      <c r="U87" s="2" t="s">
        <v>71</v>
      </c>
    </row>
    <row r="88">
      <c r="A88" s="2">
        <v>87.0</v>
      </c>
      <c r="B88" s="2">
        <v>87.0</v>
      </c>
      <c r="C88" s="2">
        <v>87.0</v>
      </c>
      <c r="D88" s="3">
        <v>44204.0</v>
      </c>
      <c r="E88" s="2" t="s">
        <v>690</v>
      </c>
      <c r="F88" s="2" t="s">
        <v>662</v>
      </c>
      <c r="G88" s="2">
        <v>502.73</v>
      </c>
      <c r="H88" s="2" t="s">
        <v>691</v>
      </c>
      <c r="I88" s="2" t="s">
        <v>692</v>
      </c>
      <c r="J88" s="2" t="s">
        <v>693</v>
      </c>
      <c r="K88" s="2" t="s">
        <v>119</v>
      </c>
      <c r="M88" s="2">
        <v>97.0</v>
      </c>
      <c r="N88" s="2">
        <v>4123.93</v>
      </c>
      <c r="O88" s="2" t="s">
        <v>41</v>
      </c>
      <c r="P88" s="2" t="s">
        <v>694</v>
      </c>
      <c r="Q88" s="2" t="s">
        <v>695</v>
      </c>
      <c r="T88" s="2" t="s">
        <v>119</v>
      </c>
      <c r="U88" s="2" t="s">
        <v>33</v>
      </c>
    </row>
    <row r="89">
      <c r="A89" s="2">
        <v>88.0</v>
      </c>
      <c r="B89" s="2">
        <v>88.0</v>
      </c>
      <c r="C89" s="2">
        <v>88.0</v>
      </c>
      <c r="D89" s="3">
        <v>44501.0</v>
      </c>
      <c r="E89" s="2" t="s">
        <v>696</v>
      </c>
      <c r="F89" s="2" t="s">
        <v>567</v>
      </c>
      <c r="G89" s="2">
        <v>870.49</v>
      </c>
      <c r="H89" s="2" t="s">
        <v>697</v>
      </c>
      <c r="I89" s="2" t="s">
        <v>698</v>
      </c>
      <c r="J89" s="2" t="s">
        <v>699</v>
      </c>
      <c r="K89" s="2" t="s">
        <v>119</v>
      </c>
      <c r="M89" s="2">
        <v>69.0</v>
      </c>
      <c r="N89" s="2">
        <v>26.6</v>
      </c>
      <c r="O89" s="2" t="s">
        <v>41</v>
      </c>
      <c r="P89" s="2" t="s">
        <v>700</v>
      </c>
      <c r="Q89" s="2" t="s">
        <v>701</v>
      </c>
      <c r="S89" s="2" t="s">
        <v>702</v>
      </c>
      <c r="T89" s="2" t="s">
        <v>39</v>
      </c>
      <c r="U89" s="2" t="s">
        <v>33</v>
      </c>
    </row>
    <row r="90">
      <c r="A90" s="2">
        <v>89.0</v>
      </c>
      <c r="B90" s="2">
        <v>89.0</v>
      </c>
      <c r="C90" s="2">
        <v>89.0</v>
      </c>
      <c r="D90" s="3">
        <v>44043.0</v>
      </c>
      <c r="E90" s="2" t="s">
        <v>703</v>
      </c>
      <c r="F90" s="2" t="s">
        <v>704</v>
      </c>
      <c r="G90" s="2">
        <v>452.26</v>
      </c>
      <c r="H90" s="2" t="s">
        <v>705</v>
      </c>
      <c r="I90" s="2" t="s">
        <v>706</v>
      </c>
      <c r="J90" s="2" t="s">
        <v>707</v>
      </c>
      <c r="K90" s="2" t="s">
        <v>119</v>
      </c>
      <c r="M90" s="2">
        <v>35.0</v>
      </c>
      <c r="N90" s="2">
        <v>367.33</v>
      </c>
      <c r="O90" s="2" t="s">
        <v>41</v>
      </c>
      <c r="P90" s="2" t="s">
        <v>293</v>
      </c>
      <c r="Q90" s="2" t="s">
        <v>708</v>
      </c>
      <c r="T90" s="2" t="s">
        <v>32</v>
      </c>
      <c r="U90" s="2" t="s">
        <v>71</v>
      </c>
    </row>
    <row r="91">
      <c r="A91" s="2">
        <v>90.0</v>
      </c>
      <c r="B91" s="2">
        <v>90.0</v>
      </c>
      <c r="C91" s="2">
        <v>90.0</v>
      </c>
      <c r="D91" s="3">
        <v>44375.0</v>
      </c>
      <c r="E91" s="2" t="s">
        <v>709</v>
      </c>
      <c r="F91" s="2" t="s">
        <v>710</v>
      </c>
      <c r="G91" s="2">
        <v>639.31</v>
      </c>
      <c r="H91" s="2" t="s">
        <v>711</v>
      </c>
      <c r="I91" s="2" t="s">
        <v>712</v>
      </c>
      <c r="J91" s="2" t="s">
        <v>713</v>
      </c>
      <c r="K91" s="2" t="s">
        <v>714</v>
      </c>
      <c r="M91" s="2">
        <v>87.0</v>
      </c>
      <c r="N91" s="2">
        <v>2421.08</v>
      </c>
      <c r="O91" s="2" t="s">
        <v>28</v>
      </c>
      <c r="P91" s="2" t="s">
        <v>715</v>
      </c>
      <c r="Q91" s="2" t="s">
        <v>716</v>
      </c>
      <c r="S91" s="2">
        <v>456209.0</v>
      </c>
      <c r="T91" s="2" t="s">
        <v>68</v>
      </c>
      <c r="U91" s="2" t="s">
        <v>46</v>
      </c>
    </row>
    <row r="92">
      <c r="A92" s="2">
        <v>91.0</v>
      </c>
      <c r="B92" s="2">
        <v>91.0</v>
      </c>
      <c r="C92" s="2">
        <v>91.0</v>
      </c>
      <c r="D92" s="3">
        <v>43959.0</v>
      </c>
      <c r="E92" s="2" t="s">
        <v>717</v>
      </c>
      <c r="F92" s="2" t="s">
        <v>133</v>
      </c>
      <c r="G92" s="2">
        <v>487.32</v>
      </c>
      <c r="H92" s="2" t="s">
        <v>718</v>
      </c>
      <c r="I92" s="2" t="s">
        <v>719</v>
      </c>
      <c r="J92" s="2" t="s">
        <v>720</v>
      </c>
      <c r="K92" s="2" t="s">
        <v>529</v>
      </c>
      <c r="L92" s="2">
        <v>30171.0</v>
      </c>
      <c r="M92" s="2">
        <v>95.0</v>
      </c>
      <c r="N92" s="2">
        <v>5850.7</v>
      </c>
      <c r="O92" s="2" t="s">
        <v>41</v>
      </c>
      <c r="P92" s="2" t="s">
        <v>721</v>
      </c>
      <c r="Q92" s="2" t="s">
        <v>722</v>
      </c>
      <c r="R92" s="2" t="s">
        <v>723</v>
      </c>
      <c r="T92" s="2" t="s">
        <v>267</v>
      </c>
      <c r="U92" s="2" t="s">
        <v>71</v>
      </c>
    </row>
    <row r="93">
      <c r="A93" s="2">
        <v>92.0</v>
      </c>
      <c r="B93" s="2">
        <v>92.0</v>
      </c>
      <c r="C93" s="2">
        <v>92.0</v>
      </c>
      <c r="D93" s="3">
        <v>44133.0</v>
      </c>
      <c r="E93" s="2" t="s">
        <v>724</v>
      </c>
      <c r="F93" s="2" t="s">
        <v>296</v>
      </c>
      <c r="G93" s="2">
        <v>77.66</v>
      </c>
      <c r="H93" s="2" t="s">
        <v>725</v>
      </c>
      <c r="I93" s="2" t="s">
        <v>726</v>
      </c>
      <c r="J93" s="2" t="s">
        <v>727</v>
      </c>
      <c r="K93" s="2" t="s">
        <v>32</v>
      </c>
      <c r="M93" s="2">
        <v>50.0</v>
      </c>
      <c r="N93" s="2">
        <v>1400.05</v>
      </c>
      <c r="O93" s="2" t="s">
        <v>52</v>
      </c>
      <c r="P93" s="2" t="s">
        <v>728</v>
      </c>
      <c r="Q93" s="2" t="s">
        <v>729</v>
      </c>
      <c r="T93" s="2" t="s">
        <v>32</v>
      </c>
      <c r="U93" s="2" t="s">
        <v>46</v>
      </c>
    </row>
    <row r="94">
      <c r="A94" s="2">
        <v>93.0</v>
      </c>
      <c r="B94" s="2">
        <v>93.0</v>
      </c>
      <c r="C94" s="2">
        <v>93.0</v>
      </c>
      <c r="D94" s="3">
        <v>44270.0</v>
      </c>
      <c r="E94" s="2" t="s">
        <v>730</v>
      </c>
      <c r="F94" s="2" t="s">
        <v>35</v>
      </c>
      <c r="G94" s="2">
        <v>509.26</v>
      </c>
      <c r="H94" s="2" t="s">
        <v>731</v>
      </c>
      <c r="I94" s="2" t="s">
        <v>732</v>
      </c>
      <c r="J94" s="2" t="s">
        <v>733</v>
      </c>
      <c r="K94" s="2" t="s">
        <v>39</v>
      </c>
      <c r="L94" s="2" t="s">
        <v>734</v>
      </c>
      <c r="M94" s="2">
        <v>93.0</v>
      </c>
      <c r="N94" s="2">
        <v>2570.88</v>
      </c>
      <c r="O94" s="2" t="s">
        <v>28</v>
      </c>
      <c r="P94" s="2" t="s">
        <v>735</v>
      </c>
      <c r="Q94" s="2" t="s">
        <v>736</v>
      </c>
      <c r="R94" s="2" t="s">
        <v>736</v>
      </c>
      <c r="T94" s="2" t="s">
        <v>119</v>
      </c>
      <c r="U94" s="2" t="s">
        <v>71</v>
      </c>
    </row>
    <row r="95">
      <c r="A95" s="2">
        <v>94.0</v>
      </c>
      <c r="B95" s="2">
        <v>94.0</v>
      </c>
      <c r="C95" s="2">
        <v>94.0</v>
      </c>
      <c r="D95" s="3">
        <v>44309.0</v>
      </c>
      <c r="E95" s="2" t="s">
        <v>737</v>
      </c>
      <c r="F95" s="2" t="s">
        <v>738</v>
      </c>
      <c r="G95" s="2">
        <v>498.46</v>
      </c>
      <c r="H95" s="2" t="s">
        <v>739</v>
      </c>
      <c r="I95" s="2" t="s">
        <v>740</v>
      </c>
      <c r="J95" s="2" t="s">
        <v>741</v>
      </c>
      <c r="K95" s="2" t="s">
        <v>114</v>
      </c>
      <c r="L95" s="2" t="s">
        <v>742</v>
      </c>
      <c r="M95" s="2">
        <v>91.0</v>
      </c>
      <c r="N95" s="2">
        <v>6866.16</v>
      </c>
      <c r="O95" s="2" t="s">
        <v>41</v>
      </c>
      <c r="P95" s="2" t="s">
        <v>743</v>
      </c>
      <c r="Q95" s="2" t="s">
        <v>744</v>
      </c>
      <c r="T95" s="2" t="s">
        <v>745</v>
      </c>
      <c r="U95" s="2" t="s">
        <v>33</v>
      </c>
    </row>
    <row r="96">
      <c r="A96" s="2">
        <v>95.0</v>
      </c>
      <c r="B96" s="2">
        <v>95.0</v>
      </c>
      <c r="C96" s="2">
        <v>95.0</v>
      </c>
      <c r="D96" s="3">
        <v>44268.0</v>
      </c>
      <c r="E96" s="2" t="s">
        <v>746</v>
      </c>
      <c r="F96" s="2" t="s">
        <v>191</v>
      </c>
      <c r="G96" s="2">
        <v>114.48</v>
      </c>
      <c r="H96" s="2" t="s">
        <v>747</v>
      </c>
      <c r="I96" s="2" t="s">
        <v>748</v>
      </c>
      <c r="J96" s="2" t="s">
        <v>749</v>
      </c>
      <c r="K96" s="2" t="s">
        <v>39</v>
      </c>
      <c r="L96" s="2" t="s">
        <v>750</v>
      </c>
      <c r="M96" s="2">
        <v>28.0</v>
      </c>
      <c r="N96" s="2">
        <v>8936.14</v>
      </c>
      <c r="O96" s="2" t="s">
        <v>28</v>
      </c>
      <c r="P96" s="2" t="s">
        <v>751</v>
      </c>
      <c r="Q96" s="2" t="s">
        <v>752</v>
      </c>
      <c r="R96" s="2" t="s">
        <v>753</v>
      </c>
      <c r="S96" s="2">
        <v>347820.0</v>
      </c>
      <c r="T96" s="2" t="s">
        <v>68</v>
      </c>
      <c r="U96" s="2" t="s">
        <v>46</v>
      </c>
    </row>
    <row r="97">
      <c r="A97" s="2">
        <v>96.0</v>
      </c>
      <c r="B97" s="2">
        <v>96.0</v>
      </c>
      <c r="C97" s="2">
        <v>96.0</v>
      </c>
      <c r="D97" s="3">
        <v>44065.0</v>
      </c>
      <c r="E97" s="2" t="s">
        <v>754</v>
      </c>
      <c r="F97" s="2" t="s">
        <v>755</v>
      </c>
      <c r="G97" s="2">
        <v>802.78</v>
      </c>
      <c r="H97" s="2" t="s">
        <v>756</v>
      </c>
      <c r="I97" s="2" t="s">
        <v>757</v>
      </c>
      <c r="J97" s="2" t="s">
        <v>758</v>
      </c>
      <c r="K97" s="2" t="s">
        <v>114</v>
      </c>
      <c r="L97" s="2" t="s">
        <v>759</v>
      </c>
      <c r="M97" s="2">
        <v>87.0</v>
      </c>
      <c r="N97" s="2">
        <v>7005.31</v>
      </c>
      <c r="O97" s="2" t="s">
        <v>52</v>
      </c>
      <c r="P97" s="2" t="s">
        <v>760</v>
      </c>
      <c r="Q97" s="2" t="s">
        <v>761</v>
      </c>
      <c r="S97" s="2">
        <v>64504.0</v>
      </c>
      <c r="T97" s="2" t="s">
        <v>101</v>
      </c>
      <c r="U97" s="2" t="s">
        <v>71</v>
      </c>
    </row>
    <row r="98">
      <c r="A98" s="2">
        <v>97.0</v>
      </c>
      <c r="B98" s="2">
        <v>97.0</v>
      </c>
      <c r="C98" s="2">
        <v>97.0</v>
      </c>
      <c r="D98" s="3">
        <v>44063.0</v>
      </c>
      <c r="E98" s="2" t="s">
        <v>762</v>
      </c>
      <c r="F98" s="2" t="s">
        <v>623</v>
      </c>
      <c r="G98" s="2">
        <v>803.73</v>
      </c>
      <c r="H98" s="2" t="s">
        <v>763</v>
      </c>
      <c r="I98" s="2" t="s">
        <v>764</v>
      </c>
      <c r="J98" s="2" t="s">
        <v>765</v>
      </c>
      <c r="K98" s="2" t="s">
        <v>292</v>
      </c>
      <c r="M98" s="2">
        <v>88.0</v>
      </c>
      <c r="N98" s="2">
        <v>3375.98</v>
      </c>
      <c r="O98" s="2" t="s">
        <v>28</v>
      </c>
      <c r="P98" s="2" t="s">
        <v>766</v>
      </c>
      <c r="Q98" s="2" t="s">
        <v>767</v>
      </c>
      <c r="T98" s="2" t="s">
        <v>119</v>
      </c>
      <c r="U98" s="2" t="s">
        <v>46</v>
      </c>
    </row>
    <row r="99">
      <c r="A99" s="2">
        <v>98.0</v>
      </c>
      <c r="B99" s="2">
        <v>98.0</v>
      </c>
      <c r="C99" s="2">
        <v>98.0</v>
      </c>
      <c r="D99" s="3">
        <v>44546.0</v>
      </c>
      <c r="E99" s="2" t="s">
        <v>768</v>
      </c>
      <c r="F99" s="2" t="s">
        <v>35</v>
      </c>
      <c r="G99" s="2">
        <v>16.91</v>
      </c>
      <c r="H99" s="2" t="s">
        <v>769</v>
      </c>
      <c r="I99" s="2" t="s">
        <v>770</v>
      </c>
      <c r="J99" s="2" t="s">
        <v>771</v>
      </c>
      <c r="K99" s="2" t="s">
        <v>32</v>
      </c>
      <c r="M99" s="2">
        <v>94.0</v>
      </c>
      <c r="N99" s="2">
        <v>9649.32</v>
      </c>
      <c r="O99" s="2" t="s">
        <v>41</v>
      </c>
      <c r="P99" s="2" t="s">
        <v>277</v>
      </c>
      <c r="Q99" s="2" t="s">
        <v>772</v>
      </c>
      <c r="S99" s="2" t="s">
        <v>773</v>
      </c>
      <c r="T99" s="2" t="s">
        <v>114</v>
      </c>
      <c r="U99" s="2" t="s">
        <v>46</v>
      </c>
    </row>
    <row r="100">
      <c r="A100" s="2">
        <v>99.0</v>
      </c>
      <c r="B100" s="2">
        <v>99.0</v>
      </c>
      <c r="C100" s="2">
        <v>99.0</v>
      </c>
      <c r="D100" s="3">
        <v>43900.0</v>
      </c>
      <c r="E100" s="2" t="s">
        <v>774</v>
      </c>
      <c r="F100" s="2" t="s">
        <v>183</v>
      </c>
      <c r="G100" s="2">
        <v>801.23</v>
      </c>
      <c r="H100" s="2" t="s">
        <v>775</v>
      </c>
      <c r="I100" s="2" t="s">
        <v>776</v>
      </c>
      <c r="J100" s="2" t="s">
        <v>777</v>
      </c>
      <c r="K100" s="2" t="s">
        <v>32</v>
      </c>
      <c r="M100" s="2">
        <v>1.0</v>
      </c>
      <c r="N100" s="2">
        <v>4228.75</v>
      </c>
      <c r="O100" s="2" t="s">
        <v>41</v>
      </c>
      <c r="P100" s="2" t="s">
        <v>300</v>
      </c>
      <c r="Q100" s="2" t="s">
        <v>778</v>
      </c>
      <c r="S100" s="2">
        <v>386340.0</v>
      </c>
      <c r="T100" s="2" t="s">
        <v>68</v>
      </c>
      <c r="U100" s="2" t="s">
        <v>71</v>
      </c>
    </row>
    <row r="101">
      <c r="A101" s="2">
        <v>100.0</v>
      </c>
      <c r="B101" s="2">
        <v>100.0</v>
      </c>
      <c r="C101" s="2">
        <v>100.0</v>
      </c>
      <c r="D101" s="3">
        <v>44477.0</v>
      </c>
      <c r="E101" s="2" t="s">
        <v>779</v>
      </c>
      <c r="F101" s="2" t="s">
        <v>35</v>
      </c>
      <c r="G101" s="2">
        <v>378.12</v>
      </c>
      <c r="H101" s="2" t="s">
        <v>780</v>
      </c>
      <c r="I101" s="2" t="s">
        <v>781</v>
      </c>
      <c r="J101" s="2" t="s">
        <v>782</v>
      </c>
      <c r="K101" s="2" t="s">
        <v>241</v>
      </c>
      <c r="L101" s="2">
        <v>4424.0</v>
      </c>
      <c r="M101" s="2">
        <v>3.0</v>
      </c>
      <c r="N101" s="2">
        <v>6384.25</v>
      </c>
      <c r="O101" s="2" t="s">
        <v>41</v>
      </c>
      <c r="P101" s="2" t="s">
        <v>783</v>
      </c>
      <c r="Q101" s="2" t="s">
        <v>784</v>
      </c>
      <c r="T101" s="2" t="s">
        <v>32</v>
      </c>
      <c r="U101" s="2" t="s">
        <v>46</v>
      </c>
    </row>
    <row r="102">
      <c r="A102" s="2">
        <v>101.0</v>
      </c>
      <c r="B102" s="2">
        <v>101.0</v>
      </c>
      <c r="C102" s="2">
        <v>101.0</v>
      </c>
      <c r="D102" s="3">
        <v>44514.0</v>
      </c>
      <c r="E102" s="2" t="s">
        <v>785</v>
      </c>
      <c r="F102" s="2" t="s">
        <v>191</v>
      </c>
      <c r="G102" s="2">
        <v>934.77</v>
      </c>
      <c r="H102" s="2" t="s">
        <v>786</v>
      </c>
      <c r="I102" s="2" t="s">
        <v>787</v>
      </c>
      <c r="J102" s="2" t="s">
        <v>788</v>
      </c>
      <c r="K102" s="2" t="s">
        <v>32</v>
      </c>
      <c r="M102" s="2">
        <v>39.0</v>
      </c>
      <c r="N102" s="2">
        <v>2350.78</v>
      </c>
      <c r="O102" s="2" t="s">
        <v>28</v>
      </c>
      <c r="P102" s="2" t="s">
        <v>789</v>
      </c>
      <c r="Q102" s="2" t="s">
        <v>790</v>
      </c>
      <c r="T102" s="2" t="s">
        <v>791</v>
      </c>
      <c r="U102" s="2" t="s">
        <v>71</v>
      </c>
    </row>
    <row r="103">
      <c r="A103" s="2">
        <v>102.0</v>
      </c>
      <c r="B103" s="2">
        <v>102.0</v>
      </c>
      <c r="C103" s="2">
        <v>102.0</v>
      </c>
      <c r="D103" s="3">
        <v>43891.0</v>
      </c>
      <c r="E103" s="2" t="s">
        <v>792</v>
      </c>
      <c r="F103" s="2" t="s">
        <v>48</v>
      </c>
      <c r="G103" s="2">
        <v>698.84</v>
      </c>
      <c r="H103" s="2" t="s">
        <v>793</v>
      </c>
      <c r="I103" s="2" t="s">
        <v>794</v>
      </c>
      <c r="J103" s="2" t="s">
        <v>795</v>
      </c>
      <c r="K103" s="2" t="s">
        <v>796</v>
      </c>
      <c r="L103" s="2">
        <v>1250.0</v>
      </c>
      <c r="M103" s="2">
        <v>98.0</v>
      </c>
      <c r="N103" s="2">
        <v>864.12</v>
      </c>
      <c r="O103" s="2" t="s">
        <v>52</v>
      </c>
      <c r="P103" s="2" t="s">
        <v>797</v>
      </c>
      <c r="Q103" s="2" t="s">
        <v>798</v>
      </c>
      <c r="T103" s="2" t="s">
        <v>363</v>
      </c>
      <c r="U103" s="2" t="s">
        <v>46</v>
      </c>
    </row>
    <row r="104">
      <c r="A104" s="2">
        <v>103.0</v>
      </c>
      <c r="B104" s="2">
        <v>103.0</v>
      </c>
      <c r="C104" s="2">
        <v>103.0</v>
      </c>
      <c r="D104" s="3">
        <v>44024.0</v>
      </c>
      <c r="E104" s="2" t="s">
        <v>799</v>
      </c>
      <c r="F104" s="2" t="s">
        <v>800</v>
      </c>
      <c r="G104" s="2">
        <v>428.59</v>
      </c>
      <c r="H104" s="2" t="s">
        <v>801</v>
      </c>
      <c r="I104" s="2" t="s">
        <v>802</v>
      </c>
      <c r="J104" s="2" t="s">
        <v>803</v>
      </c>
      <c r="K104" s="2" t="s">
        <v>39</v>
      </c>
      <c r="L104" s="2" t="s">
        <v>804</v>
      </c>
      <c r="M104" s="2">
        <v>12.0</v>
      </c>
      <c r="N104" s="2">
        <v>7587.97</v>
      </c>
      <c r="O104" s="2" t="s">
        <v>52</v>
      </c>
      <c r="P104" s="2" t="s">
        <v>805</v>
      </c>
      <c r="Q104" s="2" t="s">
        <v>736</v>
      </c>
      <c r="R104" s="2" t="s">
        <v>736</v>
      </c>
      <c r="S104" s="2" t="s">
        <v>806</v>
      </c>
      <c r="T104" s="2" t="s">
        <v>39</v>
      </c>
      <c r="U104" s="2" t="s">
        <v>46</v>
      </c>
    </row>
    <row r="105">
      <c r="A105" s="2">
        <v>104.0</v>
      </c>
      <c r="B105" s="2">
        <v>104.0</v>
      </c>
      <c r="C105" s="2">
        <v>104.0</v>
      </c>
      <c r="D105" s="3">
        <v>44389.0</v>
      </c>
      <c r="E105" s="2" t="s">
        <v>807</v>
      </c>
      <c r="F105" s="2" t="s">
        <v>546</v>
      </c>
      <c r="G105" s="2">
        <v>84.58</v>
      </c>
      <c r="H105" s="2" t="s">
        <v>808</v>
      </c>
      <c r="I105" s="2" t="s">
        <v>809</v>
      </c>
      <c r="J105" s="2" t="s">
        <v>810</v>
      </c>
      <c r="K105" s="2" t="s">
        <v>26</v>
      </c>
      <c r="L105" s="2" t="s">
        <v>811</v>
      </c>
      <c r="M105" s="2">
        <v>43.0</v>
      </c>
      <c r="N105" s="2">
        <v>1705.72</v>
      </c>
      <c r="O105" s="2" t="s">
        <v>41</v>
      </c>
      <c r="P105" s="2" t="s">
        <v>812</v>
      </c>
      <c r="Q105" s="2" t="s">
        <v>813</v>
      </c>
      <c r="R105" s="2" t="s">
        <v>814</v>
      </c>
      <c r="T105" s="2" t="s">
        <v>650</v>
      </c>
      <c r="U105" s="2" t="s">
        <v>33</v>
      </c>
    </row>
    <row r="106">
      <c r="A106" s="2">
        <v>105.0</v>
      </c>
      <c r="B106" s="2">
        <v>105.0</v>
      </c>
      <c r="C106" s="2">
        <v>105.0</v>
      </c>
      <c r="D106" s="3">
        <v>44259.0</v>
      </c>
      <c r="E106" s="2" t="s">
        <v>815</v>
      </c>
      <c r="F106" s="2" t="s">
        <v>165</v>
      </c>
      <c r="G106" s="2">
        <v>721.62</v>
      </c>
      <c r="H106" s="2" t="s">
        <v>816</v>
      </c>
      <c r="I106" s="2" t="s">
        <v>817</v>
      </c>
      <c r="J106" s="2" t="s">
        <v>818</v>
      </c>
      <c r="K106" s="2" t="s">
        <v>819</v>
      </c>
      <c r="L106" s="2">
        <v>253048.0</v>
      </c>
      <c r="M106" s="2">
        <v>62.0</v>
      </c>
      <c r="N106" s="2">
        <v>8176.76</v>
      </c>
      <c r="O106" s="2" t="s">
        <v>52</v>
      </c>
      <c r="P106" s="2" t="s">
        <v>687</v>
      </c>
      <c r="Q106" s="2" t="s">
        <v>820</v>
      </c>
      <c r="T106" s="2" t="s">
        <v>32</v>
      </c>
      <c r="U106" s="2" t="s">
        <v>71</v>
      </c>
    </row>
    <row r="107">
      <c r="A107" s="2">
        <v>106.0</v>
      </c>
      <c r="B107" s="2">
        <v>106.0</v>
      </c>
      <c r="C107" s="2">
        <v>106.0</v>
      </c>
      <c r="D107" s="3">
        <v>43940.0</v>
      </c>
      <c r="E107" s="2" t="s">
        <v>821</v>
      </c>
      <c r="F107" s="2" t="s">
        <v>822</v>
      </c>
      <c r="G107" s="2">
        <v>981.34</v>
      </c>
      <c r="H107" s="2" t="s">
        <v>823</v>
      </c>
      <c r="I107" s="2" t="s">
        <v>824</v>
      </c>
      <c r="J107" s="2" t="s">
        <v>825</v>
      </c>
      <c r="K107" s="2" t="s">
        <v>529</v>
      </c>
      <c r="L107" s="2">
        <v>58805.0</v>
      </c>
      <c r="M107" s="2">
        <v>92.0</v>
      </c>
      <c r="N107" s="2">
        <v>3952.67</v>
      </c>
      <c r="O107" s="2" t="s">
        <v>52</v>
      </c>
      <c r="P107" s="2" t="s">
        <v>826</v>
      </c>
      <c r="Q107" s="2" t="s">
        <v>827</v>
      </c>
      <c r="R107" s="2" t="s">
        <v>828</v>
      </c>
      <c r="S107" s="2">
        <v>30171.0</v>
      </c>
      <c r="T107" s="2" t="s">
        <v>529</v>
      </c>
      <c r="U107" s="2" t="s">
        <v>46</v>
      </c>
    </row>
    <row r="108">
      <c r="A108" s="2">
        <v>107.0</v>
      </c>
      <c r="B108" s="2">
        <v>107.0</v>
      </c>
      <c r="C108" s="2">
        <v>107.0</v>
      </c>
      <c r="D108" s="3">
        <v>44285.0</v>
      </c>
      <c r="E108" s="2" t="s">
        <v>829</v>
      </c>
      <c r="F108" s="2" t="s">
        <v>310</v>
      </c>
      <c r="G108" s="2">
        <v>785.54</v>
      </c>
      <c r="H108" s="2" t="s">
        <v>830</v>
      </c>
      <c r="I108" s="2" t="s">
        <v>831</v>
      </c>
      <c r="J108" s="2" t="s">
        <v>832</v>
      </c>
      <c r="K108" s="2" t="s">
        <v>796</v>
      </c>
      <c r="L108" s="2">
        <v>6344.0</v>
      </c>
      <c r="M108" s="2">
        <v>1.0</v>
      </c>
      <c r="N108" s="2">
        <v>205.97</v>
      </c>
      <c r="O108" s="2" t="s">
        <v>28</v>
      </c>
      <c r="P108" s="2" t="s">
        <v>833</v>
      </c>
      <c r="Q108" s="2" t="s">
        <v>834</v>
      </c>
      <c r="S108" s="2" t="s">
        <v>835</v>
      </c>
      <c r="T108" s="2" t="s">
        <v>114</v>
      </c>
      <c r="U108" s="2" t="s">
        <v>33</v>
      </c>
    </row>
    <row r="109">
      <c r="A109" s="2">
        <v>108.0</v>
      </c>
      <c r="B109" s="2">
        <v>108.0</v>
      </c>
      <c r="C109" s="2">
        <v>108.0</v>
      </c>
      <c r="D109" s="3">
        <v>43850.0</v>
      </c>
      <c r="E109" s="2" t="s">
        <v>836</v>
      </c>
      <c r="F109" s="2" t="s">
        <v>142</v>
      </c>
      <c r="G109" s="2">
        <v>110.83</v>
      </c>
      <c r="H109" s="2" t="s">
        <v>837</v>
      </c>
      <c r="I109" s="2" t="s">
        <v>838</v>
      </c>
      <c r="J109" s="2" t="s">
        <v>839</v>
      </c>
      <c r="K109" s="2" t="s">
        <v>32</v>
      </c>
      <c r="M109" s="2">
        <v>31.0</v>
      </c>
      <c r="N109" s="2">
        <v>2551.47</v>
      </c>
      <c r="O109" s="2" t="s">
        <v>41</v>
      </c>
      <c r="P109" s="2" t="s">
        <v>840</v>
      </c>
      <c r="Q109" s="2" t="s">
        <v>841</v>
      </c>
      <c r="S109" s="2">
        <v>143020.0</v>
      </c>
      <c r="T109" s="2" t="s">
        <v>68</v>
      </c>
      <c r="U109" s="2" t="s">
        <v>46</v>
      </c>
    </row>
    <row r="110">
      <c r="A110" s="2">
        <v>109.0</v>
      </c>
      <c r="B110" s="2">
        <v>109.0</v>
      </c>
      <c r="C110" s="2">
        <v>109.0</v>
      </c>
      <c r="D110" s="3">
        <v>44033.0</v>
      </c>
      <c r="E110" s="2" t="s">
        <v>842</v>
      </c>
      <c r="F110" s="2" t="s">
        <v>35</v>
      </c>
      <c r="G110" s="2">
        <v>444.44</v>
      </c>
      <c r="H110" s="2" t="s">
        <v>843</v>
      </c>
      <c r="I110" s="2" t="s">
        <v>844</v>
      </c>
      <c r="J110" s="2" t="s">
        <v>845</v>
      </c>
      <c r="K110" s="2" t="s">
        <v>26</v>
      </c>
      <c r="L110" s="2" t="s">
        <v>846</v>
      </c>
      <c r="M110" s="2">
        <v>16.0</v>
      </c>
      <c r="N110" s="2">
        <v>1773.76</v>
      </c>
      <c r="O110" s="2" t="s">
        <v>52</v>
      </c>
      <c r="P110" s="2" t="s">
        <v>847</v>
      </c>
      <c r="Q110" s="2" t="s">
        <v>848</v>
      </c>
      <c r="R110" s="2" t="s">
        <v>849</v>
      </c>
      <c r="S110" s="2" t="s">
        <v>850</v>
      </c>
      <c r="T110" s="2" t="s">
        <v>114</v>
      </c>
      <c r="U110" s="2" t="s">
        <v>46</v>
      </c>
    </row>
    <row r="111">
      <c r="A111" s="2">
        <v>110.0</v>
      </c>
      <c r="B111" s="2">
        <v>110.0</v>
      </c>
      <c r="C111" s="2">
        <v>110.0</v>
      </c>
      <c r="D111" s="3">
        <v>44264.0</v>
      </c>
      <c r="E111" s="2" t="s">
        <v>851</v>
      </c>
      <c r="F111" s="2" t="s">
        <v>230</v>
      </c>
      <c r="G111" s="2">
        <v>219.8</v>
      </c>
      <c r="H111" s="2" t="s">
        <v>852</v>
      </c>
      <c r="I111" s="2" t="s">
        <v>853</v>
      </c>
      <c r="J111" s="2" t="s">
        <v>854</v>
      </c>
      <c r="K111" s="2" t="s">
        <v>257</v>
      </c>
      <c r="L111" s="2" t="s">
        <v>855</v>
      </c>
      <c r="M111" s="2">
        <v>49.0</v>
      </c>
      <c r="N111" s="2">
        <v>8805.15</v>
      </c>
      <c r="O111" s="2" t="s">
        <v>52</v>
      </c>
      <c r="P111" s="2" t="s">
        <v>856</v>
      </c>
      <c r="Q111" s="2" t="s">
        <v>857</v>
      </c>
      <c r="R111" s="2" t="s">
        <v>858</v>
      </c>
      <c r="T111" s="2" t="s">
        <v>32</v>
      </c>
      <c r="U111" s="2" t="s">
        <v>71</v>
      </c>
    </row>
    <row r="112">
      <c r="A112" s="2">
        <v>111.0</v>
      </c>
      <c r="B112" s="2">
        <v>111.0</v>
      </c>
      <c r="C112" s="2">
        <v>111.0</v>
      </c>
      <c r="D112" s="3">
        <v>43991.0</v>
      </c>
      <c r="E112" s="2" t="s">
        <v>859</v>
      </c>
      <c r="F112" s="2" t="s">
        <v>546</v>
      </c>
      <c r="G112" s="2">
        <v>732.54</v>
      </c>
      <c r="H112" s="2" t="s">
        <v>860</v>
      </c>
      <c r="I112" s="2" t="s">
        <v>861</v>
      </c>
      <c r="J112" s="2" t="s">
        <v>862</v>
      </c>
      <c r="K112" s="2" t="s">
        <v>32</v>
      </c>
      <c r="M112" s="2">
        <v>4.0</v>
      </c>
      <c r="N112" s="2">
        <v>7616.39</v>
      </c>
      <c r="O112" s="2" t="s">
        <v>28</v>
      </c>
      <c r="P112" s="2" t="s">
        <v>863</v>
      </c>
      <c r="Q112" s="2" t="s">
        <v>864</v>
      </c>
      <c r="S112" s="2">
        <v>5139.0</v>
      </c>
      <c r="T112" s="2" t="s">
        <v>178</v>
      </c>
      <c r="U112" s="2" t="s">
        <v>46</v>
      </c>
    </row>
    <row r="113">
      <c r="A113" s="2">
        <v>112.0</v>
      </c>
      <c r="B113" s="2">
        <v>112.0</v>
      </c>
      <c r="C113" s="2">
        <v>112.0</v>
      </c>
      <c r="D113" s="3">
        <v>44259.0</v>
      </c>
      <c r="E113" s="2" t="s">
        <v>865</v>
      </c>
      <c r="F113" s="2" t="s">
        <v>97</v>
      </c>
      <c r="G113" s="2">
        <v>706.28</v>
      </c>
      <c r="H113" s="2" t="s">
        <v>866</v>
      </c>
      <c r="I113" s="2" t="s">
        <v>867</v>
      </c>
      <c r="J113" s="2" t="s">
        <v>868</v>
      </c>
      <c r="K113" s="2" t="s">
        <v>106</v>
      </c>
      <c r="L113" s="2" t="s">
        <v>869</v>
      </c>
      <c r="M113" s="2">
        <v>70.0</v>
      </c>
      <c r="N113" s="2">
        <v>1627.12</v>
      </c>
      <c r="O113" s="2" t="s">
        <v>52</v>
      </c>
      <c r="P113" s="2" t="s">
        <v>454</v>
      </c>
      <c r="Q113" s="2" t="s">
        <v>870</v>
      </c>
      <c r="S113" s="2" t="s">
        <v>871</v>
      </c>
      <c r="T113" s="2" t="s">
        <v>114</v>
      </c>
      <c r="U113" s="2" t="s">
        <v>46</v>
      </c>
    </row>
    <row r="114">
      <c r="A114" s="2">
        <v>113.0</v>
      </c>
      <c r="B114" s="2">
        <v>113.0</v>
      </c>
      <c r="C114" s="2">
        <v>113.0</v>
      </c>
      <c r="D114" s="3">
        <v>43847.0</v>
      </c>
      <c r="E114" s="2" t="s">
        <v>872</v>
      </c>
      <c r="F114" s="2" t="s">
        <v>662</v>
      </c>
      <c r="G114" s="2">
        <v>511.79</v>
      </c>
      <c r="H114" s="2" t="s">
        <v>873</v>
      </c>
      <c r="I114" s="2" t="s">
        <v>874</v>
      </c>
      <c r="J114" s="2" t="s">
        <v>875</v>
      </c>
      <c r="K114" s="2" t="s">
        <v>119</v>
      </c>
      <c r="M114" s="2">
        <v>55.0</v>
      </c>
      <c r="N114" s="2">
        <v>8391.19</v>
      </c>
      <c r="O114" s="2" t="s">
        <v>52</v>
      </c>
      <c r="P114" s="2" t="s">
        <v>876</v>
      </c>
      <c r="Q114" s="2" t="s">
        <v>877</v>
      </c>
      <c r="T114" s="2" t="s">
        <v>32</v>
      </c>
      <c r="U114" s="2" t="s">
        <v>71</v>
      </c>
    </row>
    <row r="115">
      <c r="A115" s="2">
        <v>114.0</v>
      </c>
      <c r="B115" s="2">
        <v>114.0</v>
      </c>
      <c r="C115" s="2">
        <v>114.0</v>
      </c>
      <c r="D115" s="3">
        <v>44243.0</v>
      </c>
      <c r="E115" s="2" t="s">
        <v>878</v>
      </c>
      <c r="F115" s="2" t="s">
        <v>567</v>
      </c>
      <c r="G115" s="2">
        <v>676.23</v>
      </c>
      <c r="H115" s="2" t="s">
        <v>879</v>
      </c>
      <c r="I115" s="2" t="s">
        <v>880</v>
      </c>
      <c r="J115" s="2" t="s">
        <v>881</v>
      </c>
      <c r="K115" s="2" t="s">
        <v>882</v>
      </c>
      <c r="L115" s="2">
        <v>10311.0</v>
      </c>
      <c r="M115" s="2">
        <v>56.0</v>
      </c>
      <c r="N115" s="2">
        <v>2165.81</v>
      </c>
      <c r="O115" s="2" t="s">
        <v>28</v>
      </c>
      <c r="P115" s="2" t="s">
        <v>883</v>
      </c>
      <c r="Q115" s="2" t="s">
        <v>884</v>
      </c>
      <c r="S115" s="2">
        <v>1901.0</v>
      </c>
      <c r="T115" s="2" t="s">
        <v>885</v>
      </c>
      <c r="U115" s="2" t="s">
        <v>71</v>
      </c>
    </row>
    <row r="116">
      <c r="A116" s="2">
        <v>115.0</v>
      </c>
      <c r="B116" s="2">
        <v>115.0</v>
      </c>
      <c r="C116" s="2">
        <v>115.0</v>
      </c>
      <c r="D116" s="3">
        <v>44244.0</v>
      </c>
      <c r="E116" s="2" t="s">
        <v>886</v>
      </c>
      <c r="F116" s="2" t="s">
        <v>887</v>
      </c>
      <c r="G116" s="2">
        <v>540.1</v>
      </c>
      <c r="H116" s="2" t="s">
        <v>888</v>
      </c>
      <c r="I116" s="2" t="s">
        <v>889</v>
      </c>
      <c r="J116" s="2" t="s">
        <v>890</v>
      </c>
      <c r="K116" s="2" t="s">
        <v>32</v>
      </c>
      <c r="M116" s="2">
        <v>74.0</v>
      </c>
      <c r="N116" s="2">
        <v>1834.67</v>
      </c>
      <c r="O116" s="2" t="s">
        <v>41</v>
      </c>
      <c r="P116" s="2" t="s">
        <v>891</v>
      </c>
      <c r="Q116" s="2" t="s">
        <v>892</v>
      </c>
      <c r="S116" s="2">
        <v>303930.0</v>
      </c>
      <c r="T116" s="2" t="s">
        <v>68</v>
      </c>
      <c r="U116" s="2" t="s">
        <v>71</v>
      </c>
    </row>
    <row r="117">
      <c r="A117" s="2">
        <v>116.0</v>
      </c>
      <c r="B117" s="2">
        <v>116.0</v>
      </c>
      <c r="C117" s="2">
        <v>116.0</v>
      </c>
      <c r="D117" s="3">
        <v>44473.0</v>
      </c>
      <c r="E117" s="2" t="s">
        <v>893</v>
      </c>
      <c r="F117" s="2" t="s">
        <v>342</v>
      </c>
      <c r="G117" s="2">
        <v>390.56</v>
      </c>
      <c r="H117" s="2" t="s">
        <v>894</v>
      </c>
      <c r="I117" s="2" t="s">
        <v>895</v>
      </c>
      <c r="J117" s="2" t="s">
        <v>896</v>
      </c>
      <c r="K117" s="2" t="s">
        <v>163</v>
      </c>
      <c r="L117" s="2" t="s">
        <v>897</v>
      </c>
      <c r="M117" s="2">
        <v>30.0</v>
      </c>
      <c r="N117" s="2">
        <v>9344.32</v>
      </c>
      <c r="O117" s="2" t="s">
        <v>41</v>
      </c>
      <c r="P117" s="2" t="s">
        <v>898</v>
      </c>
      <c r="Q117" s="2" t="s">
        <v>899</v>
      </c>
      <c r="T117" s="2" t="s">
        <v>119</v>
      </c>
      <c r="U117" s="2" t="s">
        <v>71</v>
      </c>
    </row>
    <row r="118">
      <c r="A118" s="2">
        <v>117.0</v>
      </c>
      <c r="B118" s="2">
        <v>117.0</v>
      </c>
      <c r="C118" s="2">
        <v>117.0</v>
      </c>
      <c r="D118" s="3">
        <v>44307.0</v>
      </c>
      <c r="E118" s="2" t="s">
        <v>900</v>
      </c>
      <c r="F118" s="2" t="s">
        <v>73</v>
      </c>
      <c r="G118" s="2">
        <v>580.24</v>
      </c>
      <c r="H118" s="2" t="s">
        <v>901</v>
      </c>
      <c r="I118" s="2" t="s">
        <v>902</v>
      </c>
      <c r="J118" s="2" t="s">
        <v>903</v>
      </c>
      <c r="K118" s="2" t="s">
        <v>119</v>
      </c>
      <c r="M118" s="2">
        <v>21.0</v>
      </c>
      <c r="N118" s="2">
        <v>7384.52</v>
      </c>
      <c r="O118" s="2" t="s">
        <v>52</v>
      </c>
      <c r="P118" s="2" t="s">
        <v>492</v>
      </c>
      <c r="Q118" s="2" t="s">
        <v>904</v>
      </c>
      <c r="S118" s="2">
        <v>88400.0</v>
      </c>
      <c r="T118" s="2" t="s">
        <v>905</v>
      </c>
      <c r="U118" s="2" t="s">
        <v>33</v>
      </c>
    </row>
    <row r="119">
      <c r="A119" s="2">
        <v>118.0</v>
      </c>
      <c r="B119" s="2">
        <v>118.0</v>
      </c>
      <c r="C119" s="2">
        <v>118.0</v>
      </c>
      <c r="D119" s="3">
        <v>43893.0</v>
      </c>
      <c r="E119" s="2" t="s">
        <v>906</v>
      </c>
      <c r="F119" s="2" t="s">
        <v>35</v>
      </c>
      <c r="G119" s="2">
        <v>757.23</v>
      </c>
      <c r="H119" s="2" t="s">
        <v>907</v>
      </c>
      <c r="I119" s="2" t="s">
        <v>908</v>
      </c>
      <c r="J119" s="2" t="s">
        <v>909</v>
      </c>
      <c r="K119" s="2" t="s">
        <v>119</v>
      </c>
      <c r="M119" s="2">
        <v>41.0</v>
      </c>
      <c r="N119" s="2">
        <v>2734.99</v>
      </c>
      <c r="O119" s="2" t="s">
        <v>52</v>
      </c>
      <c r="P119" s="2" t="s">
        <v>424</v>
      </c>
      <c r="Q119" s="2" t="s">
        <v>910</v>
      </c>
      <c r="T119" s="2" t="s">
        <v>119</v>
      </c>
      <c r="U119" s="2" t="s">
        <v>33</v>
      </c>
    </row>
    <row r="120">
      <c r="A120" s="2">
        <v>119.0</v>
      </c>
      <c r="B120" s="2">
        <v>119.0</v>
      </c>
      <c r="C120" s="2">
        <v>119.0</v>
      </c>
      <c r="D120" s="3">
        <v>43970.0</v>
      </c>
      <c r="E120" s="2" t="s">
        <v>911</v>
      </c>
      <c r="F120" s="2" t="s">
        <v>48</v>
      </c>
      <c r="G120" s="2">
        <v>101.32</v>
      </c>
      <c r="H120" s="2" t="s">
        <v>912</v>
      </c>
      <c r="I120" s="2" t="s">
        <v>913</v>
      </c>
      <c r="J120" s="2" t="s">
        <v>914</v>
      </c>
      <c r="K120" s="2" t="s">
        <v>68</v>
      </c>
      <c r="L120" s="2">
        <v>462159.0</v>
      </c>
      <c r="M120" s="2">
        <v>71.0</v>
      </c>
      <c r="N120" s="2">
        <v>747.99</v>
      </c>
      <c r="O120" s="2" t="s">
        <v>41</v>
      </c>
      <c r="P120" s="2" t="s">
        <v>915</v>
      </c>
      <c r="Q120" s="2" t="s">
        <v>916</v>
      </c>
      <c r="T120" s="2" t="s">
        <v>225</v>
      </c>
      <c r="U120" s="2" t="s">
        <v>71</v>
      </c>
    </row>
    <row r="121">
      <c r="A121" s="2">
        <v>120.0</v>
      </c>
      <c r="B121" s="2">
        <v>120.0</v>
      </c>
      <c r="C121" s="2">
        <v>120.0</v>
      </c>
      <c r="D121" s="3">
        <v>44284.0</v>
      </c>
      <c r="E121" s="2" t="s">
        <v>917</v>
      </c>
      <c r="F121" s="2" t="s">
        <v>22</v>
      </c>
      <c r="G121" s="2">
        <v>534.12</v>
      </c>
      <c r="H121" s="2" t="s">
        <v>918</v>
      </c>
      <c r="I121" s="2" t="s">
        <v>919</v>
      </c>
      <c r="J121" s="2" t="s">
        <v>920</v>
      </c>
      <c r="K121" s="2" t="s">
        <v>68</v>
      </c>
      <c r="L121" s="2">
        <v>658860.0</v>
      </c>
      <c r="M121" s="2">
        <v>77.0</v>
      </c>
      <c r="N121" s="2">
        <v>5048.35</v>
      </c>
      <c r="O121" s="2" t="s">
        <v>52</v>
      </c>
      <c r="P121" s="2" t="s">
        <v>469</v>
      </c>
      <c r="Q121" s="2" t="s">
        <v>921</v>
      </c>
      <c r="S121" s="2" t="s">
        <v>773</v>
      </c>
      <c r="T121" s="2" t="s">
        <v>114</v>
      </c>
      <c r="U121" s="2" t="s">
        <v>71</v>
      </c>
    </row>
    <row r="122">
      <c r="A122" s="2">
        <v>121.0</v>
      </c>
      <c r="B122" s="2">
        <v>121.0</v>
      </c>
      <c r="C122" s="2">
        <v>121.0</v>
      </c>
      <c r="D122" s="3">
        <v>44477.0</v>
      </c>
      <c r="E122" s="2" t="s">
        <v>922</v>
      </c>
      <c r="F122" s="2" t="s">
        <v>546</v>
      </c>
      <c r="G122" s="2">
        <v>252.71</v>
      </c>
      <c r="H122" s="2" t="s">
        <v>923</v>
      </c>
      <c r="I122" s="2" t="s">
        <v>924</v>
      </c>
      <c r="J122" s="2" t="s">
        <v>925</v>
      </c>
      <c r="K122" s="2" t="s">
        <v>68</v>
      </c>
      <c r="L122" s="2">
        <v>601672.0</v>
      </c>
      <c r="M122" s="2">
        <v>53.0</v>
      </c>
      <c r="N122" s="2">
        <v>2042.29</v>
      </c>
      <c r="O122" s="2" t="s">
        <v>41</v>
      </c>
      <c r="P122" s="2" t="s">
        <v>926</v>
      </c>
      <c r="Q122" s="2" t="s">
        <v>927</v>
      </c>
      <c r="S122" s="2" t="s">
        <v>928</v>
      </c>
      <c r="T122" s="2" t="s">
        <v>114</v>
      </c>
      <c r="U122" s="2" t="s">
        <v>71</v>
      </c>
    </row>
    <row r="123">
      <c r="A123" s="2">
        <v>122.0</v>
      </c>
      <c r="B123" s="2">
        <v>122.0</v>
      </c>
      <c r="C123" s="2">
        <v>122.0</v>
      </c>
      <c r="D123" s="3">
        <v>44317.0</v>
      </c>
      <c r="E123" s="2" t="s">
        <v>929</v>
      </c>
      <c r="F123" s="2" t="s">
        <v>237</v>
      </c>
      <c r="G123" s="2">
        <v>344.23</v>
      </c>
      <c r="H123" s="2" t="s">
        <v>930</v>
      </c>
      <c r="I123" s="2" t="s">
        <v>931</v>
      </c>
      <c r="J123" s="2" t="s">
        <v>932</v>
      </c>
      <c r="K123" s="2" t="s">
        <v>241</v>
      </c>
      <c r="L123" s="2">
        <v>2434.0</v>
      </c>
      <c r="M123" s="2">
        <v>22.0</v>
      </c>
      <c r="N123" s="2">
        <v>4820.45</v>
      </c>
      <c r="O123" s="2" t="s">
        <v>28</v>
      </c>
      <c r="P123" s="2" t="s">
        <v>933</v>
      </c>
      <c r="Q123" s="2" t="s">
        <v>934</v>
      </c>
      <c r="T123" s="2" t="s">
        <v>119</v>
      </c>
      <c r="U123" s="2" t="s">
        <v>33</v>
      </c>
    </row>
    <row r="124">
      <c r="A124" s="2">
        <v>123.0</v>
      </c>
      <c r="B124" s="2">
        <v>123.0</v>
      </c>
      <c r="C124" s="2">
        <v>123.0</v>
      </c>
      <c r="D124" s="3">
        <v>44302.0</v>
      </c>
      <c r="E124" s="2" t="s">
        <v>935</v>
      </c>
      <c r="F124" s="2" t="s">
        <v>73</v>
      </c>
      <c r="G124" s="2">
        <v>25.72</v>
      </c>
      <c r="H124" s="2" t="s">
        <v>936</v>
      </c>
      <c r="I124" s="2" t="s">
        <v>937</v>
      </c>
      <c r="J124" s="2" t="s">
        <v>938</v>
      </c>
      <c r="K124" s="2" t="s">
        <v>68</v>
      </c>
      <c r="L124" s="2">
        <v>366101.0</v>
      </c>
      <c r="M124" s="2">
        <v>57.0</v>
      </c>
      <c r="N124" s="2">
        <v>7733.31</v>
      </c>
      <c r="O124" s="2" t="s">
        <v>28</v>
      </c>
      <c r="P124" s="2" t="s">
        <v>939</v>
      </c>
      <c r="Q124" s="2" t="s">
        <v>940</v>
      </c>
      <c r="S124" s="2" t="s">
        <v>941</v>
      </c>
      <c r="T124" s="2" t="s">
        <v>257</v>
      </c>
      <c r="U124" s="2" t="s">
        <v>71</v>
      </c>
    </row>
    <row r="125">
      <c r="A125" s="2">
        <v>124.0</v>
      </c>
      <c r="B125" s="2">
        <v>124.0</v>
      </c>
      <c r="C125" s="2">
        <v>124.0</v>
      </c>
      <c r="D125" s="3">
        <v>44412.0</v>
      </c>
      <c r="E125" s="2" t="s">
        <v>942</v>
      </c>
      <c r="F125" s="2" t="s">
        <v>142</v>
      </c>
      <c r="G125" s="2">
        <v>301.62</v>
      </c>
      <c r="H125" s="2" t="s">
        <v>943</v>
      </c>
      <c r="I125" s="2" t="s">
        <v>944</v>
      </c>
      <c r="J125" s="2" t="s">
        <v>945</v>
      </c>
      <c r="K125" s="2" t="s">
        <v>529</v>
      </c>
      <c r="L125" s="2">
        <v>87426.0</v>
      </c>
      <c r="M125" s="2">
        <v>58.0</v>
      </c>
      <c r="N125" s="2">
        <v>825.82</v>
      </c>
      <c r="O125" s="2" t="s">
        <v>41</v>
      </c>
      <c r="P125" s="2" t="s">
        <v>946</v>
      </c>
      <c r="Q125" s="2" t="s">
        <v>947</v>
      </c>
      <c r="R125" s="2" t="s">
        <v>948</v>
      </c>
      <c r="S125" s="2" t="s">
        <v>949</v>
      </c>
      <c r="T125" s="2" t="s">
        <v>163</v>
      </c>
      <c r="U125" s="2" t="s">
        <v>71</v>
      </c>
    </row>
    <row r="126">
      <c r="A126" s="2">
        <v>125.0</v>
      </c>
      <c r="B126" s="2">
        <v>125.0</v>
      </c>
      <c r="C126" s="2">
        <v>125.0</v>
      </c>
      <c r="D126" s="3">
        <v>44110.0</v>
      </c>
      <c r="E126" s="2" t="s">
        <v>950</v>
      </c>
      <c r="F126" s="2" t="s">
        <v>951</v>
      </c>
      <c r="G126" s="2">
        <v>208.46</v>
      </c>
      <c r="H126" s="2" t="s">
        <v>952</v>
      </c>
      <c r="I126" s="2" t="s">
        <v>953</v>
      </c>
      <c r="J126" s="2" t="s">
        <v>954</v>
      </c>
      <c r="K126" s="2" t="s">
        <v>114</v>
      </c>
      <c r="L126" s="2" t="s">
        <v>955</v>
      </c>
      <c r="M126" s="2">
        <v>56.0</v>
      </c>
      <c r="N126" s="2">
        <v>4118.69</v>
      </c>
      <c r="O126" s="2" t="s">
        <v>41</v>
      </c>
      <c r="P126" s="2" t="s">
        <v>613</v>
      </c>
      <c r="Q126" s="2" t="s">
        <v>956</v>
      </c>
      <c r="T126" s="2" t="s">
        <v>32</v>
      </c>
      <c r="U126" s="2" t="s">
        <v>46</v>
      </c>
    </row>
    <row r="127">
      <c r="A127" s="2">
        <v>126.0</v>
      </c>
      <c r="B127" s="2">
        <v>126.0</v>
      </c>
      <c r="C127" s="2">
        <v>126.0</v>
      </c>
      <c r="D127" s="3">
        <v>43941.0</v>
      </c>
      <c r="E127" s="2" t="s">
        <v>957</v>
      </c>
      <c r="F127" s="2" t="s">
        <v>381</v>
      </c>
      <c r="G127" s="2">
        <v>985.26</v>
      </c>
      <c r="H127" s="2" t="s">
        <v>958</v>
      </c>
      <c r="I127" s="2" t="s">
        <v>959</v>
      </c>
      <c r="J127" s="2" t="s">
        <v>960</v>
      </c>
      <c r="K127" s="2" t="s">
        <v>961</v>
      </c>
      <c r="M127" s="2">
        <v>35.0</v>
      </c>
      <c r="N127" s="2">
        <v>6114.46</v>
      </c>
      <c r="O127" s="2" t="s">
        <v>28</v>
      </c>
      <c r="P127" s="2" t="s">
        <v>643</v>
      </c>
      <c r="Q127" s="2" t="s">
        <v>962</v>
      </c>
      <c r="S127" s="2" t="s">
        <v>963</v>
      </c>
      <c r="T127" s="2" t="s">
        <v>114</v>
      </c>
      <c r="U127" s="2" t="s">
        <v>33</v>
      </c>
    </row>
    <row r="128">
      <c r="A128" s="2">
        <v>127.0</v>
      </c>
      <c r="B128" s="2">
        <v>127.0</v>
      </c>
      <c r="C128" s="2">
        <v>127.0</v>
      </c>
      <c r="D128" s="3">
        <v>44166.0</v>
      </c>
      <c r="E128" s="2" t="s">
        <v>964</v>
      </c>
      <c r="F128" s="2" t="s">
        <v>965</v>
      </c>
      <c r="G128" s="2">
        <v>31.39</v>
      </c>
      <c r="H128" s="2" t="s">
        <v>966</v>
      </c>
      <c r="I128" s="2" t="s">
        <v>967</v>
      </c>
      <c r="J128" s="2" t="s">
        <v>968</v>
      </c>
      <c r="K128" s="2" t="s">
        <v>137</v>
      </c>
      <c r="M128" s="2">
        <v>51.0</v>
      </c>
      <c r="N128" s="2">
        <v>4329.48</v>
      </c>
      <c r="O128" s="2" t="s">
        <v>28</v>
      </c>
      <c r="P128" s="2" t="s">
        <v>969</v>
      </c>
      <c r="Q128" s="2" t="s">
        <v>970</v>
      </c>
      <c r="T128" s="2" t="s">
        <v>573</v>
      </c>
      <c r="U128" s="2" t="s">
        <v>33</v>
      </c>
    </row>
    <row r="129">
      <c r="A129" s="2">
        <v>128.0</v>
      </c>
      <c r="B129" s="2">
        <v>128.0</v>
      </c>
      <c r="C129" s="2">
        <v>128.0</v>
      </c>
      <c r="D129" s="3">
        <v>44552.0</v>
      </c>
      <c r="E129" s="2" t="s">
        <v>971</v>
      </c>
      <c r="F129" s="2" t="s">
        <v>972</v>
      </c>
      <c r="G129" s="2">
        <v>96.36</v>
      </c>
      <c r="H129" s="2" t="s">
        <v>973</v>
      </c>
      <c r="I129" s="2" t="s">
        <v>974</v>
      </c>
      <c r="J129" s="2" t="s">
        <v>975</v>
      </c>
      <c r="K129" s="2" t="s">
        <v>32</v>
      </c>
      <c r="M129" s="2">
        <v>69.0</v>
      </c>
      <c r="N129" s="2">
        <v>3511.71</v>
      </c>
      <c r="O129" s="2" t="s">
        <v>41</v>
      </c>
      <c r="P129" s="2" t="s">
        <v>976</v>
      </c>
      <c r="Q129" s="2" t="s">
        <v>977</v>
      </c>
      <c r="S129" s="2" t="s">
        <v>978</v>
      </c>
      <c r="T129" s="2" t="s">
        <v>114</v>
      </c>
      <c r="U129" s="2" t="s">
        <v>33</v>
      </c>
    </row>
    <row r="130">
      <c r="A130" s="2">
        <v>129.0</v>
      </c>
      <c r="B130" s="2">
        <v>129.0</v>
      </c>
      <c r="C130" s="2">
        <v>129.0</v>
      </c>
      <c r="D130" s="3">
        <v>44139.0</v>
      </c>
      <c r="E130" s="2" t="s">
        <v>979</v>
      </c>
      <c r="F130" s="2" t="s">
        <v>237</v>
      </c>
      <c r="G130" s="2">
        <v>967.19</v>
      </c>
      <c r="H130" s="2" t="s">
        <v>980</v>
      </c>
      <c r="I130" s="2" t="s">
        <v>981</v>
      </c>
      <c r="J130" s="2" t="s">
        <v>982</v>
      </c>
      <c r="K130" s="2" t="s">
        <v>32</v>
      </c>
      <c r="M130" s="2">
        <v>82.0</v>
      </c>
      <c r="N130" s="2">
        <v>4827.14</v>
      </c>
      <c r="O130" s="2" t="s">
        <v>28</v>
      </c>
      <c r="P130" s="2" t="s">
        <v>983</v>
      </c>
      <c r="Q130" s="2" t="s">
        <v>984</v>
      </c>
      <c r="S130" s="2">
        <v>11254.0</v>
      </c>
      <c r="T130" s="2" t="s">
        <v>101</v>
      </c>
      <c r="U130" s="2" t="s">
        <v>33</v>
      </c>
    </row>
    <row r="131">
      <c r="A131" s="2">
        <v>130.0</v>
      </c>
      <c r="B131" s="2">
        <v>130.0</v>
      </c>
      <c r="C131" s="2">
        <v>130.0</v>
      </c>
      <c r="D131" s="3">
        <v>44341.0</v>
      </c>
      <c r="E131" s="2" t="s">
        <v>985</v>
      </c>
      <c r="F131" s="2" t="s">
        <v>738</v>
      </c>
      <c r="G131" s="2">
        <v>299.66</v>
      </c>
      <c r="H131" s="2" t="s">
        <v>986</v>
      </c>
      <c r="I131" s="2" t="s">
        <v>987</v>
      </c>
      <c r="J131" s="2" t="s">
        <v>988</v>
      </c>
      <c r="K131" s="2" t="s">
        <v>68</v>
      </c>
      <c r="L131" s="2">
        <v>644905.0</v>
      </c>
      <c r="M131" s="2">
        <v>85.0</v>
      </c>
      <c r="N131" s="2">
        <v>1376.12</v>
      </c>
      <c r="O131" s="2" t="s">
        <v>52</v>
      </c>
      <c r="P131" s="2" t="s">
        <v>643</v>
      </c>
      <c r="Q131" s="2" t="s">
        <v>989</v>
      </c>
      <c r="S131" s="2" t="s">
        <v>990</v>
      </c>
      <c r="T131" s="2" t="s">
        <v>257</v>
      </c>
      <c r="U131" s="2" t="s">
        <v>46</v>
      </c>
    </row>
    <row r="132">
      <c r="A132" s="2">
        <v>131.0</v>
      </c>
      <c r="B132" s="2">
        <v>131.0</v>
      </c>
      <c r="C132" s="2">
        <v>131.0</v>
      </c>
      <c r="D132" s="3">
        <v>44160.0</v>
      </c>
      <c r="E132" s="2" t="s">
        <v>991</v>
      </c>
      <c r="F132" s="2" t="s">
        <v>992</v>
      </c>
      <c r="G132" s="2">
        <v>81.14</v>
      </c>
      <c r="H132" s="2" t="s">
        <v>993</v>
      </c>
      <c r="I132" s="2" t="s">
        <v>994</v>
      </c>
      <c r="J132" s="2" t="s">
        <v>995</v>
      </c>
      <c r="K132" s="2" t="s">
        <v>292</v>
      </c>
      <c r="M132" s="2">
        <v>81.0</v>
      </c>
      <c r="N132" s="2">
        <v>8744.84</v>
      </c>
      <c r="O132" s="2" t="s">
        <v>28</v>
      </c>
      <c r="P132" s="2" t="s">
        <v>996</v>
      </c>
      <c r="Q132" s="2" t="s">
        <v>997</v>
      </c>
      <c r="S132" s="2">
        <v>4125.0</v>
      </c>
      <c r="T132" s="2" t="s">
        <v>241</v>
      </c>
      <c r="U132" s="2" t="s">
        <v>46</v>
      </c>
    </row>
    <row r="133">
      <c r="A133" s="2">
        <v>132.0</v>
      </c>
      <c r="B133" s="2">
        <v>132.0</v>
      </c>
      <c r="C133" s="2">
        <v>132.0</v>
      </c>
      <c r="D133" s="3">
        <v>43968.0</v>
      </c>
      <c r="E133" s="2" t="s">
        <v>998</v>
      </c>
      <c r="F133" s="2" t="s">
        <v>237</v>
      </c>
      <c r="G133" s="2">
        <v>242.98</v>
      </c>
      <c r="H133" s="2" t="s">
        <v>999</v>
      </c>
      <c r="I133" s="2" t="s">
        <v>1000</v>
      </c>
      <c r="J133" s="2" t="s">
        <v>1001</v>
      </c>
      <c r="K133" s="2" t="s">
        <v>529</v>
      </c>
      <c r="L133" s="2">
        <v>29755.0</v>
      </c>
      <c r="M133" s="2">
        <v>55.0</v>
      </c>
      <c r="N133" s="2">
        <v>9155.09</v>
      </c>
      <c r="O133" s="2" t="s">
        <v>41</v>
      </c>
      <c r="P133" s="2" t="s">
        <v>1002</v>
      </c>
      <c r="Q133" s="2" t="s">
        <v>1003</v>
      </c>
      <c r="R133" s="2" t="s">
        <v>723</v>
      </c>
      <c r="S133" s="2">
        <v>99601.0</v>
      </c>
      <c r="T133" s="2" t="s">
        <v>885</v>
      </c>
      <c r="U133" s="2" t="s">
        <v>33</v>
      </c>
    </row>
    <row r="134">
      <c r="A134" s="2">
        <v>133.0</v>
      </c>
      <c r="B134" s="2">
        <v>133.0</v>
      </c>
      <c r="C134" s="2">
        <v>133.0</v>
      </c>
      <c r="D134" s="3">
        <v>44407.0</v>
      </c>
      <c r="E134" s="2" t="s">
        <v>1004</v>
      </c>
      <c r="F134" s="2" t="s">
        <v>501</v>
      </c>
      <c r="G134" s="2">
        <v>420.48</v>
      </c>
      <c r="H134" s="2" t="s">
        <v>1005</v>
      </c>
      <c r="I134" s="2" t="s">
        <v>1006</v>
      </c>
      <c r="J134" s="2" t="s">
        <v>1007</v>
      </c>
      <c r="K134" s="2" t="s">
        <v>1008</v>
      </c>
      <c r="M134" s="2">
        <v>39.0</v>
      </c>
      <c r="N134" s="2">
        <v>1238.15</v>
      </c>
      <c r="O134" s="2" t="s">
        <v>28</v>
      </c>
      <c r="P134" s="2" t="s">
        <v>259</v>
      </c>
      <c r="Q134" s="2" t="s">
        <v>1009</v>
      </c>
      <c r="S134" s="2" t="s">
        <v>1010</v>
      </c>
      <c r="T134" s="2" t="s">
        <v>257</v>
      </c>
      <c r="U134" s="2" t="s">
        <v>71</v>
      </c>
    </row>
    <row r="135">
      <c r="A135" s="2">
        <v>134.0</v>
      </c>
      <c r="B135" s="2">
        <v>134.0</v>
      </c>
      <c r="C135" s="2">
        <v>134.0</v>
      </c>
      <c r="D135" s="3">
        <v>44494.0</v>
      </c>
      <c r="E135" s="2" t="s">
        <v>1011</v>
      </c>
      <c r="F135" s="2" t="s">
        <v>1012</v>
      </c>
      <c r="G135" s="2">
        <v>232.36</v>
      </c>
      <c r="H135" s="2" t="s">
        <v>1013</v>
      </c>
      <c r="I135" s="2" t="s">
        <v>1014</v>
      </c>
      <c r="J135" s="2" t="s">
        <v>1015</v>
      </c>
      <c r="K135" s="2" t="s">
        <v>627</v>
      </c>
      <c r="L135" s="2">
        <v>31140.0</v>
      </c>
      <c r="M135" s="2">
        <v>4.0</v>
      </c>
      <c r="N135" s="2">
        <v>121.86</v>
      </c>
      <c r="O135" s="2" t="s">
        <v>41</v>
      </c>
      <c r="P135" s="2" t="s">
        <v>1016</v>
      </c>
      <c r="Q135" s="2" t="s">
        <v>1017</v>
      </c>
      <c r="S135" s="2" t="s">
        <v>1018</v>
      </c>
      <c r="T135" s="2" t="s">
        <v>379</v>
      </c>
      <c r="U135" s="2" t="s">
        <v>71</v>
      </c>
    </row>
    <row r="136">
      <c r="A136" s="2">
        <v>135.0</v>
      </c>
      <c r="B136" s="2">
        <v>135.0</v>
      </c>
      <c r="C136" s="2">
        <v>135.0</v>
      </c>
      <c r="D136" s="3">
        <v>44492.0</v>
      </c>
      <c r="E136" s="2" t="s">
        <v>1019</v>
      </c>
      <c r="F136" s="2" t="s">
        <v>230</v>
      </c>
      <c r="G136" s="2">
        <v>902.68</v>
      </c>
      <c r="H136" s="2" t="s">
        <v>1020</v>
      </c>
      <c r="I136" s="2" t="s">
        <v>1021</v>
      </c>
      <c r="J136" s="2" t="s">
        <v>1022</v>
      </c>
      <c r="K136" s="2" t="s">
        <v>32</v>
      </c>
      <c r="M136" s="2">
        <v>38.0</v>
      </c>
      <c r="N136" s="2">
        <v>678.35</v>
      </c>
      <c r="O136" s="2" t="s">
        <v>41</v>
      </c>
      <c r="P136" s="2" t="s">
        <v>1023</v>
      </c>
      <c r="Q136" s="2" t="s">
        <v>1024</v>
      </c>
      <c r="S136" s="2" t="s">
        <v>1025</v>
      </c>
      <c r="T136" s="2" t="s">
        <v>257</v>
      </c>
      <c r="U136" s="2" t="s">
        <v>33</v>
      </c>
    </row>
    <row r="137">
      <c r="A137" s="2">
        <v>136.0</v>
      </c>
      <c r="B137" s="2">
        <v>136.0</v>
      </c>
      <c r="C137" s="2">
        <v>136.0</v>
      </c>
      <c r="D137" s="3">
        <v>44202.0</v>
      </c>
      <c r="E137" s="2" t="s">
        <v>1026</v>
      </c>
      <c r="F137" s="2" t="s">
        <v>1027</v>
      </c>
      <c r="G137" s="2">
        <v>445.17</v>
      </c>
      <c r="H137" s="2" t="s">
        <v>1028</v>
      </c>
      <c r="I137" s="2" t="s">
        <v>1029</v>
      </c>
      <c r="J137" s="2" t="s">
        <v>1030</v>
      </c>
      <c r="K137" s="2" t="s">
        <v>32</v>
      </c>
      <c r="M137" s="2">
        <v>40.0</v>
      </c>
      <c r="N137" s="2">
        <v>1789.26</v>
      </c>
      <c r="O137" s="2" t="s">
        <v>52</v>
      </c>
      <c r="P137" s="2" t="s">
        <v>1031</v>
      </c>
      <c r="Q137" s="2" t="s">
        <v>1032</v>
      </c>
      <c r="S137" s="2">
        <v>43120.0</v>
      </c>
      <c r="T137" s="2" t="s">
        <v>627</v>
      </c>
      <c r="U137" s="2" t="s">
        <v>71</v>
      </c>
    </row>
    <row r="138">
      <c r="A138" s="2">
        <v>137.0</v>
      </c>
      <c r="B138" s="2">
        <v>137.0</v>
      </c>
      <c r="C138" s="2">
        <v>137.0</v>
      </c>
      <c r="D138" s="3">
        <v>44166.0</v>
      </c>
      <c r="E138" s="2" t="s">
        <v>1033</v>
      </c>
      <c r="F138" s="2" t="s">
        <v>263</v>
      </c>
      <c r="G138" s="2">
        <v>381.59</v>
      </c>
      <c r="H138" s="2" t="s">
        <v>1034</v>
      </c>
      <c r="I138" s="2" t="s">
        <v>1035</v>
      </c>
      <c r="J138" s="2" t="s">
        <v>1036</v>
      </c>
      <c r="K138" s="2" t="s">
        <v>573</v>
      </c>
      <c r="M138" s="2">
        <v>44.0</v>
      </c>
      <c r="N138" s="2">
        <v>2017.93</v>
      </c>
      <c r="O138" s="2" t="s">
        <v>41</v>
      </c>
      <c r="P138" s="2" t="s">
        <v>1037</v>
      </c>
      <c r="Q138" s="2" t="s">
        <v>1038</v>
      </c>
      <c r="S138" s="2">
        <v>5504.0</v>
      </c>
      <c r="T138" s="2" t="s">
        <v>241</v>
      </c>
      <c r="U138" s="2" t="s">
        <v>71</v>
      </c>
    </row>
    <row r="139">
      <c r="A139" s="2">
        <v>138.0</v>
      </c>
      <c r="B139" s="2">
        <v>138.0</v>
      </c>
      <c r="C139" s="2">
        <v>138.0</v>
      </c>
      <c r="D139" s="3">
        <v>44259.0</v>
      </c>
      <c r="E139" s="2" t="s">
        <v>1039</v>
      </c>
      <c r="F139" s="2" t="s">
        <v>237</v>
      </c>
      <c r="G139" s="2">
        <v>246.55</v>
      </c>
      <c r="H139" s="2" t="s">
        <v>1040</v>
      </c>
      <c r="I139" s="2" t="s">
        <v>1041</v>
      </c>
      <c r="J139" s="2" t="s">
        <v>1042</v>
      </c>
      <c r="K139" s="2" t="s">
        <v>127</v>
      </c>
      <c r="L139" s="2" t="s">
        <v>1043</v>
      </c>
      <c r="M139" s="2">
        <v>24.0</v>
      </c>
      <c r="N139" s="2">
        <v>8447.31</v>
      </c>
      <c r="O139" s="2" t="s">
        <v>28</v>
      </c>
      <c r="P139" s="2" t="s">
        <v>613</v>
      </c>
      <c r="Q139" s="2" t="s">
        <v>1044</v>
      </c>
      <c r="T139" s="2" t="s">
        <v>137</v>
      </c>
      <c r="U139" s="2" t="s">
        <v>33</v>
      </c>
    </row>
    <row r="140">
      <c r="A140" s="2">
        <v>139.0</v>
      </c>
      <c r="B140" s="2">
        <v>139.0</v>
      </c>
      <c r="C140" s="2">
        <v>139.0</v>
      </c>
      <c r="D140" s="3">
        <v>43922.0</v>
      </c>
      <c r="E140" s="2" t="s">
        <v>1045</v>
      </c>
      <c r="F140" s="2" t="s">
        <v>1046</v>
      </c>
      <c r="G140" s="2">
        <v>686.05</v>
      </c>
      <c r="H140" s="2" t="s">
        <v>1047</v>
      </c>
      <c r="I140" s="2" t="s">
        <v>1048</v>
      </c>
      <c r="J140" s="2" t="s">
        <v>1049</v>
      </c>
      <c r="K140" s="2" t="s">
        <v>163</v>
      </c>
      <c r="L140" s="2" t="s">
        <v>1050</v>
      </c>
      <c r="M140" s="2">
        <v>10.0</v>
      </c>
      <c r="N140" s="2">
        <v>567.68</v>
      </c>
      <c r="O140" s="2" t="s">
        <v>52</v>
      </c>
      <c r="P140" s="2" t="s">
        <v>300</v>
      </c>
      <c r="Q140" s="2" t="s">
        <v>1051</v>
      </c>
      <c r="S140" s="2" t="s">
        <v>1052</v>
      </c>
      <c r="T140" s="2" t="s">
        <v>26</v>
      </c>
      <c r="U140" s="2" t="s">
        <v>46</v>
      </c>
    </row>
    <row r="141">
      <c r="A141" s="2">
        <v>140.0</v>
      </c>
      <c r="B141" s="2">
        <v>140.0</v>
      </c>
      <c r="C141" s="2">
        <v>140.0</v>
      </c>
      <c r="D141" s="3">
        <v>44282.0</v>
      </c>
      <c r="E141" s="2" t="s">
        <v>1053</v>
      </c>
      <c r="F141" s="2" t="s">
        <v>35</v>
      </c>
      <c r="G141" s="2">
        <v>131.5</v>
      </c>
      <c r="H141" s="2" t="s">
        <v>1054</v>
      </c>
      <c r="I141" s="2" t="s">
        <v>1055</v>
      </c>
      <c r="J141" s="2" t="s">
        <v>1056</v>
      </c>
      <c r="K141" s="2" t="s">
        <v>32</v>
      </c>
      <c r="M141" s="2">
        <v>44.0</v>
      </c>
      <c r="N141" s="2">
        <v>9916.65</v>
      </c>
      <c r="O141" s="2" t="s">
        <v>52</v>
      </c>
      <c r="P141" s="2" t="s">
        <v>1057</v>
      </c>
      <c r="Q141" s="2" t="s">
        <v>1058</v>
      </c>
      <c r="S141" s="2">
        <v>54783.0</v>
      </c>
      <c r="T141" s="2" t="s">
        <v>529</v>
      </c>
      <c r="U141" s="2" t="s">
        <v>33</v>
      </c>
    </row>
    <row r="142">
      <c r="A142" s="2">
        <v>141.0</v>
      </c>
      <c r="B142" s="2">
        <v>141.0</v>
      </c>
      <c r="C142" s="2">
        <v>141.0</v>
      </c>
      <c r="D142" s="3">
        <v>44218.0</v>
      </c>
      <c r="E142" s="2" t="s">
        <v>1059</v>
      </c>
      <c r="F142" s="2" t="s">
        <v>1012</v>
      </c>
      <c r="G142" s="2">
        <v>578.67</v>
      </c>
      <c r="H142" s="2" t="s">
        <v>1060</v>
      </c>
      <c r="I142" s="2" t="s">
        <v>1061</v>
      </c>
      <c r="J142" s="2" t="s">
        <v>1062</v>
      </c>
      <c r="K142" s="2" t="s">
        <v>32</v>
      </c>
      <c r="M142" s="2">
        <v>21.0</v>
      </c>
      <c r="N142" s="2">
        <v>9272.31</v>
      </c>
      <c r="O142" s="2" t="s">
        <v>52</v>
      </c>
      <c r="P142" s="2" t="s">
        <v>1063</v>
      </c>
      <c r="Q142" s="2" t="s">
        <v>1064</v>
      </c>
      <c r="T142" s="2" t="s">
        <v>137</v>
      </c>
      <c r="U142" s="2" t="s">
        <v>46</v>
      </c>
    </row>
    <row r="143">
      <c r="A143" s="2">
        <v>142.0</v>
      </c>
      <c r="B143" s="2">
        <v>142.0</v>
      </c>
      <c r="C143" s="2">
        <v>142.0</v>
      </c>
      <c r="D143" s="3">
        <v>44061.0</v>
      </c>
      <c r="E143" s="2" t="s">
        <v>1065</v>
      </c>
      <c r="F143" s="2" t="s">
        <v>567</v>
      </c>
      <c r="G143" s="2">
        <v>351.53</v>
      </c>
      <c r="H143" s="2" t="s">
        <v>1066</v>
      </c>
      <c r="I143" s="2" t="s">
        <v>1067</v>
      </c>
      <c r="J143" s="2" t="s">
        <v>1068</v>
      </c>
      <c r="K143" s="2" t="s">
        <v>32</v>
      </c>
      <c r="M143" s="2">
        <v>66.0</v>
      </c>
      <c r="N143" s="2">
        <v>5910.85</v>
      </c>
      <c r="O143" s="2" t="s">
        <v>28</v>
      </c>
      <c r="P143" s="2" t="s">
        <v>543</v>
      </c>
      <c r="Q143" s="2" t="s">
        <v>1069</v>
      </c>
      <c r="S143" s="2">
        <v>524528.0</v>
      </c>
      <c r="T143" s="2" t="s">
        <v>819</v>
      </c>
      <c r="U143" s="2" t="s">
        <v>33</v>
      </c>
    </row>
    <row r="144">
      <c r="A144" s="2">
        <v>143.0</v>
      </c>
      <c r="B144" s="2">
        <v>143.0</v>
      </c>
      <c r="C144" s="2">
        <v>143.0</v>
      </c>
      <c r="D144" s="3">
        <v>44256.0</v>
      </c>
      <c r="E144" s="2" t="s">
        <v>1070</v>
      </c>
      <c r="F144" s="2" t="s">
        <v>1071</v>
      </c>
      <c r="G144" s="2">
        <v>292.95</v>
      </c>
      <c r="H144" s="2" t="s">
        <v>1072</v>
      </c>
      <c r="I144" s="2" t="s">
        <v>1073</v>
      </c>
      <c r="J144" s="2" t="s">
        <v>1074</v>
      </c>
      <c r="K144" s="2" t="s">
        <v>791</v>
      </c>
      <c r="M144" s="2">
        <v>40.0</v>
      </c>
      <c r="N144" s="2">
        <v>7551.54</v>
      </c>
      <c r="O144" s="2" t="s">
        <v>52</v>
      </c>
      <c r="P144" s="2" t="s">
        <v>1075</v>
      </c>
      <c r="Q144" s="2" t="s">
        <v>1076</v>
      </c>
      <c r="S144" s="2">
        <v>102042.0</v>
      </c>
      <c r="T144" s="2" t="s">
        <v>68</v>
      </c>
      <c r="U144" s="2" t="s">
        <v>46</v>
      </c>
    </row>
    <row r="145">
      <c r="A145" s="2">
        <v>144.0</v>
      </c>
      <c r="B145" s="2">
        <v>144.0</v>
      </c>
      <c r="C145" s="2">
        <v>144.0</v>
      </c>
      <c r="D145" s="3">
        <v>44247.0</v>
      </c>
      <c r="E145" s="2" t="s">
        <v>1077</v>
      </c>
      <c r="F145" s="2" t="s">
        <v>704</v>
      </c>
      <c r="G145" s="2">
        <v>891.51</v>
      </c>
      <c r="H145" s="2" t="s">
        <v>1078</v>
      </c>
      <c r="I145" s="2" t="s">
        <v>1079</v>
      </c>
      <c r="J145" s="2" t="s">
        <v>1080</v>
      </c>
      <c r="K145" s="2" t="s">
        <v>119</v>
      </c>
      <c r="M145" s="2">
        <v>26.0</v>
      </c>
      <c r="N145" s="2">
        <v>6423.07</v>
      </c>
      <c r="O145" s="2" t="s">
        <v>28</v>
      </c>
      <c r="P145" s="2" t="s">
        <v>1081</v>
      </c>
      <c r="Q145" s="2" t="s">
        <v>1082</v>
      </c>
      <c r="T145" s="2" t="s">
        <v>32</v>
      </c>
      <c r="U145" s="2" t="s">
        <v>46</v>
      </c>
    </row>
    <row r="146">
      <c r="A146" s="2">
        <v>145.0</v>
      </c>
      <c r="B146" s="2">
        <v>145.0</v>
      </c>
      <c r="C146" s="2">
        <v>145.0</v>
      </c>
      <c r="D146" s="3">
        <v>44276.0</v>
      </c>
      <c r="E146" s="2" t="s">
        <v>1083</v>
      </c>
      <c r="F146" s="2" t="s">
        <v>1084</v>
      </c>
      <c r="G146" s="2">
        <v>835.69</v>
      </c>
      <c r="H146" s="2" t="s">
        <v>1085</v>
      </c>
      <c r="I146" s="2" t="s">
        <v>1086</v>
      </c>
      <c r="J146" s="2" t="s">
        <v>1087</v>
      </c>
      <c r="K146" s="2" t="s">
        <v>68</v>
      </c>
      <c r="L146" s="2">
        <v>613261.0</v>
      </c>
      <c r="M146" s="2">
        <v>13.0</v>
      </c>
      <c r="N146" s="2">
        <v>6902.44</v>
      </c>
      <c r="O146" s="2" t="s">
        <v>28</v>
      </c>
      <c r="P146" s="2" t="s">
        <v>1088</v>
      </c>
      <c r="Q146" s="2" t="s">
        <v>1089</v>
      </c>
      <c r="T146" s="2" t="s">
        <v>119</v>
      </c>
      <c r="U146" s="2" t="s">
        <v>33</v>
      </c>
    </row>
    <row r="147">
      <c r="A147" s="2">
        <v>146.0</v>
      </c>
      <c r="B147" s="2">
        <v>146.0</v>
      </c>
      <c r="C147" s="2">
        <v>146.0</v>
      </c>
      <c r="D147" s="3">
        <v>43887.0</v>
      </c>
      <c r="E147" s="2" t="s">
        <v>1090</v>
      </c>
      <c r="F147" s="2" t="s">
        <v>1091</v>
      </c>
      <c r="G147" s="2">
        <v>465.75</v>
      </c>
      <c r="H147" s="2" t="s">
        <v>1092</v>
      </c>
      <c r="I147" s="2" t="s">
        <v>1093</v>
      </c>
      <c r="J147" s="2" t="s">
        <v>1094</v>
      </c>
      <c r="K147" s="2" t="s">
        <v>241</v>
      </c>
      <c r="L147" s="2">
        <v>2434.0</v>
      </c>
      <c r="M147" s="2">
        <v>97.0</v>
      </c>
      <c r="N147" s="2">
        <v>7282.02</v>
      </c>
      <c r="O147" s="2" t="s">
        <v>28</v>
      </c>
      <c r="P147" s="2" t="s">
        <v>1095</v>
      </c>
      <c r="Q147" s="2" t="s">
        <v>1096</v>
      </c>
      <c r="T147" s="2" t="s">
        <v>225</v>
      </c>
      <c r="U147" s="2" t="s">
        <v>46</v>
      </c>
    </row>
    <row r="148">
      <c r="A148" s="2">
        <v>147.0</v>
      </c>
      <c r="B148" s="2">
        <v>147.0</v>
      </c>
      <c r="C148" s="2">
        <v>147.0</v>
      </c>
      <c r="D148" s="3">
        <v>43955.0</v>
      </c>
      <c r="E148" s="2" t="s">
        <v>1097</v>
      </c>
      <c r="F148" s="2" t="s">
        <v>310</v>
      </c>
      <c r="G148" s="2">
        <v>610.14</v>
      </c>
      <c r="H148" s="2" t="s">
        <v>1098</v>
      </c>
      <c r="I148" s="2" t="s">
        <v>1099</v>
      </c>
      <c r="J148" s="2" t="s">
        <v>1100</v>
      </c>
      <c r="K148" s="2" t="s">
        <v>32</v>
      </c>
      <c r="M148" s="2">
        <v>88.0</v>
      </c>
      <c r="N148" s="2">
        <v>3767.4</v>
      </c>
      <c r="O148" s="2" t="s">
        <v>41</v>
      </c>
      <c r="P148" s="2" t="s">
        <v>1101</v>
      </c>
      <c r="Q148" s="2" t="s">
        <v>1102</v>
      </c>
      <c r="T148" s="2" t="s">
        <v>119</v>
      </c>
      <c r="U148" s="2" t="s">
        <v>33</v>
      </c>
    </row>
    <row r="149">
      <c r="A149" s="2">
        <v>148.0</v>
      </c>
      <c r="B149" s="2">
        <v>148.0</v>
      </c>
      <c r="C149" s="2">
        <v>148.0</v>
      </c>
      <c r="D149" s="3">
        <v>44131.0</v>
      </c>
      <c r="E149" s="2" t="s">
        <v>1103</v>
      </c>
      <c r="F149" s="2" t="s">
        <v>22</v>
      </c>
      <c r="G149" s="2">
        <v>992.58</v>
      </c>
      <c r="H149" s="2" t="s">
        <v>1104</v>
      </c>
      <c r="I149" s="2" t="s">
        <v>1105</v>
      </c>
      <c r="J149" s="2" t="s">
        <v>1106</v>
      </c>
      <c r="K149" s="2" t="s">
        <v>241</v>
      </c>
      <c r="L149" s="2">
        <v>6222.0</v>
      </c>
      <c r="M149" s="2">
        <v>75.0</v>
      </c>
      <c r="N149" s="2">
        <v>6811.26</v>
      </c>
      <c r="O149" s="2" t="s">
        <v>41</v>
      </c>
      <c r="P149" s="2" t="s">
        <v>1107</v>
      </c>
      <c r="Q149" s="2" t="s">
        <v>1108</v>
      </c>
      <c r="S149" s="2">
        <v>391448.0</v>
      </c>
      <c r="T149" s="2" t="s">
        <v>68</v>
      </c>
      <c r="U149" s="2" t="s">
        <v>33</v>
      </c>
    </row>
    <row r="150">
      <c r="A150" s="2">
        <v>149.0</v>
      </c>
      <c r="B150" s="2">
        <v>149.0</v>
      </c>
      <c r="C150" s="2">
        <v>149.0</v>
      </c>
      <c r="D150" s="3">
        <v>44241.0</v>
      </c>
      <c r="E150" s="2" t="s">
        <v>1109</v>
      </c>
      <c r="F150" s="2" t="s">
        <v>1110</v>
      </c>
      <c r="G150" s="2">
        <v>771.69</v>
      </c>
      <c r="H150" s="2" t="s">
        <v>1111</v>
      </c>
      <c r="I150" s="2" t="s">
        <v>1112</v>
      </c>
      <c r="J150" s="2" t="s">
        <v>1113</v>
      </c>
      <c r="K150" s="2" t="s">
        <v>32</v>
      </c>
      <c r="M150" s="2">
        <v>53.0</v>
      </c>
      <c r="N150" s="2">
        <v>4891.91</v>
      </c>
      <c r="O150" s="2" t="s">
        <v>52</v>
      </c>
      <c r="P150" s="2" t="s">
        <v>293</v>
      </c>
      <c r="Q150" s="2" t="s">
        <v>1114</v>
      </c>
      <c r="T150" s="2" t="s">
        <v>137</v>
      </c>
      <c r="U150" s="2" t="s">
        <v>71</v>
      </c>
    </row>
    <row r="151">
      <c r="A151" s="2">
        <v>150.0</v>
      </c>
      <c r="B151" s="2">
        <v>150.0</v>
      </c>
      <c r="C151" s="2">
        <v>150.0</v>
      </c>
      <c r="D151" s="3">
        <v>43963.0</v>
      </c>
      <c r="E151" s="2" t="s">
        <v>1115</v>
      </c>
      <c r="F151" s="2" t="s">
        <v>22</v>
      </c>
      <c r="G151" s="2">
        <v>245.25</v>
      </c>
      <c r="H151" s="2" t="s">
        <v>1116</v>
      </c>
      <c r="I151" s="2" t="s">
        <v>1117</v>
      </c>
      <c r="J151" s="2" t="s">
        <v>1118</v>
      </c>
      <c r="K151" s="2" t="s">
        <v>26</v>
      </c>
      <c r="L151" s="2" t="s">
        <v>1119</v>
      </c>
      <c r="M151" s="2">
        <v>15.0</v>
      </c>
      <c r="N151" s="2">
        <v>156.14</v>
      </c>
      <c r="O151" s="2" t="s">
        <v>52</v>
      </c>
      <c r="P151" s="2" t="s">
        <v>1120</v>
      </c>
      <c r="Q151" s="2" t="s">
        <v>1121</v>
      </c>
      <c r="R151" s="2" t="s">
        <v>1122</v>
      </c>
      <c r="S151" s="2">
        <v>36180.0</v>
      </c>
      <c r="T151" s="2" t="s">
        <v>627</v>
      </c>
      <c r="U151" s="2" t="s">
        <v>46</v>
      </c>
    </row>
    <row r="152">
      <c r="A152" s="2">
        <v>151.0</v>
      </c>
      <c r="B152" s="2">
        <v>151.0</v>
      </c>
      <c r="C152" s="2">
        <v>151.0</v>
      </c>
      <c r="D152" s="3">
        <v>44154.0</v>
      </c>
      <c r="E152" s="2" t="s">
        <v>1123</v>
      </c>
      <c r="F152" s="2" t="s">
        <v>822</v>
      </c>
      <c r="G152" s="2">
        <v>118.62</v>
      </c>
      <c r="H152" s="2" t="s">
        <v>1124</v>
      </c>
      <c r="I152" s="2" t="s">
        <v>1125</v>
      </c>
      <c r="J152" s="2" t="s">
        <v>1126</v>
      </c>
      <c r="K152" s="2" t="s">
        <v>45</v>
      </c>
      <c r="L152" s="2">
        <v>77210.0</v>
      </c>
      <c r="M152" s="2">
        <v>16.0</v>
      </c>
      <c r="N152" s="2">
        <v>1144.68</v>
      </c>
      <c r="O152" s="2" t="s">
        <v>28</v>
      </c>
      <c r="P152" s="2" t="s">
        <v>643</v>
      </c>
      <c r="Q152" s="2" t="s">
        <v>1127</v>
      </c>
      <c r="S152" s="2">
        <v>43131.0</v>
      </c>
      <c r="T152" s="2" t="s">
        <v>529</v>
      </c>
      <c r="U152" s="2" t="s">
        <v>71</v>
      </c>
    </row>
    <row r="153">
      <c r="A153" s="2">
        <v>152.0</v>
      </c>
      <c r="B153" s="2">
        <v>152.0</v>
      </c>
      <c r="C153" s="2">
        <v>152.0</v>
      </c>
      <c r="D153" s="3">
        <v>44373.0</v>
      </c>
      <c r="E153" s="2" t="s">
        <v>1128</v>
      </c>
      <c r="F153" s="2" t="s">
        <v>73</v>
      </c>
      <c r="G153" s="2">
        <v>344.11</v>
      </c>
      <c r="H153" s="2" t="s">
        <v>1129</v>
      </c>
      <c r="I153" s="2" t="s">
        <v>1130</v>
      </c>
      <c r="J153" s="2" t="s">
        <v>1131</v>
      </c>
      <c r="K153" s="2" t="s">
        <v>32</v>
      </c>
      <c r="M153" s="2">
        <v>2.0</v>
      </c>
      <c r="N153" s="2">
        <v>3755.28</v>
      </c>
      <c r="O153" s="2" t="s">
        <v>41</v>
      </c>
      <c r="P153" s="2" t="s">
        <v>1132</v>
      </c>
      <c r="Q153" s="2" t="s">
        <v>1133</v>
      </c>
      <c r="T153" s="2" t="s">
        <v>228</v>
      </c>
      <c r="U153" s="2" t="s">
        <v>46</v>
      </c>
    </row>
    <row r="154">
      <c r="A154" s="2">
        <v>153.0</v>
      </c>
      <c r="B154" s="2">
        <v>153.0</v>
      </c>
      <c r="C154" s="2">
        <v>153.0</v>
      </c>
      <c r="D154" s="3">
        <v>44466.0</v>
      </c>
      <c r="E154" s="2" t="s">
        <v>709</v>
      </c>
      <c r="F154" s="2" t="s">
        <v>710</v>
      </c>
      <c r="G154" s="2">
        <v>990.34</v>
      </c>
      <c r="H154" s="2" t="s">
        <v>1134</v>
      </c>
      <c r="I154" s="2" t="s">
        <v>1135</v>
      </c>
      <c r="J154" s="2" t="s">
        <v>1136</v>
      </c>
      <c r="K154" s="2" t="s">
        <v>106</v>
      </c>
      <c r="L154" s="2" t="s">
        <v>1137</v>
      </c>
      <c r="M154" s="2">
        <v>55.0</v>
      </c>
      <c r="N154" s="2">
        <v>9074.32</v>
      </c>
      <c r="O154" s="2" t="s">
        <v>52</v>
      </c>
      <c r="P154" s="2" t="s">
        <v>293</v>
      </c>
      <c r="Q154" s="2" t="s">
        <v>1138</v>
      </c>
      <c r="T154" s="2" t="s">
        <v>32</v>
      </c>
      <c r="U154" s="2" t="s">
        <v>33</v>
      </c>
    </row>
    <row r="155">
      <c r="A155" s="2">
        <v>154.0</v>
      </c>
      <c r="B155" s="2">
        <v>154.0</v>
      </c>
      <c r="C155" s="2">
        <v>154.0</v>
      </c>
      <c r="D155" s="3">
        <v>44216.0</v>
      </c>
      <c r="E155" s="2" t="s">
        <v>1139</v>
      </c>
      <c r="F155" s="2" t="s">
        <v>965</v>
      </c>
      <c r="G155" s="2">
        <v>893.73</v>
      </c>
      <c r="H155" s="2" t="s">
        <v>1140</v>
      </c>
      <c r="I155" s="2" t="s">
        <v>1141</v>
      </c>
      <c r="J155" s="2" t="s">
        <v>1142</v>
      </c>
      <c r="K155" s="2" t="s">
        <v>32</v>
      </c>
      <c r="M155" s="2">
        <v>47.0</v>
      </c>
      <c r="N155" s="2">
        <v>7768.24</v>
      </c>
      <c r="O155" s="2" t="s">
        <v>52</v>
      </c>
      <c r="P155" s="2" t="s">
        <v>1143</v>
      </c>
      <c r="Q155" s="2" t="s">
        <v>1144</v>
      </c>
      <c r="S155" s="2">
        <v>77570.0</v>
      </c>
      <c r="T155" s="2" t="s">
        <v>885</v>
      </c>
      <c r="U155" s="2" t="s">
        <v>33</v>
      </c>
    </row>
    <row r="156">
      <c r="A156" s="2">
        <v>155.0</v>
      </c>
      <c r="B156" s="2">
        <v>155.0</v>
      </c>
      <c r="C156" s="2">
        <v>155.0</v>
      </c>
      <c r="D156" s="3">
        <v>44043.0</v>
      </c>
      <c r="E156" s="2" t="s">
        <v>1145</v>
      </c>
      <c r="F156" s="2" t="s">
        <v>48</v>
      </c>
      <c r="G156" s="2">
        <v>582.91</v>
      </c>
      <c r="H156" s="2" t="s">
        <v>1146</v>
      </c>
      <c r="I156" s="2" t="s">
        <v>1147</v>
      </c>
      <c r="J156" s="2" t="s">
        <v>1148</v>
      </c>
      <c r="K156" s="2" t="s">
        <v>32</v>
      </c>
      <c r="M156" s="2">
        <v>17.0</v>
      </c>
      <c r="N156" s="2">
        <v>135.03</v>
      </c>
      <c r="O156" s="2" t="s">
        <v>41</v>
      </c>
      <c r="P156" s="2" t="s">
        <v>1149</v>
      </c>
      <c r="Q156" s="2" t="s">
        <v>1150</v>
      </c>
      <c r="S156" s="2">
        <v>23568.0</v>
      </c>
      <c r="T156" s="2" t="s">
        <v>630</v>
      </c>
      <c r="U156" s="2" t="s">
        <v>71</v>
      </c>
    </row>
    <row r="157">
      <c r="A157" s="2">
        <v>156.0</v>
      </c>
      <c r="B157" s="2">
        <v>156.0</v>
      </c>
      <c r="C157" s="2">
        <v>156.0</v>
      </c>
      <c r="D157" s="3">
        <v>44014.0</v>
      </c>
      <c r="E157" s="2" t="s">
        <v>1151</v>
      </c>
      <c r="F157" s="2" t="s">
        <v>623</v>
      </c>
      <c r="G157" s="2">
        <v>131.2</v>
      </c>
      <c r="H157" s="2" t="s">
        <v>1152</v>
      </c>
      <c r="I157" s="2" t="s">
        <v>1153</v>
      </c>
      <c r="J157" s="2" t="s">
        <v>1154</v>
      </c>
      <c r="K157" s="2" t="s">
        <v>178</v>
      </c>
      <c r="L157" s="2">
        <v>4221.0</v>
      </c>
      <c r="M157" s="2">
        <v>30.0</v>
      </c>
      <c r="N157" s="2">
        <v>8961.02</v>
      </c>
      <c r="O157" s="2" t="s">
        <v>28</v>
      </c>
      <c r="P157" s="2" t="s">
        <v>1155</v>
      </c>
      <c r="Q157" s="2" t="s">
        <v>1156</v>
      </c>
      <c r="T157" s="2" t="s">
        <v>32</v>
      </c>
      <c r="U157" s="2" t="s">
        <v>71</v>
      </c>
    </row>
    <row r="158">
      <c r="A158" s="2">
        <v>157.0</v>
      </c>
      <c r="B158" s="2">
        <v>157.0</v>
      </c>
      <c r="C158" s="2">
        <v>157.0</v>
      </c>
      <c r="D158" s="3">
        <v>44283.0</v>
      </c>
      <c r="E158" s="2" t="s">
        <v>1157</v>
      </c>
      <c r="F158" s="2" t="s">
        <v>97</v>
      </c>
      <c r="G158" s="2">
        <v>957.55</v>
      </c>
      <c r="H158" s="2" t="s">
        <v>1158</v>
      </c>
      <c r="I158" s="2" t="s">
        <v>1159</v>
      </c>
      <c r="J158" s="2" t="s">
        <v>1160</v>
      </c>
      <c r="K158" s="2" t="s">
        <v>137</v>
      </c>
      <c r="M158" s="2">
        <v>7.0</v>
      </c>
      <c r="N158" s="2">
        <v>4118.01</v>
      </c>
      <c r="O158" s="2" t="s">
        <v>52</v>
      </c>
      <c r="P158" s="2" t="s">
        <v>1161</v>
      </c>
      <c r="Q158" s="2" t="s">
        <v>1162</v>
      </c>
      <c r="T158" s="2" t="s">
        <v>650</v>
      </c>
      <c r="U158" s="2" t="s">
        <v>71</v>
      </c>
    </row>
    <row r="159">
      <c r="A159" s="2">
        <v>158.0</v>
      </c>
      <c r="B159" s="2">
        <v>158.0</v>
      </c>
      <c r="C159" s="2">
        <v>158.0</v>
      </c>
      <c r="D159" s="3">
        <v>43886.0</v>
      </c>
      <c r="E159" s="2" t="s">
        <v>1163</v>
      </c>
      <c r="F159" s="2" t="s">
        <v>191</v>
      </c>
      <c r="G159" s="2">
        <v>645.21</v>
      </c>
      <c r="H159" s="2" t="s">
        <v>1164</v>
      </c>
      <c r="I159" s="2" t="s">
        <v>1165</v>
      </c>
      <c r="J159" s="2" t="s">
        <v>1166</v>
      </c>
      <c r="K159" s="2" t="s">
        <v>1167</v>
      </c>
      <c r="L159" s="2">
        <v>11600.0</v>
      </c>
      <c r="M159" s="2">
        <v>29.0</v>
      </c>
      <c r="N159" s="2">
        <v>7327.53</v>
      </c>
      <c r="O159" s="2" t="s">
        <v>28</v>
      </c>
      <c r="P159" s="2" t="s">
        <v>1168</v>
      </c>
      <c r="Q159" s="2" t="s">
        <v>1169</v>
      </c>
      <c r="T159" s="2" t="s">
        <v>119</v>
      </c>
      <c r="U159" s="2" t="s">
        <v>71</v>
      </c>
    </row>
    <row r="160">
      <c r="A160" s="2">
        <v>159.0</v>
      </c>
      <c r="B160" s="2">
        <v>159.0</v>
      </c>
      <c r="C160" s="2">
        <v>159.0</v>
      </c>
      <c r="D160" s="3">
        <v>44145.0</v>
      </c>
      <c r="E160" s="2" t="s">
        <v>1170</v>
      </c>
      <c r="F160" s="2" t="s">
        <v>73</v>
      </c>
      <c r="G160" s="2">
        <v>23.01</v>
      </c>
      <c r="H160" s="2" t="s">
        <v>1171</v>
      </c>
      <c r="I160" s="2" t="s">
        <v>1172</v>
      </c>
      <c r="J160" s="2" t="s">
        <v>1173</v>
      </c>
      <c r="K160" s="2" t="s">
        <v>119</v>
      </c>
      <c r="M160" s="2">
        <v>61.0</v>
      </c>
      <c r="N160" s="2">
        <v>5137.03</v>
      </c>
      <c r="O160" s="2" t="s">
        <v>52</v>
      </c>
      <c r="P160" s="2" t="s">
        <v>1174</v>
      </c>
      <c r="Q160" s="2" t="s">
        <v>1175</v>
      </c>
      <c r="S160" s="2">
        <v>461677.0</v>
      </c>
      <c r="T160" s="2" t="s">
        <v>68</v>
      </c>
      <c r="U160" s="2" t="s">
        <v>33</v>
      </c>
    </row>
    <row r="161">
      <c r="A161" s="2">
        <v>160.0</v>
      </c>
      <c r="B161" s="2">
        <v>160.0</v>
      </c>
      <c r="C161" s="2">
        <v>160.0</v>
      </c>
      <c r="D161" s="3">
        <v>44190.0</v>
      </c>
      <c r="E161" s="2" t="s">
        <v>1176</v>
      </c>
      <c r="F161" s="2" t="s">
        <v>142</v>
      </c>
      <c r="G161" s="2">
        <v>829.82</v>
      </c>
      <c r="H161" s="2" t="s">
        <v>1177</v>
      </c>
      <c r="I161" s="2" t="s">
        <v>1178</v>
      </c>
      <c r="J161" s="2" t="s">
        <v>1179</v>
      </c>
      <c r="K161" s="2" t="s">
        <v>1180</v>
      </c>
      <c r="M161" s="2">
        <v>11.0</v>
      </c>
      <c r="N161" s="2">
        <v>4465.36</v>
      </c>
      <c r="O161" s="2" t="s">
        <v>52</v>
      </c>
      <c r="P161" s="2" t="s">
        <v>883</v>
      </c>
      <c r="Q161" s="2" t="s">
        <v>1181</v>
      </c>
      <c r="S161" s="2" t="s">
        <v>1182</v>
      </c>
      <c r="T161" s="2" t="s">
        <v>257</v>
      </c>
      <c r="U161" s="2" t="s">
        <v>71</v>
      </c>
    </row>
    <row r="162">
      <c r="A162" s="2">
        <v>161.0</v>
      </c>
      <c r="B162" s="2">
        <v>161.0</v>
      </c>
      <c r="C162" s="2">
        <v>161.0</v>
      </c>
      <c r="D162" s="3">
        <v>43994.0</v>
      </c>
      <c r="E162" s="2" t="s">
        <v>1183</v>
      </c>
      <c r="F162" s="2" t="s">
        <v>1184</v>
      </c>
      <c r="G162" s="2">
        <v>311.61</v>
      </c>
      <c r="H162" s="2" t="s">
        <v>1185</v>
      </c>
      <c r="I162" s="2" t="s">
        <v>1186</v>
      </c>
      <c r="J162" s="2" t="s">
        <v>1187</v>
      </c>
      <c r="K162" s="2" t="s">
        <v>32</v>
      </c>
      <c r="M162" s="2">
        <v>52.0</v>
      </c>
      <c r="N162" s="2">
        <v>7488.46</v>
      </c>
      <c r="O162" s="2" t="s">
        <v>28</v>
      </c>
      <c r="P162" s="2" t="s">
        <v>1188</v>
      </c>
      <c r="Q162" s="2" t="s">
        <v>1189</v>
      </c>
      <c r="T162" s="2" t="s">
        <v>1190</v>
      </c>
      <c r="U162" s="2" t="s">
        <v>33</v>
      </c>
    </row>
    <row r="163">
      <c r="A163" s="2">
        <v>162.0</v>
      </c>
      <c r="B163" s="2">
        <v>162.0</v>
      </c>
      <c r="C163" s="2">
        <v>162.0</v>
      </c>
      <c r="D163" s="3">
        <v>44153.0</v>
      </c>
      <c r="E163" s="2" t="s">
        <v>1191</v>
      </c>
      <c r="F163" s="2" t="s">
        <v>501</v>
      </c>
      <c r="G163" s="2">
        <v>66.86</v>
      </c>
      <c r="H163" s="2" t="s">
        <v>1192</v>
      </c>
      <c r="I163" s="2" t="s">
        <v>1193</v>
      </c>
      <c r="J163" s="2" t="s">
        <v>1194</v>
      </c>
      <c r="K163" s="2" t="s">
        <v>363</v>
      </c>
      <c r="M163" s="2">
        <v>40.0</v>
      </c>
      <c r="N163" s="2">
        <v>7839.58</v>
      </c>
      <c r="O163" s="2" t="s">
        <v>41</v>
      </c>
      <c r="P163" s="2" t="s">
        <v>1195</v>
      </c>
      <c r="Q163" s="2" t="s">
        <v>1196</v>
      </c>
      <c r="S163" s="2" t="s">
        <v>1197</v>
      </c>
      <c r="T163" s="2" t="s">
        <v>127</v>
      </c>
      <c r="U163" s="2" t="s">
        <v>71</v>
      </c>
    </row>
    <row r="164">
      <c r="A164" s="2">
        <v>163.0</v>
      </c>
      <c r="B164" s="2">
        <v>163.0</v>
      </c>
      <c r="C164" s="2">
        <v>163.0</v>
      </c>
      <c r="D164" s="3">
        <v>43882.0</v>
      </c>
      <c r="E164" s="2" t="s">
        <v>1198</v>
      </c>
      <c r="F164" s="2" t="s">
        <v>1199</v>
      </c>
      <c r="G164" s="2">
        <v>890.93</v>
      </c>
      <c r="H164" s="2" t="s">
        <v>1200</v>
      </c>
      <c r="I164" s="2" t="s">
        <v>1201</v>
      </c>
      <c r="J164" s="2" t="s">
        <v>1202</v>
      </c>
      <c r="K164" s="2" t="s">
        <v>32</v>
      </c>
      <c r="M164" s="2">
        <v>55.0</v>
      </c>
      <c r="N164" s="2">
        <v>2629.23</v>
      </c>
      <c r="O164" s="2" t="s">
        <v>52</v>
      </c>
      <c r="P164" s="2" t="s">
        <v>1149</v>
      </c>
      <c r="Q164" s="2" t="s">
        <v>1203</v>
      </c>
      <c r="T164" s="2" t="s">
        <v>1204</v>
      </c>
      <c r="U164" s="2" t="s">
        <v>33</v>
      </c>
    </row>
    <row r="165">
      <c r="A165" s="2">
        <v>164.0</v>
      </c>
      <c r="B165" s="2">
        <v>164.0</v>
      </c>
      <c r="C165" s="2">
        <v>164.0</v>
      </c>
      <c r="D165" s="3">
        <v>43950.0</v>
      </c>
      <c r="E165" s="2" t="s">
        <v>87</v>
      </c>
      <c r="F165" s="2" t="s">
        <v>88</v>
      </c>
      <c r="G165" s="2">
        <v>563.62</v>
      </c>
      <c r="H165" s="2" t="s">
        <v>1205</v>
      </c>
      <c r="I165" s="2" t="s">
        <v>1206</v>
      </c>
      <c r="J165" s="2" t="s">
        <v>1207</v>
      </c>
      <c r="K165" s="2" t="s">
        <v>241</v>
      </c>
      <c r="L165" s="2">
        <v>8601.0</v>
      </c>
      <c r="M165" s="2">
        <v>62.0</v>
      </c>
      <c r="N165" s="2">
        <v>1636.6</v>
      </c>
      <c r="O165" s="2" t="s">
        <v>52</v>
      </c>
      <c r="P165" s="2" t="s">
        <v>840</v>
      </c>
      <c r="Q165" s="2" t="s">
        <v>1208</v>
      </c>
      <c r="S165" s="2">
        <v>53710.0</v>
      </c>
      <c r="T165" s="2" t="s">
        <v>101</v>
      </c>
      <c r="U165" s="2" t="s">
        <v>46</v>
      </c>
    </row>
    <row r="166">
      <c r="A166" s="2">
        <v>165.0</v>
      </c>
      <c r="B166" s="2">
        <v>165.0</v>
      </c>
      <c r="C166" s="2">
        <v>165.0</v>
      </c>
      <c r="D166" s="3">
        <v>43998.0</v>
      </c>
      <c r="E166" s="2" t="s">
        <v>1209</v>
      </c>
      <c r="F166" s="2" t="s">
        <v>1184</v>
      </c>
      <c r="G166" s="2">
        <v>260.66</v>
      </c>
      <c r="H166" s="2" t="s">
        <v>1210</v>
      </c>
      <c r="I166" s="2" t="s">
        <v>1211</v>
      </c>
      <c r="J166" s="2" t="s">
        <v>1212</v>
      </c>
      <c r="K166" s="2" t="s">
        <v>127</v>
      </c>
      <c r="L166" s="2" t="s">
        <v>1213</v>
      </c>
      <c r="M166" s="2">
        <v>2.0</v>
      </c>
      <c r="N166" s="2">
        <v>2601.01</v>
      </c>
      <c r="O166" s="2" t="s">
        <v>41</v>
      </c>
      <c r="P166" s="2" t="s">
        <v>1214</v>
      </c>
      <c r="Q166" s="2" t="s">
        <v>1215</v>
      </c>
      <c r="T166" s="2" t="s">
        <v>1216</v>
      </c>
      <c r="U166" s="2" t="s">
        <v>33</v>
      </c>
    </row>
    <row r="167">
      <c r="A167" s="2">
        <v>166.0</v>
      </c>
      <c r="B167" s="2">
        <v>166.0</v>
      </c>
      <c r="C167" s="2">
        <v>166.0</v>
      </c>
      <c r="D167" s="3">
        <v>44049.0</v>
      </c>
      <c r="E167" s="2" t="s">
        <v>1217</v>
      </c>
      <c r="F167" s="2" t="s">
        <v>1199</v>
      </c>
      <c r="G167" s="2">
        <v>96.37</v>
      </c>
      <c r="H167" s="2" t="s">
        <v>1218</v>
      </c>
      <c r="I167" s="2" t="s">
        <v>1219</v>
      </c>
      <c r="J167" s="2" t="s">
        <v>1220</v>
      </c>
      <c r="K167" s="2" t="s">
        <v>225</v>
      </c>
      <c r="M167" s="2">
        <v>54.0</v>
      </c>
      <c r="N167" s="2">
        <v>2614.39</v>
      </c>
      <c r="O167" s="2" t="s">
        <v>28</v>
      </c>
      <c r="P167" s="2" t="s">
        <v>1221</v>
      </c>
      <c r="Q167" s="2" t="s">
        <v>1222</v>
      </c>
      <c r="T167" s="2" t="s">
        <v>119</v>
      </c>
      <c r="U167" s="2" t="s">
        <v>71</v>
      </c>
    </row>
    <row r="168">
      <c r="A168" s="2">
        <v>167.0</v>
      </c>
      <c r="B168" s="2">
        <v>167.0</v>
      </c>
      <c r="C168" s="2">
        <v>167.0</v>
      </c>
      <c r="D168" s="3">
        <v>43901.0</v>
      </c>
      <c r="E168" s="2" t="s">
        <v>1223</v>
      </c>
      <c r="F168" s="2" t="s">
        <v>73</v>
      </c>
      <c r="G168" s="2">
        <v>354.88</v>
      </c>
      <c r="H168" s="2" t="s">
        <v>1224</v>
      </c>
      <c r="I168" s="2" t="s">
        <v>1225</v>
      </c>
      <c r="J168" s="2" t="s">
        <v>1226</v>
      </c>
      <c r="K168" s="2" t="s">
        <v>1227</v>
      </c>
      <c r="M168" s="2">
        <v>58.0</v>
      </c>
      <c r="N168" s="2">
        <v>4940.42</v>
      </c>
      <c r="O168" s="2" t="s">
        <v>52</v>
      </c>
      <c r="P168" s="2" t="s">
        <v>1228</v>
      </c>
      <c r="Q168" s="2" t="s">
        <v>1229</v>
      </c>
      <c r="T168" s="2" t="s">
        <v>119</v>
      </c>
      <c r="U168" s="2" t="s">
        <v>71</v>
      </c>
    </row>
    <row r="169">
      <c r="A169" s="2">
        <v>168.0</v>
      </c>
      <c r="B169" s="2">
        <v>168.0</v>
      </c>
      <c r="C169" s="2">
        <v>168.0</v>
      </c>
      <c r="D169" s="3">
        <v>44079.0</v>
      </c>
      <c r="E169" s="2" t="s">
        <v>1230</v>
      </c>
      <c r="F169" s="2" t="s">
        <v>951</v>
      </c>
      <c r="G169" s="2">
        <v>394.09</v>
      </c>
      <c r="H169" s="2" t="s">
        <v>1231</v>
      </c>
      <c r="I169" s="2" t="s">
        <v>1232</v>
      </c>
      <c r="J169" s="2" t="s">
        <v>1233</v>
      </c>
      <c r="K169" s="2" t="s">
        <v>32</v>
      </c>
      <c r="M169" s="2">
        <v>48.0</v>
      </c>
      <c r="N169" s="2">
        <v>762.74</v>
      </c>
      <c r="O169" s="2" t="s">
        <v>52</v>
      </c>
      <c r="P169" s="2" t="s">
        <v>1195</v>
      </c>
      <c r="Q169" s="2" t="s">
        <v>1234</v>
      </c>
      <c r="T169" s="2" t="s">
        <v>137</v>
      </c>
      <c r="U169" s="2" t="s">
        <v>46</v>
      </c>
    </row>
    <row r="170">
      <c r="A170" s="2">
        <v>169.0</v>
      </c>
      <c r="B170" s="2">
        <v>169.0</v>
      </c>
      <c r="C170" s="2">
        <v>169.0</v>
      </c>
      <c r="D170" s="3">
        <v>44390.0</v>
      </c>
      <c r="E170" s="2" t="s">
        <v>1235</v>
      </c>
      <c r="F170" s="2" t="s">
        <v>191</v>
      </c>
      <c r="G170" s="2">
        <v>976.85</v>
      </c>
      <c r="H170" s="2" t="s">
        <v>1236</v>
      </c>
      <c r="I170" s="2" t="s">
        <v>1237</v>
      </c>
      <c r="J170" s="2" t="s">
        <v>1238</v>
      </c>
      <c r="K170" s="2" t="s">
        <v>32</v>
      </c>
      <c r="M170" s="2">
        <v>2.0</v>
      </c>
      <c r="N170" s="2">
        <v>2284.63</v>
      </c>
      <c r="O170" s="2" t="s">
        <v>52</v>
      </c>
      <c r="P170" s="2" t="s">
        <v>1239</v>
      </c>
      <c r="Q170" s="2" t="s">
        <v>1240</v>
      </c>
      <c r="S170" s="2" t="s">
        <v>1241</v>
      </c>
      <c r="T170" s="2" t="s">
        <v>163</v>
      </c>
      <c r="U170" s="2" t="s">
        <v>33</v>
      </c>
    </row>
    <row r="171">
      <c r="A171" s="2">
        <v>170.0</v>
      </c>
      <c r="B171" s="2">
        <v>170.0</v>
      </c>
      <c r="C171" s="2">
        <v>170.0</v>
      </c>
      <c r="D171" s="3">
        <v>44358.0</v>
      </c>
      <c r="E171" s="2" t="s">
        <v>1242</v>
      </c>
      <c r="F171" s="2" t="s">
        <v>501</v>
      </c>
      <c r="G171" s="2">
        <v>567.38</v>
      </c>
      <c r="H171" s="2" t="s">
        <v>1243</v>
      </c>
      <c r="I171" s="2" t="s">
        <v>1244</v>
      </c>
      <c r="J171" s="2" t="s">
        <v>1245</v>
      </c>
      <c r="K171" s="2" t="s">
        <v>101</v>
      </c>
      <c r="L171" s="2">
        <v>89135.0</v>
      </c>
      <c r="M171" s="2">
        <v>11.0</v>
      </c>
      <c r="N171" s="2">
        <v>7733.2</v>
      </c>
      <c r="O171" s="2" t="s">
        <v>41</v>
      </c>
      <c r="P171" s="2" t="s">
        <v>454</v>
      </c>
      <c r="Q171" s="2" t="s">
        <v>1246</v>
      </c>
      <c r="R171" s="2" t="s">
        <v>1247</v>
      </c>
      <c r="T171" s="2" t="s">
        <v>292</v>
      </c>
      <c r="U171" s="2" t="s">
        <v>33</v>
      </c>
    </row>
    <row r="172">
      <c r="A172" s="2">
        <v>171.0</v>
      </c>
      <c r="B172" s="2">
        <v>171.0</v>
      </c>
      <c r="C172" s="2">
        <v>171.0</v>
      </c>
      <c r="D172" s="3">
        <v>44231.0</v>
      </c>
      <c r="E172" s="2" t="s">
        <v>1248</v>
      </c>
      <c r="F172" s="2" t="s">
        <v>97</v>
      </c>
      <c r="G172" s="2">
        <v>659.27</v>
      </c>
      <c r="H172" s="2" t="s">
        <v>1249</v>
      </c>
      <c r="I172" s="2" t="s">
        <v>1250</v>
      </c>
      <c r="J172" s="2" t="s">
        <v>1251</v>
      </c>
      <c r="K172" s="2" t="s">
        <v>32</v>
      </c>
      <c r="M172" s="2">
        <v>71.0</v>
      </c>
      <c r="N172" s="2">
        <v>9115.95</v>
      </c>
      <c r="O172" s="2" t="s">
        <v>41</v>
      </c>
      <c r="P172" s="2" t="s">
        <v>1252</v>
      </c>
      <c r="Q172" s="2" t="s">
        <v>1253</v>
      </c>
      <c r="T172" s="2" t="s">
        <v>32</v>
      </c>
      <c r="U172" s="2" t="s">
        <v>71</v>
      </c>
    </row>
    <row r="173">
      <c r="A173" s="2">
        <v>172.0</v>
      </c>
      <c r="B173" s="2">
        <v>172.0</v>
      </c>
      <c r="C173" s="2">
        <v>172.0</v>
      </c>
      <c r="D173" s="3">
        <v>44065.0</v>
      </c>
      <c r="E173" s="2" t="s">
        <v>1254</v>
      </c>
      <c r="F173" s="2" t="s">
        <v>88</v>
      </c>
      <c r="G173" s="2">
        <v>356.81</v>
      </c>
      <c r="H173" s="2" t="s">
        <v>1255</v>
      </c>
      <c r="I173" s="2" t="s">
        <v>1256</v>
      </c>
      <c r="J173" s="2" t="s">
        <v>1257</v>
      </c>
      <c r="K173" s="2" t="s">
        <v>32</v>
      </c>
      <c r="M173" s="2">
        <v>50.0</v>
      </c>
      <c r="N173" s="2">
        <v>5184.57</v>
      </c>
      <c r="O173" s="2" t="s">
        <v>41</v>
      </c>
      <c r="P173" s="2" t="s">
        <v>1258</v>
      </c>
      <c r="Q173" s="2" t="s">
        <v>1259</v>
      </c>
      <c r="T173" s="2" t="s">
        <v>1260</v>
      </c>
      <c r="U173" s="2" t="s">
        <v>71</v>
      </c>
    </row>
    <row r="174">
      <c r="A174" s="2">
        <v>173.0</v>
      </c>
      <c r="B174" s="2">
        <v>173.0</v>
      </c>
      <c r="C174" s="2">
        <v>173.0</v>
      </c>
      <c r="D174" s="3">
        <v>44135.0</v>
      </c>
      <c r="E174" s="2" t="s">
        <v>1261</v>
      </c>
      <c r="F174" s="2" t="s">
        <v>73</v>
      </c>
      <c r="G174" s="2">
        <v>162.39</v>
      </c>
      <c r="H174" s="2" t="s">
        <v>1262</v>
      </c>
      <c r="I174" s="2" t="s">
        <v>1263</v>
      </c>
      <c r="J174" s="2" t="s">
        <v>1264</v>
      </c>
      <c r="K174" s="2" t="s">
        <v>478</v>
      </c>
      <c r="M174" s="2">
        <v>44.0</v>
      </c>
      <c r="N174" s="2">
        <v>33.25</v>
      </c>
      <c r="O174" s="2" t="s">
        <v>28</v>
      </c>
      <c r="P174" s="2" t="s">
        <v>1265</v>
      </c>
      <c r="Q174" s="2" t="s">
        <v>1266</v>
      </c>
      <c r="S174" s="2" t="s">
        <v>1267</v>
      </c>
      <c r="T174" s="2" t="s">
        <v>114</v>
      </c>
      <c r="U174" s="2" t="s">
        <v>33</v>
      </c>
    </row>
    <row r="175">
      <c r="A175" s="2">
        <v>174.0</v>
      </c>
      <c r="B175" s="2">
        <v>174.0</v>
      </c>
      <c r="C175" s="2">
        <v>174.0</v>
      </c>
      <c r="D175" s="3">
        <v>44170.0</v>
      </c>
      <c r="E175" s="2" t="s">
        <v>1268</v>
      </c>
      <c r="F175" s="2" t="s">
        <v>413</v>
      </c>
      <c r="G175" s="2">
        <v>846.79</v>
      </c>
      <c r="H175" s="2" t="s">
        <v>1269</v>
      </c>
      <c r="I175" s="2" t="s">
        <v>1270</v>
      </c>
      <c r="J175" s="2" t="s">
        <v>1271</v>
      </c>
      <c r="K175" s="2" t="s">
        <v>1272</v>
      </c>
      <c r="M175" s="2">
        <v>22.0</v>
      </c>
      <c r="N175" s="2">
        <v>9999.6</v>
      </c>
      <c r="O175" s="2" t="s">
        <v>41</v>
      </c>
      <c r="P175" s="2" t="s">
        <v>1273</v>
      </c>
      <c r="Q175" s="2" t="s">
        <v>1274</v>
      </c>
      <c r="T175" s="2" t="s">
        <v>1008</v>
      </c>
      <c r="U175" s="2" t="s">
        <v>46</v>
      </c>
    </row>
    <row r="176">
      <c r="A176" s="2">
        <v>175.0</v>
      </c>
      <c r="B176" s="2">
        <v>175.0</v>
      </c>
      <c r="C176" s="2">
        <v>175.0</v>
      </c>
      <c r="D176" s="3">
        <v>44034.0</v>
      </c>
      <c r="E176" s="2" t="s">
        <v>1275</v>
      </c>
      <c r="F176" s="2" t="s">
        <v>1046</v>
      </c>
      <c r="G176" s="2">
        <v>869.64</v>
      </c>
      <c r="H176" s="2" t="s">
        <v>1276</v>
      </c>
      <c r="I176" s="2" t="s">
        <v>1277</v>
      </c>
      <c r="J176" s="2" t="s">
        <v>1278</v>
      </c>
      <c r="K176" s="2" t="s">
        <v>1279</v>
      </c>
      <c r="M176" s="2">
        <v>71.0</v>
      </c>
      <c r="N176" s="2">
        <v>6777.3</v>
      </c>
      <c r="O176" s="2" t="s">
        <v>41</v>
      </c>
      <c r="P176" s="2" t="s">
        <v>1280</v>
      </c>
      <c r="Q176" s="2" t="s">
        <v>1281</v>
      </c>
      <c r="S176" s="2" t="s">
        <v>1282</v>
      </c>
      <c r="T176" s="2" t="s">
        <v>26</v>
      </c>
      <c r="U176" s="2" t="s">
        <v>33</v>
      </c>
    </row>
    <row r="177">
      <c r="A177" s="2">
        <v>176.0</v>
      </c>
      <c r="B177" s="2">
        <v>176.0</v>
      </c>
      <c r="C177" s="2">
        <v>176.0</v>
      </c>
      <c r="D177" s="3">
        <v>44054.0</v>
      </c>
      <c r="E177" s="2" t="s">
        <v>1283</v>
      </c>
      <c r="F177" s="2" t="s">
        <v>123</v>
      </c>
      <c r="G177" s="2">
        <v>979.68</v>
      </c>
      <c r="H177" s="2" t="s">
        <v>1284</v>
      </c>
      <c r="I177" s="2" t="s">
        <v>1285</v>
      </c>
      <c r="J177" s="2" t="s">
        <v>1286</v>
      </c>
      <c r="K177" s="2" t="s">
        <v>39</v>
      </c>
      <c r="L177" s="2" t="s">
        <v>1287</v>
      </c>
      <c r="M177" s="2">
        <v>22.0</v>
      </c>
      <c r="N177" s="2">
        <v>7147.62</v>
      </c>
      <c r="O177" s="2" t="s">
        <v>41</v>
      </c>
      <c r="P177" s="2" t="s">
        <v>1288</v>
      </c>
      <c r="Q177" s="2" t="s">
        <v>1289</v>
      </c>
      <c r="R177" s="2" t="s">
        <v>1290</v>
      </c>
      <c r="S177" s="2" t="s">
        <v>1291</v>
      </c>
      <c r="T177" s="2" t="s">
        <v>26</v>
      </c>
      <c r="U177" s="2" t="s">
        <v>46</v>
      </c>
    </row>
    <row r="178">
      <c r="A178" s="2">
        <v>177.0</v>
      </c>
      <c r="B178" s="2">
        <v>177.0</v>
      </c>
      <c r="C178" s="2">
        <v>177.0</v>
      </c>
      <c r="D178" s="3">
        <v>43847.0</v>
      </c>
      <c r="E178" s="2" t="s">
        <v>1292</v>
      </c>
      <c r="F178" s="2" t="s">
        <v>413</v>
      </c>
      <c r="G178" s="2">
        <v>833.53</v>
      </c>
      <c r="H178" s="2" t="s">
        <v>1293</v>
      </c>
      <c r="I178" s="2" t="s">
        <v>1294</v>
      </c>
      <c r="J178" s="2" t="s">
        <v>1295</v>
      </c>
      <c r="K178" s="2" t="s">
        <v>32</v>
      </c>
      <c r="M178" s="2">
        <v>27.0</v>
      </c>
      <c r="N178" s="2">
        <v>7090.93</v>
      </c>
      <c r="O178" s="2" t="s">
        <v>28</v>
      </c>
      <c r="P178" s="2" t="s">
        <v>454</v>
      </c>
      <c r="Q178" s="2" t="s">
        <v>1296</v>
      </c>
      <c r="T178" s="2" t="s">
        <v>1297</v>
      </c>
      <c r="U178" s="2" t="s">
        <v>46</v>
      </c>
    </row>
    <row r="179">
      <c r="A179" s="2">
        <v>178.0</v>
      </c>
      <c r="B179" s="2">
        <v>178.0</v>
      </c>
      <c r="C179" s="2">
        <v>178.0</v>
      </c>
      <c r="D179" s="3">
        <v>44363.0</v>
      </c>
      <c r="E179" s="2" t="s">
        <v>1298</v>
      </c>
      <c r="F179" s="2" t="s">
        <v>73</v>
      </c>
      <c r="G179" s="2">
        <v>520.33</v>
      </c>
      <c r="H179" s="2" t="s">
        <v>1299</v>
      </c>
      <c r="I179" s="2" t="s">
        <v>1300</v>
      </c>
      <c r="J179" s="2" t="s">
        <v>1301</v>
      </c>
      <c r="K179" s="2" t="s">
        <v>119</v>
      </c>
      <c r="M179" s="2">
        <v>89.0</v>
      </c>
      <c r="N179" s="2">
        <v>7684.01</v>
      </c>
      <c r="O179" s="2" t="s">
        <v>41</v>
      </c>
      <c r="P179" s="2" t="s">
        <v>1302</v>
      </c>
      <c r="Q179" s="2" t="s">
        <v>1303</v>
      </c>
      <c r="S179" s="2">
        <v>4227.0</v>
      </c>
      <c r="T179" s="2" t="s">
        <v>241</v>
      </c>
      <c r="U179" s="2" t="s">
        <v>33</v>
      </c>
    </row>
    <row r="180">
      <c r="A180" s="2">
        <v>179.0</v>
      </c>
      <c r="B180" s="2">
        <v>179.0</v>
      </c>
      <c r="C180" s="2">
        <v>179.0</v>
      </c>
      <c r="D180" s="3">
        <v>44127.0</v>
      </c>
      <c r="E180" s="2" t="s">
        <v>1304</v>
      </c>
      <c r="F180" s="2" t="s">
        <v>73</v>
      </c>
      <c r="G180" s="2">
        <v>84.02</v>
      </c>
      <c r="H180" s="2" t="s">
        <v>1305</v>
      </c>
      <c r="I180" s="2" t="s">
        <v>1306</v>
      </c>
      <c r="J180" s="2" t="s">
        <v>1307</v>
      </c>
      <c r="K180" s="2" t="s">
        <v>163</v>
      </c>
      <c r="L180" s="2" t="s">
        <v>1308</v>
      </c>
      <c r="M180" s="2">
        <v>20.0</v>
      </c>
      <c r="N180" s="2">
        <v>5341.59</v>
      </c>
      <c r="O180" s="2" t="s">
        <v>28</v>
      </c>
      <c r="P180" s="2" t="s">
        <v>1309</v>
      </c>
      <c r="Q180" s="2" t="s">
        <v>1310</v>
      </c>
      <c r="S180" s="2" t="s">
        <v>1311</v>
      </c>
      <c r="T180" s="2" t="s">
        <v>39</v>
      </c>
      <c r="U180" s="2" t="s">
        <v>71</v>
      </c>
    </row>
    <row r="181">
      <c r="A181" s="2">
        <v>180.0</v>
      </c>
      <c r="B181" s="2">
        <v>180.0</v>
      </c>
      <c r="C181" s="2">
        <v>180.0</v>
      </c>
      <c r="D181" s="3">
        <v>44035.0</v>
      </c>
      <c r="E181" s="2" t="s">
        <v>1312</v>
      </c>
      <c r="F181" s="2" t="s">
        <v>567</v>
      </c>
      <c r="G181" s="2">
        <v>169.82</v>
      </c>
      <c r="H181" s="2" t="s">
        <v>1313</v>
      </c>
      <c r="I181" s="2" t="s">
        <v>1314</v>
      </c>
      <c r="J181" s="2" t="s">
        <v>1315</v>
      </c>
      <c r="K181" s="2" t="s">
        <v>1316</v>
      </c>
      <c r="M181" s="2">
        <v>43.0</v>
      </c>
      <c r="N181" s="2">
        <v>532.61</v>
      </c>
      <c r="O181" s="2" t="s">
        <v>41</v>
      </c>
      <c r="P181" s="2" t="s">
        <v>277</v>
      </c>
      <c r="Q181" s="2" t="s">
        <v>1317</v>
      </c>
      <c r="S181" s="2" t="s">
        <v>1318</v>
      </c>
      <c r="T181" s="2" t="s">
        <v>127</v>
      </c>
      <c r="U181" s="2" t="s">
        <v>46</v>
      </c>
    </row>
    <row r="182">
      <c r="A182" s="2">
        <v>181.0</v>
      </c>
      <c r="B182" s="2">
        <v>181.0</v>
      </c>
      <c r="C182" s="2">
        <v>181.0</v>
      </c>
      <c r="D182" s="3">
        <v>44545.0</v>
      </c>
      <c r="E182" s="2" t="s">
        <v>1319</v>
      </c>
      <c r="F182" s="2" t="s">
        <v>191</v>
      </c>
      <c r="G182" s="2">
        <v>484.92</v>
      </c>
      <c r="H182" s="2" t="s">
        <v>1320</v>
      </c>
      <c r="I182" s="2" t="s">
        <v>1321</v>
      </c>
      <c r="J182" s="2" t="s">
        <v>1322</v>
      </c>
      <c r="K182" s="2" t="s">
        <v>330</v>
      </c>
      <c r="M182" s="2">
        <v>85.0</v>
      </c>
      <c r="N182" s="2">
        <v>6448.87</v>
      </c>
      <c r="O182" s="2" t="s">
        <v>28</v>
      </c>
      <c r="P182" s="2" t="s">
        <v>424</v>
      </c>
      <c r="Q182" s="2" t="s">
        <v>1323</v>
      </c>
      <c r="S182" s="2" t="s">
        <v>1324</v>
      </c>
      <c r="T182" s="2" t="s">
        <v>163</v>
      </c>
      <c r="U182" s="2" t="s">
        <v>46</v>
      </c>
    </row>
    <row r="183">
      <c r="A183" s="2">
        <v>182.0</v>
      </c>
      <c r="B183" s="2">
        <v>182.0</v>
      </c>
      <c r="C183" s="2">
        <v>182.0</v>
      </c>
      <c r="D183" s="3">
        <v>43916.0</v>
      </c>
      <c r="E183" s="2" t="s">
        <v>295</v>
      </c>
      <c r="F183" s="2" t="s">
        <v>296</v>
      </c>
      <c r="G183" s="2">
        <v>702.77</v>
      </c>
      <c r="H183" s="2" t="s">
        <v>1325</v>
      </c>
      <c r="I183" s="2" t="s">
        <v>1326</v>
      </c>
      <c r="J183" s="2" t="s">
        <v>1327</v>
      </c>
      <c r="K183" s="2" t="s">
        <v>1328</v>
      </c>
      <c r="M183" s="2">
        <v>64.0</v>
      </c>
      <c r="N183" s="2">
        <v>1598.94</v>
      </c>
      <c r="O183" s="2" t="s">
        <v>28</v>
      </c>
      <c r="P183" s="2" t="s">
        <v>1329</v>
      </c>
      <c r="Q183" s="2" t="s">
        <v>1330</v>
      </c>
      <c r="S183" s="2">
        <v>54932.0</v>
      </c>
      <c r="T183" s="2" t="s">
        <v>529</v>
      </c>
      <c r="U183" s="2" t="s">
        <v>71</v>
      </c>
    </row>
    <row r="184">
      <c r="A184" s="2">
        <v>183.0</v>
      </c>
      <c r="B184" s="2">
        <v>183.0</v>
      </c>
      <c r="C184" s="2">
        <v>183.0</v>
      </c>
      <c r="D184" s="3">
        <v>43850.0</v>
      </c>
      <c r="E184" s="2" t="s">
        <v>1331</v>
      </c>
      <c r="F184" s="2" t="s">
        <v>123</v>
      </c>
      <c r="G184" s="2">
        <v>157.41</v>
      </c>
      <c r="H184" s="2" t="s">
        <v>1332</v>
      </c>
      <c r="I184" s="2" t="s">
        <v>1333</v>
      </c>
      <c r="J184" s="2" t="s">
        <v>1334</v>
      </c>
      <c r="K184" s="2" t="s">
        <v>225</v>
      </c>
      <c r="M184" s="2">
        <v>3.0</v>
      </c>
      <c r="N184" s="2">
        <v>5067.2</v>
      </c>
      <c r="O184" s="2" t="s">
        <v>28</v>
      </c>
      <c r="P184" s="2" t="s">
        <v>1335</v>
      </c>
      <c r="Q184" s="2" t="s">
        <v>1336</v>
      </c>
      <c r="T184" s="2" t="s">
        <v>32</v>
      </c>
      <c r="U184" s="2" t="s">
        <v>71</v>
      </c>
    </row>
    <row r="185">
      <c r="A185" s="2">
        <v>184.0</v>
      </c>
      <c r="B185" s="2">
        <v>184.0</v>
      </c>
      <c r="C185" s="2">
        <v>184.0</v>
      </c>
      <c r="D185" s="3">
        <v>44408.0</v>
      </c>
      <c r="E185" s="2" t="s">
        <v>1337</v>
      </c>
      <c r="F185" s="2" t="s">
        <v>237</v>
      </c>
      <c r="G185" s="2">
        <v>43.85</v>
      </c>
      <c r="H185" s="2" t="s">
        <v>1338</v>
      </c>
      <c r="I185" s="2" t="s">
        <v>1339</v>
      </c>
      <c r="J185" s="2" t="s">
        <v>1340</v>
      </c>
      <c r="K185" s="2" t="s">
        <v>379</v>
      </c>
      <c r="L185" s="2" t="s">
        <v>1341</v>
      </c>
      <c r="M185" s="2">
        <v>64.0</v>
      </c>
      <c r="N185" s="2">
        <v>1034.81</v>
      </c>
      <c r="O185" s="2" t="s">
        <v>28</v>
      </c>
      <c r="P185" s="2" t="s">
        <v>1342</v>
      </c>
      <c r="Q185" s="2" t="s">
        <v>1343</v>
      </c>
      <c r="R185" s="2" t="s">
        <v>1344</v>
      </c>
      <c r="S185" s="2">
        <v>4550.0</v>
      </c>
      <c r="T185" s="2" t="s">
        <v>178</v>
      </c>
      <c r="U185" s="2" t="s">
        <v>71</v>
      </c>
    </row>
    <row r="186">
      <c r="A186" s="2">
        <v>185.0</v>
      </c>
      <c r="B186" s="2">
        <v>185.0</v>
      </c>
      <c r="C186" s="2">
        <v>185.0</v>
      </c>
      <c r="D186" s="3">
        <v>44109.0</v>
      </c>
      <c r="E186" s="2" t="s">
        <v>1345</v>
      </c>
      <c r="F186" s="2" t="s">
        <v>73</v>
      </c>
      <c r="G186" s="2">
        <v>750.15</v>
      </c>
      <c r="H186" s="2" t="s">
        <v>1346</v>
      </c>
      <c r="I186" s="2" t="s">
        <v>1347</v>
      </c>
      <c r="J186" s="2" t="s">
        <v>1348</v>
      </c>
      <c r="K186" s="2" t="s">
        <v>627</v>
      </c>
      <c r="L186" s="2">
        <v>45140.0</v>
      </c>
      <c r="M186" s="2">
        <v>11.0</v>
      </c>
      <c r="N186" s="2">
        <v>1587.37</v>
      </c>
      <c r="O186" s="2" t="s">
        <v>41</v>
      </c>
      <c r="P186" s="2" t="s">
        <v>300</v>
      </c>
      <c r="Q186" s="2" t="s">
        <v>1349</v>
      </c>
      <c r="T186" s="2" t="s">
        <v>1008</v>
      </c>
      <c r="U186" s="2" t="s">
        <v>71</v>
      </c>
    </row>
    <row r="187">
      <c r="A187" s="2">
        <v>186.0</v>
      </c>
      <c r="B187" s="2">
        <v>186.0</v>
      </c>
      <c r="C187" s="2">
        <v>186.0</v>
      </c>
      <c r="D187" s="3">
        <v>44026.0</v>
      </c>
      <c r="E187" s="2" t="s">
        <v>1350</v>
      </c>
      <c r="F187" s="2" t="s">
        <v>73</v>
      </c>
      <c r="G187" s="2">
        <v>841.28</v>
      </c>
      <c r="H187" s="2" t="s">
        <v>1351</v>
      </c>
      <c r="I187" s="2" t="s">
        <v>1352</v>
      </c>
      <c r="J187" s="2" t="s">
        <v>1353</v>
      </c>
      <c r="K187" s="2" t="s">
        <v>163</v>
      </c>
      <c r="L187" s="2" t="s">
        <v>1354</v>
      </c>
      <c r="M187" s="2">
        <v>13.0</v>
      </c>
      <c r="N187" s="2">
        <v>6629.23</v>
      </c>
      <c r="O187" s="2" t="s">
        <v>52</v>
      </c>
      <c r="P187" s="2" t="s">
        <v>1355</v>
      </c>
      <c r="Q187" s="2" t="s">
        <v>1356</v>
      </c>
      <c r="S187" s="2">
        <v>5809.0</v>
      </c>
      <c r="T187" s="2" t="s">
        <v>178</v>
      </c>
      <c r="U187" s="2" t="s">
        <v>71</v>
      </c>
    </row>
    <row r="188">
      <c r="A188" s="2">
        <v>187.0</v>
      </c>
      <c r="B188" s="2">
        <v>187.0</v>
      </c>
      <c r="C188" s="2">
        <v>187.0</v>
      </c>
      <c r="D188" s="3">
        <v>44463.0</v>
      </c>
      <c r="E188" s="2" t="s">
        <v>1357</v>
      </c>
      <c r="F188" s="2" t="s">
        <v>1046</v>
      </c>
      <c r="G188" s="2">
        <v>488.53</v>
      </c>
      <c r="H188" s="2" t="s">
        <v>1358</v>
      </c>
      <c r="I188" s="2" t="s">
        <v>1359</v>
      </c>
      <c r="J188" s="2" t="s">
        <v>1360</v>
      </c>
      <c r="K188" s="2" t="s">
        <v>119</v>
      </c>
      <c r="M188" s="2">
        <v>31.0</v>
      </c>
      <c r="N188" s="2">
        <v>5190.72</v>
      </c>
      <c r="O188" s="2" t="s">
        <v>52</v>
      </c>
      <c r="P188" s="2" t="s">
        <v>1361</v>
      </c>
      <c r="Q188" s="2" t="s">
        <v>1362</v>
      </c>
      <c r="T188" s="2" t="s">
        <v>1363</v>
      </c>
      <c r="U188" s="2" t="s">
        <v>71</v>
      </c>
    </row>
    <row r="189">
      <c r="A189" s="2">
        <v>188.0</v>
      </c>
      <c r="B189" s="2">
        <v>188.0</v>
      </c>
      <c r="C189" s="2">
        <v>188.0</v>
      </c>
      <c r="D189" s="3">
        <v>44277.0</v>
      </c>
      <c r="E189" s="2" t="s">
        <v>1364</v>
      </c>
      <c r="F189" s="2" t="s">
        <v>237</v>
      </c>
      <c r="G189" s="2">
        <v>503.26</v>
      </c>
      <c r="H189" s="2" t="s">
        <v>1135</v>
      </c>
      <c r="I189" s="2" t="s">
        <v>1365</v>
      </c>
      <c r="J189" s="2" t="s">
        <v>1366</v>
      </c>
      <c r="K189" s="2" t="s">
        <v>257</v>
      </c>
      <c r="L189" s="2" t="s">
        <v>1367</v>
      </c>
      <c r="M189" s="2">
        <v>12.0</v>
      </c>
      <c r="N189" s="2">
        <v>5470.04</v>
      </c>
      <c r="O189" s="2" t="s">
        <v>28</v>
      </c>
      <c r="P189" s="2" t="s">
        <v>1368</v>
      </c>
      <c r="Q189" s="2" t="s">
        <v>1369</v>
      </c>
      <c r="R189" s="2" t="s">
        <v>1370</v>
      </c>
      <c r="T189" s="2" t="s">
        <v>225</v>
      </c>
      <c r="U189" s="2" t="s">
        <v>33</v>
      </c>
    </row>
    <row r="190">
      <c r="A190" s="2">
        <v>189.0</v>
      </c>
      <c r="B190" s="2">
        <v>189.0</v>
      </c>
      <c r="C190" s="2">
        <v>189.0</v>
      </c>
      <c r="D190" s="3">
        <v>44538.0</v>
      </c>
      <c r="E190" s="2" t="s">
        <v>1371</v>
      </c>
      <c r="F190" s="2" t="s">
        <v>35</v>
      </c>
      <c r="G190" s="2">
        <v>565.86</v>
      </c>
      <c r="H190" s="2" t="s">
        <v>1372</v>
      </c>
      <c r="I190" s="2" t="s">
        <v>1373</v>
      </c>
      <c r="J190" s="2" t="s">
        <v>1374</v>
      </c>
      <c r="K190" s="2" t="s">
        <v>32</v>
      </c>
      <c r="M190" s="2">
        <v>96.0</v>
      </c>
      <c r="N190" s="2">
        <v>6643.62</v>
      </c>
      <c r="O190" s="2" t="s">
        <v>52</v>
      </c>
      <c r="P190" s="2" t="s">
        <v>454</v>
      </c>
      <c r="Q190" s="2" t="s">
        <v>1375</v>
      </c>
      <c r="T190" s="2" t="s">
        <v>119</v>
      </c>
      <c r="U190" s="2" t="s">
        <v>71</v>
      </c>
    </row>
    <row r="191">
      <c r="A191" s="2">
        <v>190.0</v>
      </c>
      <c r="B191" s="2">
        <v>190.0</v>
      </c>
      <c r="C191" s="2">
        <v>190.0</v>
      </c>
      <c r="D191" s="3">
        <v>43870.0</v>
      </c>
      <c r="E191" s="2" t="s">
        <v>1376</v>
      </c>
      <c r="F191" s="2" t="s">
        <v>413</v>
      </c>
      <c r="G191" s="2">
        <v>544.23</v>
      </c>
      <c r="H191" s="2" t="s">
        <v>1377</v>
      </c>
      <c r="I191" s="2" t="s">
        <v>1378</v>
      </c>
      <c r="J191" s="2" t="s">
        <v>1379</v>
      </c>
      <c r="K191" s="2" t="s">
        <v>1380</v>
      </c>
      <c r="M191" s="2">
        <v>75.0</v>
      </c>
      <c r="N191" s="2">
        <v>6437.31</v>
      </c>
      <c r="O191" s="2" t="s">
        <v>41</v>
      </c>
      <c r="P191" s="2" t="s">
        <v>1381</v>
      </c>
      <c r="Q191" s="2" t="s">
        <v>1382</v>
      </c>
      <c r="T191" s="2" t="s">
        <v>32</v>
      </c>
      <c r="U191" s="2" t="s">
        <v>71</v>
      </c>
    </row>
    <row r="192">
      <c r="A192" s="2">
        <v>191.0</v>
      </c>
      <c r="B192" s="2">
        <v>191.0</v>
      </c>
      <c r="C192" s="2">
        <v>191.0</v>
      </c>
      <c r="D192" s="3">
        <v>44382.0</v>
      </c>
      <c r="E192" s="2" t="s">
        <v>1383</v>
      </c>
      <c r="F192" s="2" t="s">
        <v>183</v>
      </c>
      <c r="G192" s="2">
        <v>876.49</v>
      </c>
      <c r="H192" s="2" t="s">
        <v>1384</v>
      </c>
      <c r="I192" s="2" t="s">
        <v>1385</v>
      </c>
      <c r="J192" s="2" t="s">
        <v>1386</v>
      </c>
      <c r="K192" s="2" t="s">
        <v>68</v>
      </c>
      <c r="L192" s="2">
        <v>352547.0</v>
      </c>
      <c r="M192" s="2">
        <v>10.0</v>
      </c>
      <c r="N192" s="2">
        <v>3969.24</v>
      </c>
      <c r="O192" s="2" t="s">
        <v>41</v>
      </c>
      <c r="P192" s="2" t="s">
        <v>293</v>
      </c>
      <c r="Q192" s="2" t="s">
        <v>1387</v>
      </c>
      <c r="T192" s="2" t="s">
        <v>32</v>
      </c>
      <c r="U192" s="2" t="s">
        <v>33</v>
      </c>
    </row>
    <row r="193">
      <c r="A193" s="2">
        <v>192.0</v>
      </c>
      <c r="B193" s="2">
        <v>192.0</v>
      </c>
      <c r="C193" s="2">
        <v>192.0</v>
      </c>
      <c r="D193" s="3">
        <v>44181.0</v>
      </c>
      <c r="E193" s="2" t="s">
        <v>1388</v>
      </c>
      <c r="F193" s="2" t="s">
        <v>198</v>
      </c>
      <c r="G193" s="2">
        <v>904.81</v>
      </c>
      <c r="H193" s="2" t="s">
        <v>1389</v>
      </c>
      <c r="I193" s="2" t="s">
        <v>1390</v>
      </c>
      <c r="J193" s="2" t="s">
        <v>1391</v>
      </c>
      <c r="K193" s="2" t="s">
        <v>39</v>
      </c>
      <c r="L193" s="2" t="s">
        <v>1392</v>
      </c>
      <c r="M193" s="2">
        <v>66.0</v>
      </c>
      <c r="N193" s="2">
        <v>7315.87</v>
      </c>
      <c r="O193" s="2" t="s">
        <v>41</v>
      </c>
      <c r="P193" s="2" t="s">
        <v>1393</v>
      </c>
      <c r="Q193" s="2" t="s">
        <v>1394</v>
      </c>
      <c r="R193" s="2" t="s">
        <v>44</v>
      </c>
      <c r="S193" s="2">
        <v>442379.0</v>
      </c>
      <c r="T193" s="2" t="s">
        <v>68</v>
      </c>
      <c r="U193" s="2" t="s">
        <v>71</v>
      </c>
    </row>
    <row r="194">
      <c r="A194" s="2">
        <v>193.0</v>
      </c>
      <c r="B194" s="2">
        <v>193.0</v>
      </c>
      <c r="C194" s="2">
        <v>193.0</v>
      </c>
      <c r="D194" s="3">
        <v>44033.0</v>
      </c>
      <c r="E194" s="2" t="s">
        <v>1395</v>
      </c>
      <c r="F194" s="2" t="s">
        <v>73</v>
      </c>
      <c r="G194" s="2">
        <v>208.21</v>
      </c>
      <c r="H194" s="2" t="s">
        <v>1396</v>
      </c>
      <c r="I194" s="2" t="s">
        <v>1397</v>
      </c>
      <c r="J194" s="2" t="s">
        <v>1398</v>
      </c>
      <c r="K194" s="2" t="s">
        <v>1399</v>
      </c>
      <c r="M194" s="2">
        <v>86.0</v>
      </c>
      <c r="N194" s="2">
        <v>1566.33</v>
      </c>
      <c r="O194" s="2" t="s">
        <v>41</v>
      </c>
      <c r="P194" s="2" t="s">
        <v>1400</v>
      </c>
      <c r="Q194" s="2" t="s">
        <v>1401</v>
      </c>
      <c r="S194" s="2" t="s">
        <v>1402</v>
      </c>
      <c r="T194" s="2" t="s">
        <v>379</v>
      </c>
      <c r="U194" s="2" t="s">
        <v>33</v>
      </c>
    </row>
    <row r="195">
      <c r="A195" s="2">
        <v>194.0</v>
      </c>
      <c r="B195" s="2">
        <v>194.0</v>
      </c>
      <c r="C195" s="2">
        <v>194.0</v>
      </c>
      <c r="D195" s="3">
        <v>43909.0</v>
      </c>
      <c r="E195" s="2" t="s">
        <v>1403</v>
      </c>
      <c r="F195" s="2" t="s">
        <v>123</v>
      </c>
      <c r="G195" s="2">
        <v>119.09</v>
      </c>
      <c r="H195" s="2" t="s">
        <v>1404</v>
      </c>
      <c r="I195" s="2" t="s">
        <v>1405</v>
      </c>
      <c r="J195" s="2" t="s">
        <v>1406</v>
      </c>
      <c r="K195" s="2" t="s">
        <v>267</v>
      </c>
      <c r="M195" s="2">
        <v>15.0</v>
      </c>
      <c r="N195" s="2">
        <v>2732.35</v>
      </c>
      <c r="O195" s="2" t="s">
        <v>52</v>
      </c>
      <c r="P195" s="2" t="s">
        <v>1407</v>
      </c>
      <c r="Q195" s="2" t="s">
        <v>1408</v>
      </c>
      <c r="S195" s="2" t="s">
        <v>1409</v>
      </c>
      <c r="T195" s="2" t="s">
        <v>257</v>
      </c>
      <c r="U195" s="2" t="s">
        <v>71</v>
      </c>
    </row>
    <row r="196">
      <c r="A196" s="2">
        <v>195.0</v>
      </c>
      <c r="B196" s="2">
        <v>195.0</v>
      </c>
      <c r="C196" s="2">
        <v>195.0</v>
      </c>
      <c r="D196" s="3">
        <v>44320.0</v>
      </c>
      <c r="E196" s="2" t="s">
        <v>1410</v>
      </c>
      <c r="F196" s="2" t="s">
        <v>1411</v>
      </c>
      <c r="G196" s="2">
        <v>210.63</v>
      </c>
      <c r="H196" s="2" t="s">
        <v>1412</v>
      </c>
      <c r="I196" s="2" t="s">
        <v>1413</v>
      </c>
      <c r="J196" s="2" t="s">
        <v>1414</v>
      </c>
      <c r="K196" s="2" t="s">
        <v>32</v>
      </c>
      <c r="M196" s="2">
        <v>59.0</v>
      </c>
      <c r="N196" s="2">
        <v>2865.02</v>
      </c>
      <c r="O196" s="2" t="s">
        <v>41</v>
      </c>
      <c r="P196" s="2" t="s">
        <v>1415</v>
      </c>
      <c r="Q196" s="2" t="s">
        <v>1416</v>
      </c>
      <c r="S196" s="2" t="s">
        <v>1417</v>
      </c>
      <c r="T196" s="2" t="s">
        <v>257</v>
      </c>
      <c r="U196" s="2" t="s">
        <v>33</v>
      </c>
    </row>
    <row r="197">
      <c r="A197" s="2">
        <v>196.0</v>
      </c>
      <c r="B197" s="2">
        <v>196.0</v>
      </c>
      <c r="C197" s="2">
        <v>196.0</v>
      </c>
      <c r="D197" s="3">
        <v>44526.0</v>
      </c>
      <c r="E197" s="2" t="s">
        <v>1418</v>
      </c>
      <c r="F197" s="2" t="s">
        <v>887</v>
      </c>
      <c r="G197" s="2">
        <v>997.17</v>
      </c>
      <c r="H197" s="2" t="s">
        <v>1419</v>
      </c>
      <c r="I197" s="2" t="s">
        <v>1420</v>
      </c>
      <c r="J197" s="2" t="s">
        <v>1421</v>
      </c>
      <c r="K197" s="2" t="s">
        <v>1422</v>
      </c>
      <c r="L197" s="2">
        <v>96950.0</v>
      </c>
      <c r="M197" s="2">
        <v>73.0</v>
      </c>
      <c r="N197" s="2">
        <v>1647.6</v>
      </c>
      <c r="O197" s="2" t="s">
        <v>52</v>
      </c>
      <c r="P197" s="2" t="s">
        <v>454</v>
      </c>
      <c r="Q197" s="2" t="s">
        <v>1423</v>
      </c>
      <c r="T197" s="2" t="s">
        <v>32</v>
      </c>
      <c r="U197" s="2" t="s">
        <v>71</v>
      </c>
    </row>
    <row r="198">
      <c r="A198" s="2">
        <v>197.0</v>
      </c>
      <c r="B198" s="2">
        <v>197.0</v>
      </c>
      <c r="C198" s="2">
        <v>197.0</v>
      </c>
      <c r="D198" s="3">
        <v>43954.0</v>
      </c>
      <c r="E198" s="2" t="s">
        <v>1424</v>
      </c>
      <c r="F198" s="2" t="s">
        <v>342</v>
      </c>
      <c r="G198" s="2">
        <v>613.19</v>
      </c>
      <c r="H198" s="2" t="s">
        <v>1425</v>
      </c>
      <c r="I198" s="2" t="s">
        <v>1426</v>
      </c>
      <c r="J198" s="2" t="s">
        <v>1427</v>
      </c>
      <c r="K198" s="2" t="s">
        <v>225</v>
      </c>
      <c r="M198" s="2">
        <v>98.0</v>
      </c>
      <c r="N198" s="2">
        <v>3689.11</v>
      </c>
      <c r="O198" s="2" t="s">
        <v>41</v>
      </c>
      <c r="P198" s="2" t="s">
        <v>1428</v>
      </c>
      <c r="Q198" s="2" t="s">
        <v>1429</v>
      </c>
      <c r="S198" s="2">
        <v>3017.0</v>
      </c>
      <c r="T198" s="2" t="s">
        <v>1430</v>
      </c>
      <c r="U198" s="2" t="s">
        <v>33</v>
      </c>
    </row>
    <row r="199">
      <c r="A199" s="2">
        <v>198.0</v>
      </c>
      <c r="B199" s="2">
        <v>198.0</v>
      </c>
      <c r="C199" s="2">
        <v>198.0</v>
      </c>
      <c r="D199" s="3">
        <v>44004.0</v>
      </c>
      <c r="E199" s="2" t="s">
        <v>1431</v>
      </c>
      <c r="F199" s="2" t="s">
        <v>56</v>
      </c>
      <c r="G199" s="2">
        <v>54.54</v>
      </c>
      <c r="H199" s="2" t="s">
        <v>1432</v>
      </c>
      <c r="I199" s="2" t="s">
        <v>1433</v>
      </c>
      <c r="J199" s="2" t="s">
        <v>1434</v>
      </c>
      <c r="K199" s="2" t="s">
        <v>32</v>
      </c>
      <c r="M199" s="2">
        <v>14.0</v>
      </c>
      <c r="N199" s="2">
        <v>7117.57</v>
      </c>
      <c r="O199" s="2" t="s">
        <v>41</v>
      </c>
      <c r="P199" s="2" t="s">
        <v>1435</v>
      </c>
      <c r="Q199" s="2" t="s">
        <v>1436</v>
      </c>
      <c r="T199" s="2" t="s">
        <v>119</v>
      </c>
      <c r="U199" s="2" t="s">
        <v>46</v>
      </c>
    </row>
    <row r="200">
      <c r="A200" s="2">
        <v>199.0</v>
      </c>
      <c r="B200" s="2">
        <v>199.0</v>
      </c>
      <c r="C200" s="2">
        <v>199.0</v>
      </c>
      <c r="D200" s="3">
        <v>44049.0</v>
      </c>
      <c r="E200" s="2" t="s">
        <v>1437</v>
      </c>
      <c r="F200" s="2" t="s">
        <v>1438</v>
      </c>
      <c r="G200" s="2">
        <v>129.75</v>
      </c>
      <c r="H200" s="2" t="s">
        <v>1439</v>
      </c>
      <c r="I200" s="2" t="s">
        <v>1440</v>
      </c>
      <c r="J200" s="2" t="s">
        <v>1441</v>
      </c>
      <c r="K200" s="2" t="s">
        <v>119</v>
      </c>
      <c r="M200" s="2">
        <v>84.0</v>
      </c>
      <c r="N200" s="2">
        <v>2696.56</v>
      </c>
      <c r="O200" s="2" t="s">
        <v>28</v>
      </c>
      <c r="P200" s="2" t="s">
        <v>1442</v>
      </c>
      <c r="Q200" s="2" t="s">
        <v>1443</v>
      </c>
      <c r="S200" s="2" t="s">
        <v>1444</v>
      </c>
      <c r="T200" s="2" t="s">
        <v>163</v>
      </c>
      <c r="U200" s="2" t="s">
        <v>46</v>
      </c>
    </row>
    <row r="201">
      <c r="A201" s="2">
        <v>200.0</v>
      </c>
      <c r="B201" s="2">
        <v>200.0</v>
      </c>
      <c r="C201" s="2">
        <v>200.0</v>
      </c>
      <c r="D201" s="3">
        <v>44539.0</v>
      </c>
      <c r="E201" s="2" t="s">
        <v>1445</v>
      </c>
      <c r="F201" s="2" t="s">
        <v>1046</v>
      </c>
      <c r="G201" s="2">
        <v>527.43</v>
      </c>
      <c r="H201" s="2" t="s">
        <v>1446</v>
      </c>
      <c r="I201" s="2" t="s">
        <v>1447</v>
      </c>
      <c r="J201" s="2" t="s">
        <v>1448</v>
      </c>
      <c r="K201" s="2" t="s">
        <v>241</v>
      </c>
      <c r="L201" s="2">
        <v>1080.0</v>
      </c>
      <c r="M201" s="2">
        <v>99.0</v>
      </c>
      <c r="N201" s="2">
        <v>8048.39</v>
      </c>
      <c r="O201" s="2" t="s">
        <v>52</v>
      </c>
      <c r="P201" s="2" t="s">
        <v>300</v>
      </c>
      <c r="Q201" s="2" t="s">
        <v>1449</v>
      </c>
      <c r="T201" s="2" t="s">
        <v>1450</v>
      </c>
      <c r="U201" s="2" t="s">
        <v>33</v>
      </c>
    </row>
    <row r="202">
      <c r="A202" s="2">
        <v>201.0</v>
      </c>
      <c r="B202" s="2">
        <v>201.0</v>
      </c>
      <c r="C202" s="2">
        <v>201.0</v>
      </c>
      <c r="D202" s="3">
        <v>44049.0</v>
      </c>
      <c r="E202" s="2" t="s">
        <v>1451</v>
      </c>
      <c r="F202" s="2" t="s">
        <v>35</v>
      </c>
      <c r="G202" s="2">
        <v>89.23</v>
      </c>
      <c r="H202" s="2" t="s">
        <v>1452</v>
      </c>
      <c r="I202" s="2" t="s">
        <v>1453</v>
      </c>
      <c r="J202" s="2" t="s">
        <v>1454</v>
      </c>
      <c r="K202" s="2" t="s">
        <v>257</v>
      </c>
      <c r="L202" s="2" t="s">
        <v>1455</v>
      </c>
      <c r="M202" s="2">
        <v>39.0</v>
      </c>
      <c r="N202" s="2">
        <v>9253.04</v>
      </c>
      <c r="O202" s="2" t="s">
        <v>41</v>
      </c>
      <c r="P202" s="2" t="s">
        <v>1456</v>
      </c>
      <c r="Q202" s="2" t="s">
        <v>1457</v>
      </c>
      <c r="R202" s="2" t="s">
        <v>1458</v>
      </c>
      <c r="S202" s="2" t="s">
        <v>1459</v>
      </c>
      <c r="T202" s="2" t="s">
        <v>106</v>
      </c>
      <c r="U202" s="2" t="s">
        <v>71</v>
      </c>
    </row>
    <row r="203">
      <c r="A203" s="2">
        <v>202.0</v>
      </c>
      <c r="B203" s="2">
        <v>202.0</v>
      </c>
      <c r="C203" s="2">
        <v>202.0</v>
      </c>
      <c r="D203" s="3">
        <v>43839.0</v>
      </c>
      <c r="E203" s="2" t="s">
        <v>1460</v>
      </c>
      <c r="F203" s="2" t="s">
        <v>1411</v>
      </c>
      <c r="G203" s="2">
        <v>701.54</v>
      </c>
      <c r="H203" s="2" t="s">
        <v>1461</v>
      </c>
      <c r="I203" s="2" t="s">
        <v>1462</v>
      </c>
      <c r="J203" s="2" t="s">
        <v>1463</v>
      </c>
      <c r="K203" s="2" t="s">
        <v>32</v>
      </c>
      <c r="M203" s="2">
        <v>58.0</v>
      </c>
      <c r="N203" s="2">
        <v>9089.29</v>
      </c>
      <c r="O203" s="2" t="s">
        <v>28</v>
      </c>
      <c r="P203" s="2" t="s">
        <v>600</v>
      </c>
      <c r="Q203" s="2" t="s">
        <v>1464</v>
      </c>
      <c r="S203" s="2" t="s">
        <v>1465</v>
      </c>
      <c r="T203" s="2" t="s">
        <v>114</v>
      </c>
      <c r="U203" s="2" t="s">
        <v>46</v>
      </c>
    </row>
    <row r="204">
      <c r="A204" s="2">
        <v>203.0</v>
      </c>
      <c r="B204" s="2">
        <v>203.0</v>
      </c>
      <c r="C204" s="2">
        <v>203.0</v>
      </c>
      <c r="D204" s="3">
        <v>44441.0</v>
      </c>
      <c r="E204" s="2" t="s">
        <v>229</v>
      </c>
      <c r="F204" s="2" t="s">
        <v>230</v>
      </c>
      <c r="G204" s="2">
        <v>694.32</v>
      </c>
      <c r="H204" s="2" t="s">
        <v>1466</v>
      </c>
      <c r="I204" s="2" t="s">
        <v>1467</v>
      </c>
      <c r="J204" s="2" t="s">
        <v>1468</v>
      </c>
      <c r="K204" s="2" t="s">
        <v>26</v>
      </c>
      <c r="L204" s="2" t="s">
        <v>1469</v>
      </c>
      <c r="M204" s="2">
        <v>15.0</v>
      </c>
      <c r="N204" s="2">
        <v>755.1</v>
      </c>
      <c r="O204" s="2" t="s">
        <v>41</v>
      </c>
      <c r="P204" s="2" t="s">
        <v>1470</v>
      </c>
      <c r="Q204" s="2" t="s">
        <v>1471</v>
      </c>
      <c r="R204" s="2" t="s">
        <v>1472</v>
      </c>
      <c r="T204" s="2" t="s">
        <v>1473</v>
      </c>
      <c r="U204" s="2" t="s">
        <v>33</v>
      </c>
    </row>
    <row r="205">
      <c r="A205" s="2">
        <v>204.0</v>
      </c>
      <c r="B205" s="2">
        <v>204.0</v>
      </c>
      <c r="C205" s="2">
        <v>204.0</v>
      </c>
      <c r="D205" s="3">
        <v>44278.0</v>
      </c>
      <c r="E205" s="2" t="s">
        <v>1474</v>
      </c>
      <c r="F205" s="2" t="s">
        <v>501</v>
      </c>
      <c r="G205" s="2">
        <v>823.29</v>
      </c>
      <c r="H205" s="2" t="s">
        <v>1475</v>
      </c>
      <c r="I205" s="2" t="s">
        <v>1476</v>
      </c>
      <c r="J205" s="2" t="s">
        <v>1477</v>
      </c>
      <c r="K205" s="2" t="s">
        <v>119</v>
      </c>
      <c r="M205" s="2">
        <v>75.0</v>
      </c>
      <c r="N205" s="2">
        <v>9730.61</v>
      </c>
      <c r="O205" s="2" t="s">
        <v>28</v>
      </c>
      <c r="P205" s="2" t="s">
        <v>600</v>
      </c>
      <c r="Q205" s="2" t="s">
        <v>1478</v>
      </c>
      <c r="T205" s="2" t="s">
        <v>32</v>
      </c>
      <c r="U205" s="2" t="s">
        <v>33</v>
      </c>
    </row>
    <row r="206">
      <c r="A206" s="2">
        <v>205.0</v>
      </c>
      <c r="B206" s="2">
        <v>205.0</v>
      </c>
      <c r="C206" s="2">
        <v>205.0</v>
      </c>
      <c r="D206" s="3">
        <v>43837.0</v>
      </c>
      <c r="E206" s="2" t="s">
        <v>1479</v>
      </c>
      <c r="F206" s="2" t="s">
        <v>97</v>
      </c>
      <c r="G206" s="2">
        <v>519.27</v>
      </c>
      <c r="H206" s="2" t="s">
        <v>1480</v>
      </c>
      <c r="I206" s="2" t="s">
        <v>1481</v>
      </c>
      <c r="J206" s="2" t="s">
        <v>1482</v>
      </c>
      <c r="K206" s="2" t="s">
        <v>140</v>
      </c>
      <c r="M206" s="2">
        <v>37.0</v>
      </c>
      <c r="N206" s="2">
        <v>3563.16</v>
      </c>
      <c r="O206" s="2" t="s">
        <v>41</v>
      </c>
      <c r="P206" s="2" t="s">
        <v>1483</v>
      </c>
      <c r="Q206" s="2" t="s">
        <v>1484</v>
      </c>
      <c r="S206" s="2">
        <v>9300.0</v>
      </c>
      <c r="T206" s="2" t="s">
        <v>241</v>
      </c>
      <c r="U206" s="2" t="s">
        <v>33</v>
      </c>
    </row>
    <row r="207">
      <c r="A207" s="2">
        <v>206.0</v>
      </c>
      <c r="B207" s="2">
        <v>206.0</v>
      </c>
      <c r="C207" s="2">
        <v>206.0</v>
      </c>
      <c r="D207" s="3">
        <v>44299.0</v>
      </c>
      <c r="E207" s="2" t="s">
        <v>1485</v>
      </c>
      <c r="F207" s="2" t="s">
        <v>1438</v>
      </c>
      <c r="G207" s="2">
        <v>476.51</v>
      </c>
      <c r="H207" s="2" t="s">
        <v>1486</v>
      </c>
      <c r="I207" s="2" t="s">
        <v>1487</v>
      </c>
      <c r="J207" s="2" t="s">
        <v>1488</v>
      </c>
      <c r="K207" s="2" t="s">
        <v>241</v>
      </c>
      <c r="L207" s="2">
        <v>1100.0</v>
      </c>
      <c r="M207" s="2">
        <v>65.0</v>
      </c>
      <c r="N207" s="2">
        <v>6831.51</v>
      </c>
      <c r="O207" s="2" t="s">
        <v>52</v>
      </c>
      <c r="P207" s="2" t="s">
        <v>1489</v>
      </c>
      <c r="Q207" s="2" t="s">
        <v>1490</v>
      </c>
      <c r="S207" s="2" t="s">
        <v>1491</v>
      </c>
      <c r="T207" s="2" t="s">
        <v>1492</v>
      </c>
      <c r="U207" s="2" t="s">
        <v>33</v>
      </c>
    </row>
    <row r="208">
      <c r="A208" s="2">
        <v>207.0</v>
      </c>
      <c r="B208" s="2">
        <v>207.0</v>
      </c>
      <c r="C208" s="2">
        <v>207.0</v>
      </c>
      <c r="D208" s="3">
        <v>44184.0</v>
      </c>
      <c r="E208" s="2" t="s">
        <v>1493</v>
      </c>
      <c r="F208" s="2" t="s">
        <v>73</v>
      </c>
      <c r="G208" s="2">
        <v>70.11</v>
      </c>
      <c r="H208" s="2" t="s">
        <v>1494</v>
      </c>
      <c r="I208" s="2" t="s">
        <v>1495</v>
      </c>
      <c r="J208" s="2" t="s">
        <v>1496</v>
      </c>
      <c r="K208" s="2" t="s">
        <v>119</v>
      </c>
      <c r="M208" s="2">
        <v>74.0</v>
      </c>
      <c r="N208" s="2">
        <v>7047.33</v>
      </c>
      <c r="O208" s="2" t="s">
        <v>52</v>
      </c>
      <c r="P208" s="2" t="s">
        <v>613</v>
      </c>
      <c r="Q208" s="2" t="s">
        <v>1497</v>
      </c>
      <c r="T208" s="2" t="s">
        <v>32</v>
      </c>
      <c r="U208" s="2" t="s">
        <v>71</v>
      </c>
    </row>
    <row r="209">
      <c r="A209" s="2">
        <v>208.0</v>
      </c>
      <c r="B209" s="2">
        <v>208.0</v>
      </c>
      <c r="C209" s="2">
        <v>208.0</v>
      </c>
      <c r="D209" s="3">
        <v>43908.0</v>
      </c>
      <c r="E209" s="2" t="s">
        <v>1498</v>
      </c>
      <c r="F209" s="2" t="s">
        <v>623</v>
      </c>
      <c r="G209" s="2">
        <v>279.84</v>
      </c>
      <c r="H209" s="2" t="s">
        <v>1499</v>
      </c>
      <c r="I209" s="2" t="s">
        <v>1500</v>
      </c>
      <c r="J209" s="2" t="s">
        <v>1501</v>
      </c>
      <c r="K209" s="2" t="s">
        <v>32</v>
      </c>
      <c r="M209" s="2">
        <v>58.0</v>
      </c>
      <c r="N209" s="2">
        <v>2552.5</v>
      </c>
      <c r="O209" s="2" t="s">
        <v>52</v>
      </c>
      <c r="P209" s="2" t="s">
        <v>454</v>
      </c>
      <c r="Q209" s="2" t="s">
        <v>1502</v>
      </c>
      <c r="S209" s="2" t="s">
        <v>1503</v>
      </c>
      <c r="T209" s="2" t="s">
        <v>257</v>
      </c>
      <c r="U209" s="2" t="s">
        <v>33</v>
      </c>
    </row>
    <row r="210">
      <c r="A210" s="2">
        <v>209.0</v>
      </c>
      <c r="B210" s="2">
        <v>209.0</v>
      </c>
      <c r="C210" s="2">
        <v>209.0</v>
      </c>
      <c r="D210" s="3">
        <v>44277.0</v>
      </c>
      <c r="E210" s="2" t="s">
        <v>1504</v>
      </c>
      <c r="F210" s="2" t="s">
        <v>1184</v>
      </c>
      <c r="G210" s="2">
        <v>945.9</v>
      </c>
      <c r="H210" s="2" t="s">
        <v>1505</v>
      </c>
      <c r="I210" s="2" t="s">
        <v>1506</v>
      </c>
      <c r="J210" s="2" t="s">
        <v>1507</v>
      </c>
      <c r="K210" s="2" t="s">
        <v>241</v>
      </c>
      <c r="L210" s="2">
        <v>1114.0</v>
      </c>
      <c r="M210" s="2">
        <v>41.0</v>
      </c>
      <c r="N210" s="2">
        <v>6094.4</v>
      </c>
      <c r="O210" s="2" t="s">
        <v>28</v>
      </c>
      <c r="P210" s="2" t="s">
        <v>1508</v>
      </c>
      <c r="Q210" s="2" t="s">
        <v>1509</v>
      </c>
      <c r="T210" s="2" t="s">
        <v>32</v>
      </c>
      <c r="U210" s="2" t="s">
        <v>33</v>
      </c>
    </row>
    <row r="211">
      <c r="A211" s="2">
        <v>210.0</v>
      </c>
      <c r="B211" s="2">
        <v>210.0</v>
      </c>
      <c r="C211" s="2">
        <v>210.0</v>
      </c>
      <c r="D211" s="3">
        <v>44371.0</v>
      </c>
      <c r="E211" s="2" t="s">
        <v>1510</v>
      </c>
      <c r="F211" s="2" t="s">
        <v>35</v>
      </c>
      <c r="G211" s="2">
        <v>789.63</v>
      </c>
      <c r="H211" s="2" t="s">
        <v>1511</v>
      </c>
      <c r="I211" s="2" t="s">
        <v>1512</v>
      </c>
      <c r="J211" s="2" t="s">
        <v>1513</v>
      </c>
      <c r="K211" s="2" t="s">
        <v>163</v>
      </c>
      <c r="L211" s="2" t="s">
        <v>1514</v>
      </c>
      <c r="M211" s="2">
        <v>87.0</v>
      </c>
      <c r="N211" s="2">
        <v>709.44</v>
      </c>
      <c r="O211" s="2" t="s">
        <v>52</v>
      </c>
      <c r="P211" s="2" t="s">
        <v>469</v>
      </c>
      <c r="Q211" s="2" t="s">
        <v>1515</v>
      </c>
      <c r="S211" s="2">
        <v>90065.0</v>
      </c>
      <c r="T211" s="2" t="s">
        <v>101</v>
      </c>
      <c r="U211" s="2" t="s">
        <v>71</v>
      </c>
    </row>
    <row r="212">
      <c r="A212" s="2">
        <v>211.0</v>
      </c>
      <c r="B212" s="2">
        <v>211.0</v>
      </c>
      <c r="C212" s="2">
        <v>211.0</v>
      </c>
      <c r="D212" s="3">
        <v>44321.0</v>
      </c>
      <c r="E212" s="2" t="s">
        <v>1516</v>
      </c>
      <c r="F212" s="2" t="s">
        <v>198</v>
      </c>
      <c r="G212" s="2">
        <v>953.87</v>
      </c>
      <c r="H212" s="2" t="s">
        <v>1517</v>
      </c>
      <c r="I212" s="2" t="s">
        <v>1518</v>
      </c>
      <c r="J212" s="2" t="s">
        <v>1519</v>
      </c>
      <c r="K212" s="2" t="s">
        <v>1520</v>
      </c>
      <c r="M212" s="2">
        <v>62.0</v>
      </c>
      <c r="N212" s="2">
        <v>6945.86</v>
      </c>
      <c r="O212" s="2" t="s">
        <v>52</v>
      </c>
      <c r="P212" s="2" t="s">
        <v>1521</v>
      </c>
      <c r="Q212" s="2" t="s">
        <v>1522</v>
      </c>
      <c r="T212" s="2" t="s">
        <v>119</v>
      </c>
      <c r="U212" s="2" t="s">
        <v>46</v>
      </c>
    </row>
    <row r="213">
      <c r="A213" s="2">
        <v>212.0</v>
      </c>
      <c r="B213" s="2">
        <v>212.0</v>
      </c>
      <c r="C213" s="2">
        <v>212.0</v>
      </c>
      <c r="D213" s="3">
        <v>43991.0</v>
      </c>
      <c r="E213" s="2" t="s">
        <v>1523</v>
      </c>
      <c r="F213" s="2" t="s">
        <v>413</v>
      </c>
      <c r="G213" s="2">
        <v>406.91</v>
      </c>
      <c r="H213" s="2" t="s">
        <v>1524</v>
      </c>
      <c r="I213" s="2" t="s">
        <v>1525</v>
      </c>
      <c r="J213" s="2" t="s">
        <v>1526</v>
      </c>
      <c r="K213" s="2" t="s">
        <v>1227</v>
      </c>
      <c r="M213" s="2">
        <v>97.0</v>
      </c>
      <c r="N213" s="2">
        <v>2662.75</v>
      </c>
      <c r="O213" s="2" t="s">
        <v>28</v>
      </c>
      <c r="P213" s="2" t="s">
        <v>840</v>
      </c>
      <c r="Q213" s="2" t="s">
        <v>1527</v>
      </c>
      <c r="S213" s="2">
        <v>692659.0</v>
      </c>
      <c r="T213" s="2" t="s">
        <v>68</v>
      </c>
      <c r="U213" s="2" t="s">
        <v>46</v>
      </c>
    </row>
    <row r="214">
      <c r="A214" s="2">
        <v>213.0</v>
      </c>
      <c r="B214" s="2">
        <v>213.0</v>
      </c>
      <c r="C214" s="2">
        <v>213.0</v>
      </c>
      <c r="D214" s="3">
        <v>44035.0</v>
      </c>
      <c r="E214" s="2" t="s">
        <v>1528</v>
      </c>
      <c r="F214" s="2" t="s">
        <v>1529</v>
      </c>
      <c r="G214" s="2">
        <v>870.52</v>
      </c>
      <c r="H214" s="2" t="s">
        <v>1047</v>
      </c>
      <c r="I214" s="2" t="s">
        <v>1530</v>
      </c>
      <c r="J214" s="2" t="s">
        <v>1531</v>
      </c>
      <c r="K214" s="2" t="s">
        <v>32</v>
      </c>
      <c r="M214" s="2">
        <v>90.0</v>
      </c>
      <c r="N214" s="2">
        <v>3449.56</v>
      </c>
      <c r="O214" s="2" t="s">
        <v>52</v>
      </c>
      <c r="P214" s="2" t="s">
        <v>1532</v>
      </c>
      <c r="Q214" s="2" t="s">
        <v>1533</v>
      </c>
      <c r="S214" s="2" t="s">
        <v>1534</v>
      </c>
      <c r="T214" s="2" t="s">
        <v>106</v>
      </c>
      <c r="U214" s="2" t="s">
        <v>71</v>
      </c>
    </row>
    <row r="215">
      <c r="A215" s="2">
        <v>214.0</v>
      </c>
      <c r="B215" s="2">
        <v>214.0</v>
      </c>
      <c r="C215" s="2">
        <v>214.0</v>
      </c>
      <c r="D215" s="3">
        <v>43859.0</v>
      </c>
      <c r="E215" s="2" t="s">
        <v>1535</v>
      </c>
      <c r="F215" s="2" t="s">
        <v>1536</v>
      </c>
      <c r="G215" s="2">
        <v>137.56</v>
      </c>
      <c r="H215" s="2" t="s">
        <v>1537</v>
      </c>
      <c r="I215" s="2" t="s">
        <v>1538</v>
      </c>
      <c r="J215" s="2" t="s">
        <v>1539</v>
      </c>
      <c r="K215" s="2" t="s">
        <v>32</v>
      </c>
      <c r="M215" s="2">
        <v>83.0</v>
      </c>
      <c r="N215" s="2">
        <v>2286.7</v>
      </c>
      <c r="O215" s="2" t="s">
        <v>52</v>
      </c>
      <c r="P215" s="2" t="s">
        <v>1540</v>
      </c>
      <c r="Q215" s="2" t="s">
        <v>1541</v>
      </c>
      <c r="T215" s="2" t="s">
        <v>32</v>
      </c>
      <c r="U215" s="2" t="s">
        <v>46</v>
      </c>
    </row>
    <row r="216">
      <c r="A216" s="2">
        <v>215.0</v>
      </c>
      <c r="B216" s="2">
        <v>215.0</v>
      </c>
      <c r="C216" s="2">
        <v>215.0</v>
      </c>
      <c r="D216" s="3">
        <v>43938.0</v>
      </c>
      <c r="E216" s="2" t="s">
        <v>1542</v>
      </c>
      <c r="F216" s="2" t="s">
        <v>662</v>
      </c>
      <c r="G216" s="2">
        <v>777.26</v>
      </c>
      <c r="H216" s="2" t="s">
        <v>1543</v>
      </c>
      <c r="I216" s="2" t="s">
        <v>1544</v>
      </c>
      <c r="J216" s="2" t="s">
        <v>1545</v>
      </c>
      <c r="K216" s="2" t="s">
        <v>163</v>
      </c>
      <c r="L216" s="2" t="s">
        <v>1546</v>
      </c>
      <c r="M216" s="2">
        <v>76.0</v>
      </c>
      <c r="N216" s="2">
        <v>7605.66</v>
      </c>
      <c r="O216" s="2" t="s">
        <v>52</v>
      </c>
      <c r="P216" s="2" t="s">
        <v>1547</v>
      </c>
      <c r="Q216" s="2" t="s">
        <v>1548</v>
      </c>
      <c r="S216" s="2" t="s">
        <v>1549</v>
      </c>
      <c r="T216" s="2" t="s">
        <v>127</v>
      </c>
      <c r="U216" s="2" t="s">
        <v>71</v>
      </c>
    </row>
    <row r="217">
      <c r="A217" s="2">
        <v>216.0</v>
      </c>
      <c r="B217" s="2">
        <v>216.0</v>
      </c>
      <c r="C217" s="2">
        <v>216.0</v>
      </c>
      <c r="D217" s="3">
        <v>44492.0</v>
      </c>
      <c r="E217" s="2" t="s">
        <v>1550</v>
      </c>
      <c r="F217" s="2" t="s">
        <v>73</v>
      </c>
      <c r="G217" s="2">
        <v>791.64</v>
      </c>
      <c r="H217" s="2" t="s">
        <v>1384</v>
      </c>
      <c r="I217" s="2" t="s">
        <v>1551</v>
      </c>
      <c r="J217" s="2" t="s">
        <v>1552</v>
      </c>
      <c r="K217" s="2" t="s">
        <v>32</v>
      </c>
      <c r="M217" s="2">
        <v>79.0</v>
      </c>
      <c r="N217" s="2">
        <v>3277.69</v>
      </c>
      <c r="O217" s="2" t="s">
        <v>41</v>
      </c>
      <c r="P217" s="2" t="s">
        <v>1553</v>
      </c>
      <c r="Q217" s="2" t="s">
        <v>1554</v>
      </c>
      <c r="T217" s="2" t="s">
        <v>119</v>
      </c>
      <c r="U217" s="2" t="s">
        <v>33</v>
      </c>
    </row>
    <row r="218">
      <c r="A218" s="2">
        <v>217.0</v>
      </c>
      <c r="B218" s="2">
        <v>217.0</v>
      </c>
      <c r="C218" s="2">
        <v>217.0</v>
      </c>
      <c r="D218" s="3">
        <v>43961.0</v>
      </c>
      <c r="E218" s="2" t="s">
        <v>1555</v>
      </c>
      <c r="F218" s="2" t="s">
        <v>1556</v>
      </c>
      <c r="G218" s="2">
        <v>570.76</v>
      </c>
      <c r="H218" s="2" t="s">
        <v>1557</v>
      </c>
      <c r="I218" s="2" t="s">
        <v>1558</v>
      </c>
      <c r="J218" s="2" t="s">
        <v>1559</v>
      </c>
      <c r="K218" s="2" t="s">
        <v>225</v>
      </c>
      <c r="M218" s="2">
        <v>61.0</v>
      </c>
      <c r="N218" s="2">
        <v>8907.42</v>
      </c>
      <c r="O218" s="2" t="s">
        <v>52</v>
      </c>
      <c r="P218" s="2" t="s">
        <v>259</v>
      </c>
      <c r="Q218" s="2" t="s">
        <v>1560</v>
      </c>
      <c r="T218" s="2" t="s">
        <v>1520</v>
      </c>
      <c r="U218" s="2" t="s">
        <v>71</v>
      </c>
    </row>
    <row r="219">
      <c r="A219" s="2">
        <v>218.0</v>
      </c>
      <c r="B219" s="2">
        <v>218.0</v>
      </c>
      <c r="C219" s="2">
        <v>218.0</v>
      </c>
      <c r="D219" s="3">
        <v>44179.0</v>
      </c>
      <c r="E219" s="2" t="s">
        <v>1561</v>
      </c>
      <c r="F219" s="2" t="s">
        <v>1562</v>
      </c>
      <c r="G219" s="2">
        <v>602.89</v>
      </c>
      <c r="H219" s="2" t="s">
        <v>1563</v>
      </c>
      <c r="I219" s="2" t="s">
        <v>1564</v>
      </c>
      <c r="J219" s="2" t="s">
        <v>1565</v>
      </c>
      <c r="K219" s="2" t="s">
        <v>163</v>
      </c>
      <c r="L219" s="2" t="s">
        <v>1566</v>
      </c>
      <c r="M219" s="2">
        <v>19.0</v>
      </c>
      <c r="N219" s="2">
        <v>276.53</v>
      </c>
      <c r="O219" s="2" t="s">
        <v>41</v>
      </c>
      <c r="P219" s="2" t="s">
        <v>883</v>
      </c>
      <c r="Q219" s="2" t="s">
        <v>1567</v>
      </c>
      <c r="S219" s="2">
        <v>2519.0</v>
      </c>
      <c r="T219" s="2" t="s">
        <v>241</v>
      </c>
      <c r="U219" s="2" t="s">
        <v>46</v>
      </c>
    </row>
    <row r="220">
      <c r="A220" s="2">
        <v>219.0</v>
      </c>
      <c r="B220" s="2">
        <v>219.0</v>
      </c>
      <c r="C220" s="2">
        <v>219.0</v>
      </c>
      <c r="D220" s="3">
        <v>44115.0</v>
      </c>
      <c r="E220" s="2" t="s">
        <v>1568</v>
      </c>
      <c r="F220" s="2" t="s">
        <v>73</v>
      </c>
      <c r="G220" s="2">
        <v>950.88</v>
      </c>
      <c r="H220" s="2" t="s">
        <v>1569</v>
      </c>
      <c r="I220" s="2" t="s">
        <v>1570</v>
      </c>
      <c r="J220" s="2" t="s">
        <v>1571</v>
      </c>
      <c r="K220" s="2" t="s">
        <v>26</v>
      </c>
      <c r="L220" s="2" t="s">
        <v>1572</v>
      </c>
      <c r="M220" s="2">
        <v>49.0</v>
      </c>
      <c r="N220" s="2">
        <v>5153.01</v>
      </c>
      <c r="O220" s="2" t="s">
        <v>52</v>
      </c>
      <c r="P220" s="2" t="s">
        <v>1573</v>
      </c>
      <c r="Q220" s="2" t="s">
        <v>1574</v>
      </c>
      <c r="R220" s="2" t="s">
        <v>1575</v>
      </c>
      <c r="T220" s="2" t="s">
        <v>225</v>
      </c>
      <c r="U220" s="2" t="s">
        <v>33</v>
      </c>
    </row>
    <row r="221">
      <c r="A221" s="2">
        <v>220.0</v>
      </c>
      <c r="B221" s="2">
        <v>220.0</v>
      </c>
      <c r="C221" s="2">
        <v>220.0</v>
      </c>
      <c r="D221" s="3">
        <v>44465.0</v>
      </c>
      <c r="E221" s="2" t="s">
        <v>1576</v>
      </c>
      <c r="F221" s="2" t="s">
        <v>142</v>
      </c>
      <c r="G221" s="2">
        <v>257.44</v>
      </c>
      <c r="H221" s="2" t="s">
        <v>1577</v>
      </c>
      <c r="I221" s="2" t="s">
        <v>1578</v>
      </c>
      <c r="J221" s="2" t="s">
        <v>1579</v>
      </c>
      <c r="K221" s="2" t="s">
        <v>32</v>
      </c>
      <c r="M221" s="2">
        <v>51.0</v>
      </c>
      <c r="N221" s="2">
        <v>1270.98</v>
      </c>
      <c r="O221" s="2" t="s">
        <v>41</v>
      </c>
      <c r="P221" s="2" t="s">
        <v>847</v>
      </c>
      <c r="Q221" s="2" t="s">
        <v>1580</v>
      </c>
      <c r="S221" s="2">
        <v>4425.0</v>
      </c>
      <c r="T221" s="2" t="s">
        <v>241</v>
      </c>
      <c r="U221" s="2" t="s">
        <v>46</v>
      </c>
    </row>
    <row r="222">
      <c r="A222" s="2">
        <v>221.0</v>
      </c>
      <c r="B222" s="2">
        <v>221.0</v>
      </c>
      <c r="C222" s="2">
        <v>221.0</v>
      </c>
      <c r="D222" s="3">
        <v>44042.0</v>
      </c>
      <c r="E222" s="2" t="s">
        <v>1581</v>
      </c>
      <c r="F222" s="2" t="s">
        <v>35</v>
      </c>
      <c r="G222" s="2">
        <v>304.19</v>
      </c>
      <c r="H222" s="2" t="s">
        <v>1582</v>
      </c>
      <c r="I222" s="2" t="s">
        <v>1583</v>
      </c>
      <c r="J222" s="2" t="s">
        <v>1584</v>
      </c>
      <c r="K222" s="2" t="s">
        <v>252</v>
      </c>
      <c r="M222" s="2">
        <v>94.0</v>
      </c>
      <c r="N222" s="2">
        <v>1545.21</v>
      </c>
      <c r="O222" s="2" t="s">
        <v>28</v>
      </c>
      <c r="P222" s="2" t="s">
        <v>1585</v>
      </c>
      <c r="Q222" s="2" t="s">
        <v>1586</v>
      </c>
      <c r="T222" s="2" t="s">
        <v>32</v>
      </c>
      <c r="U222" s="2" t="s">
        <v>71</v>
      </c>
    </row>
    <row r="223">
      <c r="A223" s="2">
        <v>222.0</v>
      </c>
      <c r="B223" s="2">
        <v>222.0</v>
      </c>
      <c r="C223" s="2">
        <v>222.0</v>
      </c>
      <c r="D223" s="3">
        <v>43841.0</v>
      </c>
      <c r="E223" s="2" t="s">
        <v>1587</v>
      </c>
      <c r="F223" s="2" t="s">
        <v>97</v>
      </c>
      <c r="G223" s="2">
        <v>420.39</v>
      </c>
      <c r="H223" s="2" t="s">
        <v>1588</v>
      </c>
      <c r="I223" s="2" t="s">
        <v>1589</v>
      </c>
      <c r="J223" s="2" t="s">
        <v>1590</v>
      </c>
      <c r="K223" s="2" t="s">
        <v>119</v>
      </c>
      <c r="M223" s="2">
        <v>90.0</v>
      </c>
      <c r="N223" s="2">
        <v>961.19</v>
      </c>
      <c r="O223" s="2" t="s">
        <v>41</v>
      </c>
      <c r="P223" s="2" t="s">
        <v>1591</v>
      </c>
      <c r="Q223" s="2" t="s">
        <v>1592</v>
      </c>
      <c r="T223" s="2" t="s">
        <v>119</v>
      </c>
      <c r="U223" s="2" t="s">
        <v>71</v>
      </c>
    </row>
    <row r="224">
      <c r="A224" s="2">
        <v>223.0</v>
      </c>
      <c r="B224" s="2">
        <v>223.0</v>
      </c>
      <c r="C224" s="2">
        <v>223.0</v>
      </c>
      <c r="D224" s="3">
        <v>44024.0</v>
      </c>
      <c r="E224" s="2" t="s">
        <v>1593</v>
      </c>
      <c r="F224" s="2" t="s">
        <v>245</v>
      </c>
      <c r="G224" s="2">
        <v>784.0</v>
      </c>
      <c r="H224" s="2" t="s">
        <v>1594</v>
      </c>
      <c r="I224" s="2" t="s">
        <v>1595</v>
      </c>
      <c r="J224" s="2" t="s">
        <v>1596</v>
      </c>
      <c r="K224" s="2" t="s">
        <v>1227</v>
      </c>
      <c r="M224" s="2">
        <v>86.0</v>
      </c>
      <c r="N224" s="2">
        <v>5352.96</v>
      </c>
      <c r="O224" s="2" t="s">
        <v>52</v>
      </c>
      <c r="P224" s="2" t="s">
        <v>1597</v>
      </c>
      <c r="Q224" s="2" t="s">
        <v>1598</v>
      </c>
      <c r="T224" s="2" t="s">
        <v>119</v>
      </c>
      <c r="U224" s="2" t="s">
        <v>33</v>
      </c>
    </row>
    <row r="225">
      <c r="A225" s="2">
        <v>224.0</v>
      </c>
      <c r="B225" s="2">
        <v>224.0</v>
      </c>
      <c r="C225" s="2">
        <v>224.0</v>
      </c>
      <c r="D225" s="3">
        <v>43882.0</v>
      </c>
      <c r="E225" s="2" t="s">
        <v>1599</v>
      </c>
      <c r="F225" s="2" t="s">
        <v>73</v>
      </c>
      <c r="G225" s="2">
        <v>726.83</v>
      </c>
      <c r="H225" s="2" t="s">
        <v>1600</v>
      </c>
      <c r="I225" s="2" t="s">
        <v>1601</v>
      </c>
      <c r="J225" s="2" t="s">
        <v>1602</v>
      </c>
      <c r="K225" s="2" t="s">
        <v>1603</v>
      </c>
      <c r="L225" s="2">
        <v>1656.0</v>
      </c>
      <c r="M225" s="2">
        <v>63.0</v>
      </c>
      <c r="N225" s="2">
        <v>4015.22</v>
      </c>
      <c r="O225" s="2" t="s">
        <v>28</v>
      </c>
      <c r="P225" s="2" t="s">
        <v>840</v>
      </c>
      <c r="Q225" s="2" t="s">
        <v>1604</v>
      </c>
      <c r="R225" s="2" t="s">
        <v>1605</v>
      </c>
      <c r="T225" s="2" t="s">
        <v>32</v>
      </c>
      <c r="U225" s="2" t="s">
        <v>46</v>
      </c>
    </row>
    <row r="226">
      <c r="A226" s="2">
        <v>225.0</v>
      </c>
      <c r="B226" s="2">
        <v>225.0</v>
      </c>
      <c r="C226" s="2">
        <v>225.0</v>
      </c>
      <c r="D226" s="3">
        <v>44497.0</v>
      </c>
      <c r="E226" s="2" t="s">
        <v>1606</v>
      </c>
      <c r="F226" s="2" t="s">
        <v>56</v>
      </c>
      <c r="G226" s="2">
        <v>585.99</v>
      </c>
      <c r="H226" s="2" t="s">
        <v>1607</v>
      </c>
      <c r="I226" s="2" t="s">
        <v>1608</v>
      </c>
      <c r="J226" s="2" t="s">
        <v>1609</v>
      </c>
      <c r="K226" s="2" t="s">
        <v>32</v>
      </c>
      <c r="M226" s="2">
        <v>62.0</v>
      </c>
      <c r="N226" s="2">
        <v>8131.22</v>
      </c>
      <c r="O226" s="2" t="s">
        <v>28</v>
      </c>
      <c r="P226" s="2" t="s">
        <v>1610</v>
      </c>
      <c r="Q226" s="2" t="s">
        <v>1611</v>
      </c>
      <c r="T226" s="2" t="s">
        <v>32</v>
      </c>
      <c r="U226" s="2" t="s">
        <v>33</v>
      </c>
    </row>
    <row r="227">
      <c r="A227" s="2">
        <v>226.0</v>
      </c>
      <c r="B227" s="2">
        <v>226.0</v>
      </c>
      <c r="C227" s="2">
        <v>226.0</v>
      </c>
      <c r="D227" s="3">
        <v>43930.0</v>
      </c>
      <c r="E227" s="2" t="s">
        <v>1612</v>
      </c>
      <c r="F227" s="2" t="s">
        <v>97</v>
      </c>
      <c r="G227" s="2">
        <v>640.88</v>
      </c>
      <c r="H227" s="2" t="s">
        <v>1613</v>
      </c>
      <c r="I227" s="2" t="s">
        <v>1614</v>
      </c>
      <c r="J227" s="2" t="s">
        <v>1615</v>
      </c>
      <c r="K227" s="2" t="s">
        <v>114</v>
      </c>
      <c r="L227" s="2" t="s">
        <v>1616</v>
      </c>
      <c r="M227" s="2">
        <v>22.0</v>
      </c>
      <c r="N227" s="2">
        <v>1867.62</v>
      </c>
      <c r="O227" s="2" t="s">
        <v>28</v>
      </c>
      <c r="P227" s="2" t="s">
        <v>1617</v>
      </c>
      <c r="Q227" s="2" t="s">
        <v>1618</v>
      </c>
      <c r="T227" s="2" t="s">
        <v>1619</v>
      </c>
      <c r="U227" s="2" t="s">
        <v>46</v>
      </c>
    </row>
    <row r="228">
      <c r="A228" s="2">
        <v>227.0</v>
      </c>
      <c r="B228" s="2">
        <v>227.0</v>
      </c>
      <c r="C228" s="2">
        <v>227.0</v>
      </c>
      <c r="D228" s="3">
        <v>43968.0</v>
      </c>
      <c r="E228" s="2" t="s">
        <v>1620</v>
      </c>
      <c r="F228" s="2" t="s">
        <v>142</v>
      </c>
      <c r="G228" s="2">
        <v>493.82</v>
      </c>
      <c r="H228" s="2" t="s">
        <v>1621</v>
      </c>
      <c r="I228" s="2" t="s">
        <v>1622</v>
      </c>
      <c r="J228" s="2" t="s">
        <v>1623</v>
      </c>
      <c r="K228" s="2" t="s">
        <v>119</v>
      </c>
      <c r="M228" s="2">
        <v>42.0</v>
      </c>
      <c r="N228" s="2">
        <v>4113.05</v>
      </c>
      <c r="O228" s="2" t="s">
        <v>52</v>
      </c>
      <c r="P228" s="2" t="s">
        <v>454</v>
      </c>
      <c r="Q228" s="2" t="s">
        <v>1624</v>
      </c>
      <c r="T228" s="2" t="s">
        <v>1227</v>
      </c>
      <c r="U228" s="2" t="s">
        <v>46</v>
      </c>
    </row>
    <row r="229">
      <c r="A229" s="2">
        <v>228.0</v>
      </c>
      <c r="B229" s="2">
        <v>228.0</v>
      </c>
      <c r="C229" s="2">
        <v>228.0</v>
      </c>
      <c r="D229" s="3">
        <v>44171.0</v>
      </c>
      <c r="E229" s="2" t="s">
        <v>1625</v>
      </c>
      <c r="F229" s="2" t="s">
        <v>1626</v>
      </c>
      <c r="G229" s="2">
        <v>513.0</v>
      </c>
      <c r="H229" s="2" t="s">
        <v>1627</v>
      </c>
      <c r="I229" s="2" t="s">
        <v>1628</v>
      </c>
      <c r="J229" s="2" t="s">
        <v>1629</v>
      </c>
      <c r="K229" s="2" t="s">
        <v>119</v>
      </c>
      <c r="M229" s="2">
        <v>93.0</v>
      </c>
      <c r="N229" s="2">
        <v>650.61</v>
      </c>
      <c r="O229" s="2" t="s">
        <v>28</v>
      </c>
      <c r="P229" s="2" t="s">
        <v>1630</v>
      </c>
      <c r="Q229" s="2" t="s">
        <v>1631</v>
      </c>
      <c r="T229" s="2" t="s">
        <v>119</v>
      </c>
      <c r="U229" s="2" t="s">
        <v>46</v>
      </c>
    </row>
    <row r="230">
      <c r="A230" s="2">
        <v>229.0</v>
      </c>
      <c r="B230" s="2">
        <v>229.0</v>
      </c>
      <c r="C230" s="2">
        <v>229.0</v>
      </c>
      <c r="D230" s="3">
        <v>44215.0</v>
      </c>
      <c r="E230" s="2" t="s">
        <v>1632</v>
      </c>
      <c r="F230" s="2" t="s">
        <v>123</v>
      </c>
      <c r="G230" s="2">
        <v>972.32</v>
      </c>
      <c r="H230" s="2" t="s">
        <v>1633</v>
      </c>
      <c r="I230" s="2" t="s">
        <v>1634</v>
      </c>
      <c r="J230" s="2" t="s">
        <v>1635</v>
      </c>
      <c r="K230" s="2" t="s">
        <v>241</v>
      </c>
      <c r="L230" s="2">
        <v>6222.0</v>
      </c>
      <c r="M230" s="2">
        <v>67.0</v>
      </c>
      <c r="N230" s="2">
        <v>6865.15</v>
      </c>
      <c r="O230" s="2" t="s">
        <v>28</v>
      </c>
      <c r="P230" s="2" t="s">
        <v>1636</v>
      </c>
      <c r="Q230" s="2" t="s">
        <v>1108</v>
      </c>
      <c r="S230" s="2">
        <v>2010.0</v>
      </c>
      <c r="T230" s="2" t="s">
        <v>241</v>
      </c>
      <c r="U230" s="2" t="s">
        <v>46</v>
      </c>
    </row>
    <row r="231">
      <c r="A231" s="2">
        <v>230.0</v>
      </c>
      <c r="B231" s="2">
        <v>230.0</v>
      </c>
      <c r="C231" s="2">
        <v>230.0</v>
      </c>
      <c r="D231" s="3">
        <v>44473.0</v>
      </c>
      <c r="E231" s="2" t="s">
        <v>1637</v>
      </c>
      <c r="F231" s="2" t="s">
        <v>142</v>
      </c>
      <c r="G231" s="2">
        <v>480.39</v>
      </c>
      <c r="H231" s="2" t="s">
        <v>1638</v>
      </c>
      <c r="I231" s="2" t="s">
        <v>1639</v>
      </c>
      <c r="J231" s="2" t="s">
        <v>1640</v>
      </c>
      <c r="K231" s="2" t="s">
        <v>68</v>
      </c>
      <c r="L231" s="2">
        <v>352560.0</v>
      </c>
      <c r="M231" s="2">
        <v>60.0</v>
      </c>
      <c r="N231" s="2">
        <v>111.6</v>
      </c>
      <c r="O231" s="2" t="s">
        <v>28</v>
      </c>
      <c r="P231" s="2" t="s">
        <v>1641</v>
      </c>
      <c r="Q231" s="2" t="s">
        <v>1642</v>
      </c>
      <c r="T231" s="2" t="s">
        <v>32</v>
      </c>
      <c r="U231" s="2" t="s">
        <v>71</v>
      </c>
    </row>
    <row r="232">
      <c r="A232" s="2">
        <v>231.0</v>
      </c>
      <c r="B232" s="2">
        <v>231.0</v>
      </c>
      <c r="C232" s="2">
        <v>231.0</v>
      </c>
      <c r="D232" s="3">
        <v>43988.0</v>
      </c>
      <c r="E232" s="2" t="s">
        <v>1643</v>
      </c>
      <c r="F232" s="2" t="s">
        <v>22</v>
      </c>
      <c r="G232" s="2">
        <v>57.69</v>
      </c>
      <c r="H232" s="2" t="s">
        <v>1644</v>
      </c>
      <c r="I232" s="2" t="s">
        <v>1645</v>
      </c>
      <c r="J232" s="2" t="s">
        <v>1646</v>
      </c>
      <c r="K232" s="2" t="s">
        <v>146</v>
      </c>
      <c r="M232" s="2">
        <v>28.0</v>
      </c>
      <c r="N232" s="2">
        <v>8329.76</v>
      </c>
      <c r="O232" s="2" t="s">
        <v>28</v>
      </c>
      <c r="P232" s="2" t="s">
        <v>613</v>
      </c>
      <c r="Q232" s="2" t="s">
        <v>1647</v>
      </c>
      <c r="T232" s="2" t="s">
        <v>32</v>
      </c>
      <c r="U232" s="2" t="s">
        <v>71</v>
      </c>
    </row>
    <row r="233">
      <c r="A233" s="2">
        <v>232.0</v>
      </c>
      <c r="B233" s="2">
        <v>232.0</v>
      </c>
      <c r="C233" s="2">
        <v>232.0</v>
      </c>
      <c r="D233" s="3">
        <v>44001.0</v>
      </c>
      <c r="E233" s="2" t="s">
        <v>1648</v>
      </c>
      <c r="F233" s="2" t="s">
        <v>567</v>
      </c>
      <c r="G233" s="2">
        <v>133.9</v>
      </c>
      <c r="H233" s="2" t="s">
        <v>1649</v>
      </c>
      <c r="I233" s="2" t="s">
        <v>1650</v>
      </c>
      <c r="J233" s="2" t="s">
        <v>1651</v>
      </c>
      <c r="K233" s="2" t="s">
        <v>163</v>
      </c>
      <c r="L233" s="2" t="s">
        <v>1652</v>
      </c>
      <c r="M233" s="2">
        <v>89.0</v>
      </c>
      <c r="N233" s="2">
        <v>9405.32</v>
      </c>
      <c r="O233" s="2" t="s">
        <v>28</v>
      </c>
      <c r="P233" s="2" t="s">
        <v>1653</v>
      </c>
      <c r="Q233" s="2" t="s">
        <v>1654</v>
      </c>
      <c r="S233" s="2" t="s">
        <v>1655</v>
      </c>
      <c r="T233" s="2" t="s">
        <v>26</v>
      </c>
      <c r="U233" s="2" t="s">
        <v>33</v>
      </c>
    </row>
    <row r="234">
      <c r="A234" s="2">
        <v>233.0</v>
      </c>
      <c r="B234" s="2">
        <v>233.0</v>
      </c>
      <c r="C234" s="2">
        <v>233.0</v>
      </c>
      <c r="D234" s="3">
        <v>44073.0</v>
      </c>
      <c r="E234" s="2" t="s">
        <v>1656</v>
      </c>
      <c r="F234" s="2" t="s">
        <v>887</v>
      </c>
      <c r="G234" s="2">
        <v>327.66</v>
      </c>
      <c r="H234" s="2" t="s">
        <v>1657</v>
      </c>
      <c r="I234" s="2" t="s">
        <v>1658</v>
      </c>
      <c r="J234" s="2" t="s">
        <v>1659</v>
      </c>
      <c r="K234" s="2" t="s">
        <v>1660</v>
      </c>
      <c r="L234" s="2" t="s">
        <v>1661</v>
      </c>
      <c r="M234" s="2">
        <v>13.0</v>
      </c>
      <c r="N234" s="2">
        <v>9321.82</v>
      </c>
      <c r="O234" s="2" t="s">
        <v>28</v>
      </c>
      <c r="P234" s="2" t="s">
        <v>543</v>
      </c>
      <c r="Q234" s="2" t="s">
        <v>1662</v>
      </c>
      <c r="T234" s="2" t="s">
        <v>1663</v>
      </c>
      <c r="U234" s="2" t="s">
        <v>46</v>
      </c>
    </row>
    <row r="235">
      <c r="A235" s="2">
        <v>234.0</v>
      </c>
      <c r="B235" s="2">
        <v>234.0</v>
      </c>
      <c r="C235" s="2">
        <v>234.0</v>
      </c>
      <c r="D235" s="3">
        <v>44084.0</v>
      </c>
      <c r="E235" s="2" t="s">
        <v>1664</v>
      </c>
      <c r="F235" s="2" t="s">
        <v>501</v>
      </c>
      <c r="G235" s="2">
        <v>608.24</v>
      </c>
      <c r="H235" s="2" t="s">
        <v>1665</v>
      </c>
      <c r="I235" s="2" t="s">
        <v>1666</v>
      </c>
      <c r="J235" s="2" t="s">
        <v>1667</v>
      </c>
      <c r="K235" s="2" t="s">
        <v>241</v>
      </c>
      <c r="L235" s="2">
        <v>6126.0</v>
      </c>
      <c r="M235" s="2">
        <v>19.0</v>
      </c>
      <c r="N235" s="2">
        <v>1024.54</v>
      </c>
      <c r="O235" s="2" t="s">
        <v>28</v>
      </c>
      <c r="P235" s="2" t="s">
        <v>1668</v>
      </c>
      <c r="Q235" s="2" t="s">
        <v>1669</v>
      </c>
      <c r="T235" s="2" t="s">
        <v>119</v>
      </c>
      <c r="U235" s="2" t="s">
        <v>71</v>
      </c>
    </row>
    <row r="236">
      <c r="A236" s="2">
        <v>235.0</v>
      </c>
      <c r="B236" s="2">
        <v>235.0</v>
      </c>
      <c r="C236" s="2">
        <v>235.0</v>
      </c>
      <c r="D236" s="3">
        <v>44306.0</v>
      </c>
      <c r="E236" s="2" t="s">
        <v>1670</v>
      </c>
      <c r="F236" s="2" t="s">
        <v>1671</v>
      </c>
      <c r="G236" s="2">
        <v>920.26</v>
      </c>
      <c r="H236" s="2" t="s">
        <v>1672</v>
      </c>
      <c r="I236" s="2" t="s">
        <v>1673</v>
      </c>
      <c r="J236" s="2" t="s">
        <v>1674</v>
      </c>
      <c r="K236" s="2" t="s">
        <v>26</v>
      </c>
      <c r="L236" s="2" t="s">
        <v>1675</v>
      </c>
      <c r="M236" s="2">
        <v>39.0</v>
      </c>
      <c r="N236" s="2">
        <v>5712.38</v>
      </c>
      <c r="O236" s="2" t="s">
        <v>41</v>
      </c>
      <c r="P236" s="2" t="s">
        <v>1676</v>
      </c>
      <c r="Q236" s="2" t="s">
        <v>1677</v>
      </c>
      <c r="R236" s="2" t="s">
        <v>1678</v>
      </c>
      <c r="S236" s="2">
        <v>45020.0</v>
      </c>
      <c r="T236" s="2" t="s">
        <v>101</v>
      </c>
      <c r="U236" s="2" t="s">
        <v>71</v>
      </c>
    </row>
    <row r="237">
      <c r="A237" s="2">
        <v>236.0</v>
      </c>
      <c r="B237" s="2">
        <v>236.0</v>
      </c>
      <c r="C237" s="2">
        <v>236.0</v>
      </c>
      <c r="D237" s="3">
        <v>44051.0</v>
      </c>
      <c r="E237" s="2" t="s">
        <v>1679</v>
      </c>
      <c r="F237" s="2" t="s">
        <v>237</v>
      </c>
      <c r="G237" s="2">
        <v>121.57</v>
      </c>
      <c r="H237" s="2" t="s">
        <v>1680</v>
      </c>
      <c r="I237" s="2" t="s">
        <v>1681</v>
      </c>
      <c r="J237" s="2" t="s">
        <v>1682</v>
      </c>
      <c r="K237" s="2" t="s">
        <v>650</v>
      </c>
      <c r="M237" s="2">
        <v>16.0</v>
      </c>
      <c r="N237" s="2">
        <v>9234.86</v>
      </c>
      <c r="O237" s="2" t="s">
        <v>41</v>
      </c>
      <c r="P237" s="2" t="s">
        <v>1683</v>
      </c>
      <c r="Q237" s="2" t="s">
        <v>1684</v>
      </c>
      <c r="S237" s="2" t="s">
        <v>1685</v>
      </c>
      <c r="T237" s="2" t="s">
        <v>26</v>
      </c>
      <c r="U237" s="2" t="s">
        <v>71</v>
      </c>
    </row>
    <row r="238">
      <c r="A238" s="2">
        <v>237.0</v>
      </c>
      <c r="B238" s="2">
        <v>237.0</v>
      </c>
      <c r="C238" s="2">
        <v>237.0</v>
      </c>
      <c r="D238" s="3">
        <v>44107.0</v>
      </c>
      <c r="E238" s="2" t="s">
        <v>1686</v>
      </c>
      <c r="F238" s="2" t="s">
        <v>501</v>
      </c>
      <c r="G238" s="2">
        <v>669.55</v>
      </c>
      <c r="H238" s="2" t="s">
        <v>1687</v>
      </c>
      <c r="I238" s="2" t="s">
        <v>1688</v>
      </c>
      <c r="J238" s="2" t="s">
        <v>1689</v>
      </c>
      <c r="K238" s="2" t="s">
        <v>101</v>
      </c>
      <c r="L238" s="2">
        <v>2283.0</v>
      </c>
      <c r="M238" s="2">
        <v>93.0</v>
      </c>
      <c r="N238" s="2">
        <v>9972.42</v>
      </c>
      <c r="O238" s="2" t="s">
        <v>28</v>
      </c>
      <c r="P238" s="2" t="s">
        <v>1690</v>
      </c>
      <c r="Q238" s="2" t="s">
        <v>1691</v>
      </c>
      <c r="R238" s="2" t="s">
        <v>1692</v>
      </c>
      <c r="S238" s="2">
        <v>5914.0</v>
      </c>
      <c r="T238" s="2" t="s">
        <v>131</v>
      </c>
      <c r="U238" s="2" t="s">
        <v>46</v>
      </c>
    </row>
    <row r="239">
      <c r="A239" s="2">
        <v>238.0</v>
      </c>
      <c r="B239" s="2">
        <v>238.0</v>
      </c>
      <c r="C239" s="2">
        <v>238.0</v>
      </c>
      <c r="D239" s="3">
        <v>44261.0</v>
      </c>
      <c r="E239" s="2" t="s">
        <v>1693</v>
      </c>
      <c r="F239" s="2" t="s">
        <v>97</v>
      </c>
      <c r="G239" s="2">
        <v>711.07</v>
      </c>
      <c r="H239" s="2" t="s">
        <v>1694</v>
      </c>
      <c r="I239" s="2" t="s">
        <v>1695</v>
      </c>
      <c r="J239" s="2" t="s">
        <v>1696</v>
      </c>
      <c r="K239" s="2" t="s">
        <v>1697</v>
      </c>
      <c r="L239" s="2">
        <v>1191.0</v>
      </c>
      <c r="M239" s="2">
        <v>62.0</v>
      </c>
      <c r="N239" s="2">
        <v>553.27</v>
      </c>
      <c r="O239" s="2" t="s">
        <v>28</v>
      </c>
      <c r="P239" s="2" t="s">
        <v>1698</v>
      </c>
      <c r="Q239" s="2" t="s">
        <v>1699</v>
      </c>
      <c r="R239" s="2" t="s">
        <v>1700</v>
      </c>
      <c r="S239" s="2" t="s">
        <v>1701</v>
      </c>
      <c r="T239" s="2" t="s">
        <v>127</v>
      </c>
      <c r="U239" s="2" t="s">
        <v>46</v>
      </c>
    </row>
    <row r="240">
      <c r="A240" s="2">
        <v>239.0</v>
      </c>
      <c r="B240" s="2">
        <v>239.0</v>
      </c>
      <c r="C240" s="2">
        <v>239.0</v>
      </c>
      <c r="D240" s="3">
        <v>44285.0</v>
      </c>
      <c r="E240" s="2" t="s">
        <v>1702</v>
      </c>
      <c r="F240" s="2" t="s">
        <v>183</v>
      </c>
      <c r="G240" s="2">
        <v>138.42</v>
      </c>
      <c r="H240" s="2" t="s">
        <v>1703</v>
      </c>
      <c r="I240" s="2" t="s">
        <v>1704</v>
      </c>
      <c r="J240" s="2" t="s">
        <v>1705</v>
      </c>
      <c r="K240" s="2" t="s">
        <v>292</v>
      </c>
      <c r="M240" s="2">
        <v>66.0</v>
      </c>
      <c r="N240" s="2">
        <v>2468.95</v>
      </c>
      <c r="O240" s="2" t="s">
        <v>41</v>
      </c>
      <c r="P240" s="2" t="s">
        <v>1706</v>
      </c>
      <c r="Q240" s="2" t="s">
        <v>1707</v>
      </c>
      <c r="T240" s="2" t="s">
        <v>1708</v>
      </c>
      <c r="U240" s="2" t="s">
        <v>71</v>
      </c>
    </row>
    <row r="241">
      <c r="A241" s="2">
        <v>240.0</v>
      </c>
      <c r="B241" s="2">
        <v>240.0</v>
      </c>
      <c r="C241" s="2">
        <v>240.0</v>
      </c>
      <c r="D241" s="3">
        <v>43889.0</v>
      </c>
      <c r="E241" s="2" t="s">
        <v>1709</v>
      </c>
      <c r="F241" s="2" t="s">
        <v>567</v>
      </c>
      <c r="G241" s="2">
        <v>746.55</v>
      </c>
      <c r="H241" s="2" t="s">
        <v>1710</v>
      </c>
      <c r="I241" s="2" t="s">
        <v>1711</v>
      </c>
      <c r="J241" s="2" t="s">
        <v>1712</v>
      </c>
      <c r="K241" s="2" t="s">
        <v>1473</v>
      </c>
      <c r="M241" s="2">
        <v>79.0</v>
      </c>
      <c r="N241" s="2">
        <v>7010.97</v>
      </c>
      <c r="O241" s="2" t="s">
        <v>41</v>
      </c>
      <c r="P241" s="2" t="s">
        <v>1713</v>
      </c>
      <c r="Q241" s="2" t="s">
        <v>1714</v>
      </c>
      <c r="T241" s="2" t="s">
        <v>32</v>
      </c>
      <c r="U241" s="2" t="s">
        <v>46</v>
      </c>
    </row>
    <row r="242">
      <c r="A242" s="2">
        <v>241.0</v>
      </c>
      <c r="B242" s="2">
        <v>241.0</v>
      </c>
      <c r="C242" s="2">
        <v>241.0</v>
      </c>
      <c r="D242" s="3">
        <v>44009.0</v>
      </c>
      <c r="E242" s="2" t="s">
        <v>1715</v>
      </c>
      <c r="F242" s="2" t="s">
        <v>73</v>
      </c>
      <c r="G242" s="2">
        <v>672.45</v>
      </c>
      <c r="H242" s="2" t="s">
        <v>1716</v>
      </c>
      <c r="I242" s="2" t="s">
        <v>1717</v>
      </c>
      <c r="J242" s="2" t="s">
        <v>1718</v>
      </c>
      <c r="K242" s="2" t="s">
        <v>119</v>
      </c>
      <c r="M242" s="2">
        <v>87.0</v>
      </c>
      <c r="N242" s="2">
        <v>2214.55</v>
      </c>
      <c r="O242" s="2" t="s">
        <v>28</v>
      </c>
      <c r="P242" s="2" t="s">
        <v>840</v>
      </c>
      <c r="Q242" s="2" t="s">
        <v>1719</v>
      </c>
      <c r="T242" s="2" t="s">
        <v>32</v>
      </c>
      <c r="U242" s="2" t="s">
        <v>71</v>
      </c>
    </row>
    <row r="243">
      <c r="A243" s="2">
        <v>242.0</v>
      </c>
      <c r="B243" s="2">
        <v>242.0</v>
      </c>
      <c r="C243" s="2">
        <v>242.0</v>
      </c>
      <c r="D243" s="3">
        <v>43974.0</v>
      </c>
      <c r="E243" s="2" t="s">
        <v>1720</v>
      </c>
      <c r="F243" s="2" t="s">
        <v>230</v>
      </c>
      <c r="G243" s="2">
        <v>193.66</v>
      </c>
      <c r="H243" s="2" t="s">
        <v>1721</v>
      </c>
      <c r="I243" s="2" t="s">
        <v>1722</v>
      </c>
      <c r="J243" s="2" t="s">
        <v>1723</v>
      </c>
      <c r="K243" s="2" t="s">
        <v>101</v>
      </c>
      <c r="L243" s="2">
        <v>44485.0</v>
      </c>
      <c r="M243" s="2">
        <v>20.0</v>
      </c>
      <c r="N243" s="2">
        <v>9634.93</v>
      </c>
      <c r="O243" s="2" t="s">
        <v>41</v>
      </c>
      <c r="P243" s="2" t="s">
        <v>1724</v>
      </c>
      <c r="Q243" s="2" t="s">
        <v>1725</v>
      </c>
      <c r="R243" s="2" t="s">
        <v>1726</v>
      </c>
      <c r="T243" s="2" t="s">
        <v>146</v>
      </c>
      <c r="U243" s="2" t="s">
        <v>46</v>
      </c>
    </row>
    <row r="244">
      <c r="A244" s="2">
        <v>243.0</v>
      </c>
      <c r="B244" s="2">
        <v>243.0</v>
      </c>
      <c r="C244" s="2">
        <v>243.0</v>
      </c>
      <c r="D244" s="3">
        <v>44107.0</v>
      </c>
      <c r="E244" s="2" t="s">
        <v>1727</v>
      </c>
      <c r="F244" s="2" t="s">
        <v>1046</v>
      </c>
      <c r="G244" s="2">
        <v>634.32</v>
      </c>
      <c r="H244" s="2" t="s">
        <v>1728</v>
      </c>
      <c r="I244" s="2" t="s">
        <v>1729</v>
      </c>
      <c r="J244" s="2" t="s">
        <v>1730</v>
      </c>
      <c r="K244" s="2" t="s">
        <v>131</v>
      </c>
      <c r="L244" s="2">
        <v>6539.0</v>
      </c>
      <c r="M244" s="2">
        <v>65.0</v>
      </c>
      <c r="N244" s="2">
        <v>498.42</v>
      </c>
      <c r="O244" s="2" t="s">
        <v>41</v>
      </c>
      <c r="P244" s="2" t="s">
        <v>1731</v>
      </c>
      <c r="Q244" s="2" t="s">
        <v>1732</v>
      </c>
      <c r="R244" s="2" t="s">
        <v>1733</v>
      </c>
      <c r="S244" s="2" t="s">
        <v>1734</v>
      </c>
      <c r="T244" s="2" t="s">
        <v>39</v>
      </c>
      <c r="U244" s="2" t="s">
        <v>71</v>
      </c>
    </row>
    <row r="245">
      <c r="A245" s="2">
        <v>244.0</v>
      </c>
      <c r="B245" s="2">
        <v>244.0</v>
      </c>
      <c r="C245" s="2">
        <v>244.0</v>
      </c>
      <c r="D245" s="3">
        <v>43991.0</v>
      </c>
      <c r="E245" s="2" t="s">
        <v>1735</v>
      </c>
      <c r="F245" s="2" t="s">
        <v>237</v>
      </c>
      <c r="G245" s="2">
        <v>874.75</v>
      </c>
      <c r="H245" s="2" t="s">
        <v>1736</v>
      </c>
      <c r="I245" s="2" t="s">
        <v>1737</v>
      </c>
      <c r="J245" s="2" t="s">
        <v>1738</v>
      </c>
      <c r="K245" s="2" t="s">
        <v>1380</v>
      </c>
      <c r="M245" s="2">
        <v>51.0</v>
      </c>
      <c r="N245" s="2">
        <v>8334.42</v>
      </c>
      <c r="O245" s="2" t="s">
        <v>52</v>
      </c>
      <c r="P245" s="2" t="s">
        <v>1739</v>
      </c>
      <c r="Q245" s="2" t="s">
        <v>1740</v>
      </c>
      <c r="T245" s="2" t="s">
        <v>77</v>
      </c>
      <c r="U245" s="2" t="s">
        <v>33</v>
      </c>
    </row>
    <row r="246">
      <c r="A246" s="2">
        <v>245.0</v>
      </c>
      <c r="B246" s="2">
        <v>245.0</v>
      </c>
      <c r="C246" s="2">
        <v>245.0</v>
      </c>
      <c r="D246" s="3">
        <v>43920.0</v>
      </c>
      <c r="E246" s="2" t="s">
        <v>1741</v>
      </c>
      <c r="F246" s="2" t="s">
        <v>1046</v>
      </c>
      <c r="G246" s="2">
        <v>986.42</v>
      </c>
      <c r="H246" s="2" t="s">
        <v>1742</v>
      </c>
      <c r="I246" s="2" t="s">
        <v>1743</v>
      </c>
      <c r="J246" s="2" t="s">
        <v>1744</v>
      </c>
      <c r="K246" s="2" t="s">
        <v>127</v>
      </c>
      <c r="L246" s="2" t="s">
        <v>1745</v>
      </c>
      <c r="M246" s="2">
        <v>75.0</v>
      </c>
      <c r="N246" s="2">
        <v>2929.18</v>
      </c>
      <c r="O246" s="2" t="s">
        <v>41</v>
      </c>
      <c r="P246" s="2" t="s">
        <v>1746</v>
      </c>
      <c r="Q246" s="2" t="s">
        <v>1747</v>
      </c>
      <c r="S246" s="2" t="s">
        <v>1748</v>
      </c>
      <c r="T246" s="2" t="s">
        <v>163</v>
      </c>
      <c r="U246" s="2" t="s">
        <v>71</v>
      </c>
    </row>
    <row r="247">
      <c r="A247" s="2">
        <v>246.0</v>
      </c>
      <c r="B247" s="2">
        <v>246.0</v>
      </c>
      <c r="C247" s="2">
        <v>246.0</v>
      </c>
      <c r="D247" s="3">
        <v>44049.0</v>
      </c>
      <c r="E247" s="2" t="s">
        <v>1749</v>
      </c>
      <c r="F247" s="2" t="s">
        <v>73</v>
      </c>
      <c r="G247" s="2">
        <v>286.5</v>
      </c>
      <c r="H247" s="2" t="s">
        <v>1750</v>
      </c>
      <c r="I247" s="2" t="s">
        <v>1751</v>
      </c>
      <c r="J247" s="2" t="s">
        <v>1752</v>
      </c>
      <c r="K247" s="2" t="s">
        <v>26</v>
      </c>
      <c r="L247" s="2" t="s">
        <v>1753</v>
      </c>
      <c r="M247" s="2">
        <v>77.0</v>
      </c>
      <c r="N247" s="2">
        <v>9863.18</v>
      </c>
      <c r="O247" s="2" t="s">
        <v>52</v>
      </c>
      <c r="P247" s="2" t="s">
        <v>1754</v>
      </c>
      <c r="Q247" s="2" t="s">
        <v>1755</v>
      </c>
      <c r="R247" s="2" t="s">
        <v>1756</v>
      </c>
      <c r="T247" s="2" t="s">
        <v>1757</v>
      </c>
      <c r="U247" s="2" t="s">
        <v>46</v>
      </c>
    </row>
    <row r="248">
      <c r="A248" s="2">
        <v>247.0</v>
      </c>
      <c r="B248" s="2">
        <v>247.0</v>
      </c>
      <c r="C248" s="2">
        <v>247.0</v>
      </c>
      <c r="D248" s="3">
        <v>44425.0</v>
      </c>
      <c r="E248" s="2" t="s">
        <v>1758</v>
      </c>
      <c r="F248" s="2" t="s">
        <v>342</v>
      </c>
      <c r="G248" s="2">
        <v>628.47</v>
      </c>
      <c r="H248" s="2" t="s">
        <v>1759</v>
      </c>
      <c r="I248" s="2" t="s">
        <v>1760</v>
      </c>
      <c r="J248" s="2" t="s">
        <v>1761</v>
      </c>
      <c r="K248" s="2" t="s">
        <v>32</v>
      </c>
      <c r="M248" s="2">
        <v>17.0</v>
      </c>
      <c r="N248" s="2">
        <v>2191.97</v>
      </c>
      <c r="O248" s="2" t="s">
        <v>41</v>
      </c>
      <c r="P248" s="2" t="s">
        <v>543</v>
      </c>
      <c r="Q248" s="2" t="s">
        <v>1762</v>
      </c>
      <c r="S248" s="2" t="s">
        <v>1763</v>
      </c>
      <c r="T248" s="2" t="s">
        <v>257</v>
      </c>
      <c r="U248" s="2" t="s">
        <v>71</v>
      </c>
    </row>
    <row r="249">
      <c r="A249" s="2">
        <v>248.0</v>
      </c>
      <c r="B249" s="2">
        <v>248.0</v>
      </c>
      <c r="C249" s="2">
        <v>248.0</v>
      </c>
      <c r="D249" s="3">
        <v>44002.0</v>
      </c>
      <c r="E249" s="2" t="s">
        <v>1764</v>
      </c>
      <c r="F249" s="2" t="s">
        <v>73</v>
      </c>
      <c r="G249" s="2">
        <v>521.28</v>
      </c>
      <c r="H249" s="2" t="s">
        <v>1765</v>
      </c>
      <c r="I249" s="2" t="s">
        <v>1766</v>
      </c>
      <c r="J249" s="2" t="s">
        <v>1767</v>
      </c>
      <c r="K249" s="2" t="s">
        <v>217</v>
      </c>
      <c r="L249" s="2">
        <v>51000.0</v>
      </c>
      <c r="M249" s="2">
        <v>91.0</v>
      </c>
      <c r="N249" s="2">
        <v>9573.63</v>
      </c>
      <c r="O249" s="2" t="s">
        <v>28</v>
      </c>
      <c r="P249" s="2" t="s">
        <v>321</v>
      </c>
      <c r="Q249" s="2" t="s">
        <v>1768</v>
      </c>
      <c r="T249" s="2" t="s">
        <v>119</v>
      </c>
      <c r="U249" s="2" t="s">
        <v>46</v>
      </c>
    </row>
    <row r="250">
      <c r="A250" s="2">
        <v>249.0</v>
      </c>
      <c r="B250" s="2">
        <v>249.0</v>
      </c>
      <c r="C250" s="2">
        <v>249.0</v>
      </c>
      <c r="D250" s="3">
        <v>44283.0</v>
      </c>
      <c r="E250" s="2" t="s">
        <v>1769</v>
      </c>
      <c r="F250" s="2" t="s">
        <v>310</v>
      </c>
      <c r="G250" s="2">
        <v>181.67</v>
      </c>
      <c r="H250" s="2" t="s">
        <v>1770</v>
      </c>
      <c r="I250" s="2" t="s">
        <v>1771</v>
      </c>
      <c r="J250" s="2" t="s">
        <v>1772</v>
      </c>
      <c r="K250" s="2" t="s">
        <v>1660</v>
      </c>
      <c r="L250" s="2" t="s">
        <v>1773</v>
      </c>
      <c r="M250" s="2">
        <v>50.0</v>
      </c>
      <c r="N250" s="2">
        <v>7615.86</v>
      </c>
      <c r="O250" s="2" t="s">
        <v>28</v>
      </c>
      <c r="P250" s="2" t="s">
        <v>1774</v>
      </c>
      <c r="Q250" s="2" t="s">
        <v>1775</v>
      </c>
      <c r="S250" s="2">
        <v>56568.0</v>
      </c>
      <c r="T250" s="2" t="s">
        <v>529</v>
      </c>
      <c r="U250" s="2" t="s">
        <v>33</v>
      </c>
    </row>
    <row r="251">
      <c r="A251" s="2">
        <v>250.0</v>
      </c>
      <c r="B251" s="2">
        <v>250.0</v>
      </c>
      <c r="C251" s="2">
        <v>250.0</v>
      </c>
      <c r="D251" s="3">
        <v>44481.0</v>
      </c>
      <c r="E251" s="2" t="s">
        <v>1776</v>
      </c>
      <c r="F251" s="2" t="s">
        <v>22</v>
      </c>
      <c r="G251" s="2">
        <v>228.77</v>
      </c>
      <c r="H251" s="2" t="s">
        <v>1777</v>
      </c>
      <c r="I251" s="2" t="s">
        <v>1778</v>
      </c>
      <c r="J251" s="2" t="s">
        <v>1779</v>
      </c>
      <c r="K251" s="2" t="s">
        <v>32</v>
      </c>
      <c r="M251" s="2">
        <v>83.0</v>
      </c>
      <c r="N251" s="2">
        <v>7725.92</v>
      </c>
      <c r="O251" s="2" t="s">
        <v>52</v>
      </c>
      <c r="P251" s="2" t="s">
        <v>1780</v>
      </c>
      <c r="Q251" s="2" t="s">
        <v>1781</v>
      </c>
      <c r="S251" s="2">
        <v>79171.0</v>
      </c>
      <c r="T251" s="2" t="s">
        <v>101</v>
      </c>
      <c r="U251" s="2" t="s">
        <v>71</v>
      </c>
    </row>
    <row r="252">
      <c r="A252" s="2">
        <v>251.0</v>
      </c>
      <c r="B252" s="2">
        <v>251.0</v>
      </c>
      <c r="C252" s="2">
        <v>251.0</v>
      </c>
      <c r="D252" s="3">
        <v>44343.0</v>
      </c>
      <c r="E252" s="2" t="s">
        <v>1782</v>
      </c>
      <c r="F252" s="2" t="s">
        <v>73</v>
      </c>
      <c r="G252" s="2">
        <v>983.34</v>
      </c>
      <c r="H252" s="2" t="s">
        <v>1783</v>
      </c>
      <c r="I252" s="2" t="s">
        <v>1784</v>
      </c>
      <c r="J252" s="2" t="s">
        <v>1785</v>
      </c>
      <c r="K252" s="2" t="s">
        <v>241</v>
      </c>
      <c r="L252" s="2">
        <v>6545.0</v>
      </c>
      <c r="M252" s="2">
        <v>79.0</v>
      </c>
      <c r="N252" s="2">
        <v>7845.5</v>
      </c>
      <c r="O252" s="2" t="s">
        <v>28</v>
      </c>
      <c r="P252" s="2" t="s">
        <v>1786</v>
      </c>
      <c r="Q252" s="2" t="s">
        <v>1787</v>
      </c>
      <c r="T252" s="2" t="s">
        <v>77</v>
      </c>
      <c r="U252" s="2" t="s">
        <v>46</v>
      </c>
    </row>
    <row r="253">
      <c r="A253" s="2">
        <v>252.0</v>
      </c>
      <c r="B253" s="2">
        <v>252.0</v>
      </c>
      <c r="C253" s="2">
        <v>252.0</v>
      </c>
      <c r="D253" s="3">
        <v>43912.0</v>
      </c>
      <c r="E253" s="2" t="s">
        <v>1788</v>
      </c>
      <c r="F253" s="2" t="s">
        <v>35</v>
      </c>
      <c r="G253" s="2">
        <v>688.99</v>
      </c>
      <c r="H253" s="2" t="s">
        <v>1789</v>
      </c>
      <c r="I253" s="2" t="s">
        <v>1790</v>
      </c>
      <c r="J253" s="2" t="s">
        <v>1791</v>
      </c>
      <c r="K253" s="2" t="s">
        <v>714</v>
      </c>
      <c r="M253" s="2">
        <v>76.0</v>
      </c>
      <c r="N253" s="2">
        <v>5442.2</v>
      </c>
      <c r="O253" s="2" t="s">
        <v>28</v>
      </c>
      <c r="P253" s="2" t="s">
        <v>1470</v>
      </c>
      <c r="Q253" s="2" t="s">
        <v>1792</v>
      </c>
      <c r="S253" s="2" t="s">
        <v>645</v>
      </c>
      <c r="T253" s="2" t="s">
        <v>114</v>
      </c>
      <c r="U253" s="2" t="s">
        <v>71</v>
      </c>
    </row>
    <row r="254">
      <c r="A254" s="2">
        <v>253.0</v>
      </c>
      <c r="B254" s="2">
        <v>253.0</v>
      </c>
      <c r="C254" s="2">
        <v>253.0</v>
      </c>
      <c r="D254" s="3">
        <v>44118.0</v>
      </c>
      <c r="E254" s="2" t="s">
        <v>1793</v>
      </c>
      <c r="F254" s="2" t="s">
        <v>165</v>
      </c>
      <c r="G254" s="2">
        <v>185.27</v>
      </c>
      <c r="H254" s="2" t="s">
        <v>414</v>
      </c>
      <c r="I254" s="2" t="s">
        <v>1794</v>
      </c>
      <c r="J254" s="2" t="s">
        <v>1795</v>
      </c>
      <c r="K254" s="2" t="s">
        <v>119</v>
      </c>
      <c r="M254" s="2">
        <v>63.0</v>
      </c>
      <c r="N254" s="2">
        <v>6259.13</v>
      </c>
      <c r="O254" s="2" t="s">
        <v>41</v>
      </c>
      <c r="P254" s="2" t="s">
        <v>840</v>
      </c>
      <c r="Q254" s="2" t="s">
        <v>1796</v>
      </c>
      <c r="S254" s="2">
        <v>57810.0</v>
      </c>
      <c r="T254" s="2" t="s">
        <v>885</v>
      </c>
      <c r="U254" s="2" t="s">
        <v>71</v>
      </c>
    </row>
    <row r="255">
      <c r="A255" s="2">
        <v>254.0</v>
      </c>
      <c r="B255" s="2">
        <v>254.0</v>
      </c>
      <c r="C255" s="2">
        <v>254.0</v>
      </c>
      <c r="D255" s="3">
        <v>43948.0</v>
      </c>
      <c r="E255" s="2" t="s">
        <v>1797</v>
      </c>
      <c r="F255" s="2" t="s">
        <v>662</v>
      </c>
      <c r="G255" s="2">
        <v>655.95</v>
      </c>
      <c r="H255" s="2" t="s">
        <v>1798</v>
      </c>
      <c r="I255" s="2" t="s">
        <v>1799</v>
      </c>
      <c r="J255" s="2" t="s">
        <v>1800</v>
      </c>
      <c r="K255" s="2" t="s">
        <v>39</v>
      </c>
      <c r="L255" s="2" t="s">
        <v>1801</v>
      </c>
      <c r="M255" s="2">
        <v>48.0</v>
      </c>
      <c r="N255" s="2">
        <v>8859.0</v>
      </c>
      <c r="O255" s="2" t="s">
        <v>41</v>
      </c>
      <c r="P255" s="2" t="s">
        <v>1802</v>
      </c>
      <c r="Q255" s="2" t="s">
        <v>470</v>
      </c>
      <c r="R255" s="2" t="s">
        <v>470</v>
      </c>
      <c r="T255" s="2" t="s">
        <v>119</v>
      </c>
      <c r="U255" s="2" t="s">
        <v>71</v>
      </c>
    </row>
    <row r="256">
      <c r="A256" s="2">
        <v>255.0</v>
      </c>
      <c r="B256" s="2">
        <v>255.0</v>
      </c>
      <c r="C256" s="2">
        <v>255.0</v>
      </c>
      <c r="D256" s="3">
        <v>43965.0</v>
      </c>
      <c r="E256" s="2" t="s">
        <v>494</v>
      </c>
      <c r="F256" s="2" t="s">
        <v>183</v>
      </c>
      <c r="G256" s="2">
        <v>282.77</v>
      </c>
      <c r="H256" s="2" t="s">
        <v>1803</v>
      </c>
      <c r="I256" s="2" t="s">
        <v>1804</v>
      </c>
      <c r="J256" s="2" t="s">
        <v>1805</v>
      </c>
      <c r="K256" s="2" t="s">
        <v>819</v>
      </c>
      <c r="L256" s="2">
        <v>526529.0</v>
      </c>
      <c r="M256" s="2">
        <v>49.0</v>
      </c>
      <c r="N256" s="2">
        <v>3773.55</v>
      </c>
      <c r="O256" s="2" t="s">
        <v>52</v>
      </c>
      <c r="P256" s="2" t="s">
        <v>1806</v>
      </c>
      <c r="Q256" s="2" t="s">
        <v>1807</v>
      </c>
      <c r="T256" s="2" t="s">
        <v>32</v>
      </c>
      <c r="U256" s="2" t="s">
        <v>46</v>
      </c>
    </row>
    <row r="257">
      <c r="A257" s="2">
        <v>256.0</v>
      </c>
      <c r="B257" s="2">
        <v>256.0</v>
      </c>
      <c r="C257" s="2">
        <v>256.0</v>
      </c>
      <c r="D257" s="3">
        <v>44133.0</v>
      </c>
      <c r="E257" s="2" t="s">
        <v>1808</v>
      </c>
      <c r="F257" s="2" t="s">
        <v>332</v>
      </c>
      <c r="G257" s="2">
        <v>726.1</v>
      </c>
      <c r="H257" s="2" t="s">
        <v>1809</v>
      </c>
      <c r="I257" s="2" t="s">
        <v>1810</v>
      </c>
      <c r="J257" s="2" t="s">
        <v>1811</v>
      </c>
      <c r="K257" s="2" t="s">
        <v>101</v>
      </c>
      <c r="L257" s="2">
        <v>33411.0</v>
      </c>
      <c r="M257" s="2">
        <v>59.0</v>
      </c>
      <c r="N257" s="2">
        <v>6120.98</v>
      </c>
      <c r="O257" s="2" t="s">
        <v>28</v>
      </c>
      <c r="P257" s="2" t="s">
        <v>1812</v>
      </c>
      <c r="Q257" s="2" t="s">
        <v>1813</v>
      </c>
      <c r="R257" s="2" t="s">
        <v>1814</v>
      </c>
      <c r="S257" s="2">
        <v>5204.0</v>
      </c>
      <c r="T257" s="2" t="s">
        <v>131</v>
      </c>
      <c r="U257" s="2" t="s">
        <v>71</v>
      </c>
    </row>
    <row r="258">
      <c r="A258" s="2">
        <v>257.0</v>
      </c>
      <c r="B258" s="2">
        <v>257.0</v>
      </c>
      <c r="C258" s="2">
        <v>257.0</v>
      </c>
      <c r="D258" s="3">
        <v>44543.0</v>
      </c>
      <c r="E258" s="2" t="s">
        <v>1815</v>
      </c>
      <c r="F258" s="2" t="s">
        <v>191</v>
      </c>
      <c r="G258" s="2">
        <v>457.74</v>
      </c>
      <c r="H258" s="2" t="s">
        <v>1816</v>
      </c>
      <c r="I258" s="2" t="s">
        <v>1817</v>
      </c>
      <c r="J258" s="2" t="s">
        <v>1818</v>
      </c>
      <c r="K258" s="2" t="s">
        <v>68</v>
      </c>
      <c r="L258" s="2">
        <v>187642.0</v>
      </c>
      <c r="M258" s="2">
        <v>41.0</v>
      </c>
      <c r="N258" s="2">
        <v>973.91</v>
      </c>
      <c r="O258" s="2" t="s">
        <v>41</v>
      </c>
      <c r="P258" s="2" t="s">
        <v>1819</v>
      </c>
      <c r="Q258" s="2" t="s">
        <v>1820</v>
      </c>
      <c r="S258" s="2" t="s">
        <v>1821</v>
      </c>
      <c r="T258" s="2" t="s">
        <v>114</v>
      </c>
      <c r="U258" s="2" t="s">
        <v>71</v>
      </c>
    </row>
    <row r="259">
      <c r="A259" s="2">
        <v>258.0</v>
      </c>
      <c r="B259" s="2">
        <v>258.0</v>
      </c>
      <c r="C259" s="2">
        <v>258.0</v>
      </c>
      <c r="D259" s="3">
        <v>44167.0</v>
      </c>
      <c r="E259" s="2" t="s">
        <v>1822</v>
      </c>
      <c r="F259" s="2" t="s">
        <v>97</v>
      </c>
      <c r="G259" s="2">
        <v>406.91</v>
      </c>
      <c r="H259" s="2" t="s">
        <v>1823</v>
      </c>
      <c r="I259" s="2" t="s">
        <v>1824</v>
      </c>
      <c r="J259" s="2" t="s">
        <v>1825</v>
      </c>
      <c r="K259" s="2" t="s">
        <v>1826</v>
      </c>
      <c r="M259" s="2">
        <v>34.0</v>
      </c>
      <c r="N259" s="2">
        <v>4748.66</v>
      </c>
      <c r="O259" s="2" t="s">
        <v>41</v>
      </c>
      <c r="P259" s="2" t="s">
        <v>1827</v>
      </c>
      <c r="Q259" s="2" t="s">
        <v>1828</v>
      </c>
      <c r="T259" s="2" t="s">
        <v>1826</v>
      </c>
      <c r="U259" s="2" t="s">
        <v>33</v>
      </c>
    </row>
    <row r="260">
      <c r="A260" s="2">
        <v>259.0</v>
      </c>
      <c r="B260" s="2">
        <v>259.0</v>
      </c>
      <c r="C260" s="2">
        <v>259.0</v>
      </c>
      <c r="D260" s="3">
        <v>44002.0</v>
      </c>
      <c r="E260" s="2" t="s">
        <v>1829</v>
      </c>
      <c r="F260" s="2" t="s">
        <v>800</v>
      </c>
      <c r="G260" s="2">
        <v>551.04</v>
      </c>
      <c r="H260" s="2" t="s">
        <v>1830</v>
      </c>
      <c r="I260" s="2" t="s">
        <v>1831</v>
      </c>
      <c r="J260" s="2" t="s">
        <v>1832</v>
      </c>
      <c r="K260" s="2" t="s">
        <v>68</v>
      </c>
      <c r="L260" s="2">
        <v>385741.0</v>
      </c>
      <c r="M260" s="2">
        <v>39.0</v>
      </c>
      <c r="N260" s="2">
        <v>8665.04</v>
      </c>
      <c r="O260" s="2" t="s">
        <v>28</v>
      </c>
      <c r="P260" s="2" t="s">
        <v>996</v>
      </c>
      <c r="Q260" s="2" t="s">
        <v>1833</v>
      </c>
      <c r="T260" s="2" t="s">
        <v>292</v>
      </c>
      <c r="U260" s="2" t="s">
        <v>46</v>
      </c>
    </row>
    <row r="261">
      <c r="A261" s="2">
        <v>260.0</v>
      </c>
      <c r="B261" s="2">
        <v>260.0</v>
      </c>
      <c r="C261" s="2">
        <v>260.0</v>
      </c>
      <c r="D261" s="3">
        <v>43910.0</v>
      </c>
      <c r="E261" s="2" t="s">
        <v>1834</v>
      </c>
      <c r="F261" s="2" t="s">
        <v>191</v>
      </c>
      <c r="G261" s="2">
        <v>846.02</v>
      </c>
      <c r="H261" s="2" t="s">
        <v>1835</v>
      </c>
      <c r="I261" s="2" t="s">
        <v>1836</v>
      </c>
      <c r="J261" s="2" t="s">
        <v>1837</v>
      </c>
      <c r="K261" s="2" t="s">
        <v>32</v>
      </c>
      <c r="M261" s="2">
        <v>36.0</v>
      </c>
      <c r="N261" s="2">
        <v>7849.79</v>
      </c>
      <c r="O261" s="2" t="s">
        <v>52</v>
      </c>
      <c r="P261" s="2" t="s">
        <v>1838</v>
      </c>
      <c r="Q261" s="2" t="s">
        <v>1839</v>
      </c>
      <c r="T261" s="2" t="s">
        <v>1840</v>
      </c>
      <c r="U261" s="2" t="s">
        <v>33</v>
      </c>
    </row>
    <row r="262">
      <c r="A262" s="2">
        <v>261.0</v>
      </c>
      <c r="B262" s="2">
        <v>261.0</v>
      </c>
      <c r="C262" s="2">
        <v>261.0</v>
      </c>
      <c r="D262" s="3">
        <v>44102.0</v>
      </c>
      <c r="E262" s="2" t="s">
        <v>1841</v>
      </c>
      <c r="F262" s="2" t="s">
        <v>73</v>
      </c>
      <c r="G262" s="2">
        <v>923.58</v>
      </c>
      <c r="H262" s="2" t="s">
        <v>1842</v>
      </c>
      <c r="I262" s="2" t="s">
        <v>1843</v>
      </c>
      <c r="J262" s="2" t="s">
        <v>1844</v>
      </c>
      <c r="K262" s="2" t="s">
        <v>119</v>
      </c>
      <c r="M262" s="2">
        <v>41.0</v>
      </c>
      <c r="N262" s="2">
        <v>3785.13</v>
      </c>
      <c r="O262" s="2" t="s">
        <v>41</v>
      </c>
      <c r="P262" s="2" t="s">
        <v>1845</v>
      </c>
      <c r="Q262" s="2" t="s">
        <v>1846</v>
      </c>
      <c r="S262" s="2">
        <v>96925.0</v>
      </c>
      <c r="T262" s="2" t="s">
        <v>1847</v>
      </c>
      <c r="U262" s="2" t="s">
        <v>33</v>
      </c>
    </row>
    <row r="263">
      <c r="A263" s="2">
        <v>262.0</v>
      </c>
      <c r="B263" s="2">
        <v>262.0</v>
      </c>
      <c r="C263" s="2">
        <v>262.0</v>
      </c>
      <c r="D263" s="3">
        <v>43976.0</v>
      </c>
      <c r="E263" s="2" t="s">
        <v>964</v>
      </c>
      <c r="F263" s="2" t="s">
        <v>965</v>
      </c>
      <c r="G263" s="2">
        <v>679.07</v>
      </c>
      <c r="H263" s="2" t="s">
        <v>1243</v>
      </c>
      <c r="I263" s="2" t="s">
        <v>1848</v>
      </c>
      <c r="J263" s="2" t="s">
        <v>1849</v>
      </c>
      <c r="K263" s="2" t="s">
        <v>114</v>
      </c>
      <c r="L263" s="2" t="s">
        <v>1850</v>
      </c>
      <c r="M263" s="2">
        <v>100.0</v>
      </c>
      <c r="N263" s="2">
        <v>4823.66</v>
      </c>
      <c r="O263" s="2" t="s">
        <v>28</v>
      </c>
      <c r="P263" s="2" t="s">
        <v>1851</v>
      </c>
      <c r="Q263" s="2" t="s">
        <v>1852</v>
      </c>
      <c r="T263" s="2" t="s">
        <v>32</v>
      </c>
      <c r="U263" s="2" t="s">
        <v>46</v>
      </c>
    </row>
    <row r="264">
      <c r="A264" s="2">
        <v>263.0</v>
      </c>
      <c r="B264" s="2">
        <v>263.0</v>
      </c>
      <c r="C264" s="2">
        <v>263.0</v>
      </c>
      <c r="D264" s="3">
        <v>44356.0</v>
      </c>
      <c r="E264" s="2" t="s">
        <v>1853</v>
      </c>
      <c r="F264" s="2" t="s">
        <v>97</v>
      </c>
      <c r="G264" s="2">
        <v>108.7</v>
      </c>
      <c r="H264" s="2" t="s">
        <v>1854</v>
      </c>
      <c r="I264" s="2" t="s">
        <v>1855</v>
      </c>
      <c r="J264" s="2" t="s">
        <v>1856</v>
      </c>
      <c r="K264" s="2" t="s">
        <v>1857</v>
      </c>
      <c r="M264" s="2">
        <v>15.0</v>
      </c>
      <c r="N264" s="2">
        <v>1184.52</v>
      </c>
      <c r="O264" s="2" t="s">
        <v>41</v>
      </c>
      <c r="P264" s="2" t="s">
        <v>1858</v>
      </c>
      <c r="Q264" s="2" t="s">
        <v>1859</v>
      </c>
      <c r="S264" s="2">
        <v>150208.0</v>
      </c>
      <c r="T264" s="2" t="s">
        <v>819</v>
      </c>
      <c r="U264" s="2" t="s">
        <v>46</v>
      </c>
    </row>
    <row r="265">
      <c r="A265" s="2">
        <v>264.0</v>
      </c>
      <c r="B265" s="2">
        <v>264.0</v>
      </c>
      <c r="C265" s="2">
        <v>264.0</v>
      </c>
      <c r="D265" s="3">
        <v>44452.0</v>
      </c>
      <c r="E265" s="2" t="s">
        <v>1860</v>
      </c>
      <c r="F265" s="2" t="s">
        <v>123</v>
      </c>
      <c r="G265" s="2">
        <v>938.48</v>
      </c>
      <c r="H265" s="2" t="s">
        <v>1861</v>
      </c>
      <c r="I265" s="2" t="s">
        <v>1862</v>
      </c>
      <c r="J265" s="2" t="s">
        <v>1863</v>
      </c>
      <c r="K265" s="2" t="s">
        <v>585</v>
      </c>
      <c r="M265" s="2">
        <v>46.0</v>
      </c>
      <c r="N265" s="2">
        <v>6336.26</v>
      </c>
      <c r="O265" s="2" t="s">
        <v>41</v>
      </c>
      <c r="P265" s="2" t="s">
        <v>469</v>
      </c>
      <c r="Q265" s="2" t="s">
        <v>1864</v>
      </c>
      <c r="S265" s="2">
        <v>44485.0</v>
      </c>
      <c r="T265" s="2" t="s">
        <v>101</v>
      </c>
      <c r="U265" s="2" t="s">
        <v>46</v>
      </c>
    </row>
    <row r="266">
      <c r="A266" s="2">
        <v>265.0</v>
      </c>
      <c r="B266" s="2">
        <v>265.0</v>
      </c>
      <c r="C266" s="2">
        <v>265.0</v>
      </c>
      <c r="D266" s="3">
        <v>43964.0</v>
      </c>
      <c r="E266" s="2" t="s">
        <v>1865</v>
      </c>
      <c r="F266" s="2" t="s">
        <v>142</v>
      </c>
      <c r="G266" s="2">
        <v>688.33</v>
      </c>
      <c r="H266" s="2" t="s">
        <v>1866</v>
      </c>
      <c r="I266" s="2" t="s">
        <v>1867</v>
      </c>
      <c r="J266" s="2" t="s">
        <v>1868</v>
      </c>
      <c r="K266" s="2" t="s">
        <v>68</v>
      </c>
      <c r="L266" s="2">
        <v>356825.0</v>
      </c>
      <c r="M266" s="2">
        <v>5.0</v>
      </c>
      <c r="N266" s="2">
        <v>4737.74</v>
      </c>
      <c r="O266" s="2" t="s">
        <v>41</v>
      </c>
      <c r="P266" s="2" t="s">
        <v>1869</v>
      </c>
      <c r="Q266" s="2" t="s">
        <v>1870</v>
      </c>
      <c r="S266" s="2">
        <v>253017.0</v>
      </c>
      <c r="T266" s="2" t="s">
        <v>819</v>
      </c>
      <c r="U266" s="2" t="s">
        <v>46</v>
      </c>
    </row>
    <row r="267">
      <c r="A267" s="2">
        <v>266.0</v>
      </c>
      <c r="B267" s="2">
        <v>266.0</v>
      </c>
      <c r="C267" s="2">
        <v>266.0</v>
      </c>
      <c r="D267" s="3">
        <v>44283.0</v>
      </c>
      <c r="E267" s="2" t="s">
        <v>1871</v>
      </c>
      <c r="F267" s="2" t="s">
        <v>191</v>
      </c>
      <c r="G267" s="2">
        <v>724.18</v>
      </c>
      <c r="H267" s="2" t="s">
        <v>1872</v>
      </c>
      <c r="I267" s="2" t="s">
        <v>1873</v>
      </c>
      <c r="J267" s="2" t="s">
        <v>1874</v>
      </c>
      <c r="K267" s="2" t="s">
        <v>905</v>
      </c>
      <c r="L267" s="2">
        <v>70536.0</v>
      </c>
      <c r="M267" s="2">
        <v>41.0</v>
      </c>
      <c r="N267" s="2">
        <v>3418.45</v>
      </c>
      <c r="O267" s="2" t="s">
        <v>41</v>
      </c>
      <c r="P267" s="2" t="s">
        <v>1875</v>
      </c>
      <c r="Q267" s="2" t="s">
        <v>1876</v>
      </c>
      <c r="R267" s="2" t="s">
        <v>1877</v>
      </c>
      <c r="T267" s="2" t="s">
        <v>228</v>
      </c>
      <c r="U267" s="2" t="s">
        <v>33</v>
      </c>
    </row>
    <row r="268">
      <c r="A268" s="2">
        <v>267.0</v>
      </c>
      <c r="B268" s="2">
        <v>267.0</v>
      </c>
      <c r="C268" s="2">
        <v>267.0</v>
      </c>
      <c r="D268" s="3">
        <v>44346.0</v>
      </c>
      <c r="E268" s="2" t="s">
        <v>1878</v>
      </c>
      <c r="F268" s="2" t="s">
        <v>237</v>
      </c>
      <c r="G268" s="2">
        <v>286.53</v>
      </c>
      <c r="H268" s="2" t="s">
        <v>1879</v>
      </c>
      <c r="I268" s="2" t="s">
        <v>1880</v>
      </c>
      <c r="J268" s="2" t="s">
        <v>1881</v>
      </c>
      <c r="K268" s="2" t="s">
        <v>1882</v>
      </c>
      <c r="M268" s="2">
        <v>86.0</v>
      </c>
      <c r="N268" s="2">
        <v>3200.67</v>
      </c>
      <c r="O268" s="2" t="s">
        <v>28</v>
      </c>
      <c r="P268" s="2" t="s">
        <v>1883</v>
      </c>
      <c r="Q268" s="2" t="s">
        <v>1884</v>
      </c>
      <c r="S268" s="2" t="s">
        <v>346</v>
      </c>
      <c r="T268" s="2" t="s">
        <v>257</v>
      </c>
      <c r="U268" s="2" t="s">
        <v>71</v>
      </c>
    </row>
    <row r="269">
      <c r="A269" s="2">
        <v>268.0</v>
      </c>
      <c r="B269" s="2">
        <v>268.0</v>
      </c>
      <c r="C269" s="2">
        <v>268.0</v>
      </c>
      <c r="D269" s="3">
        <v>43840.0</v>
      </c>
      <c r="E269" s="2" t="s">
        <v>1885</v>
      </c>
      <c r="F269" s="2" t="s">
        <v>35</v>
      </c>
      <c r="G269" s="2">
        <v>339.89</v>
      </c>
      <c r="H269" s="2" t="s">
        <v>1886</v>
      </c>
      <c r="I269" s="2" t="s">
        <v>1887</v>
      </c>
      <c r="J269" s="2" t="s">
        <v>1888</v>
      </c>
      <c r="K269" s="2" t="s">
        <v>32</v>
      </c>
      <c r="M269" s="2">
        <v>81.0</v>
      </c>
      <c r="N269" s="2">
        <v>8624.19</v>
      </c>
      <c r="O269" s="2" t="s">
        <v>28</v>
      </c>
      <c r="P269" s="2" t="s">
        <v>1889</v>
      </c>
      <c r="Q269" s="2" t="s">
        <v>1890</v>
      </c>
      <c r="S269" s="2">
        <v>665259.0</v>
      </c>
      <c r="T269" s="2" t="s">
        <v>68</v>
      </c>
      <c r="U269" s="2" t="s">
        <v>46</v>
      </c>
    </row>
    <row r="270">
      <c r="A270" s="2">
        <v>269.0</v>
      </c>
      <c r="B270" s="2">
        <v>269.0</v>
      </c>
      <c r="C270" s="2">
        <v>269.0</v>
      </c>
      <c r="D270" s="3">
        <v>44537.0</v>
      </c>
      <c r="E270" s="2" t="s">
        <v>1891</v>
      </c>
      <c r="F270" s="2" t="s">
        <v>142</v>
      </c>
      <c r="G270" s="2">
        <v>661.29</v>
      </c>
      <c r="H270" s="2" t="s">
        <v>1892</v>
      </c>
      <c r="I270" s="2" t="s">
        <v>1893</v>
      </c>
      <c r="J270" s="2" t="s">
        <v>1894</v>
      </c>
      <c r="K270" s="2" t="s">
        <v>1895</v>
      </c>
      <c r="L270" s="2">
        <v>4228.0</v>
      </c>
      <c r="M270" s="2">
        <v>80.0</v>
      </c>
      <c r="N270" s="2">
        <v>3105.16</v>
      </c>
      <c r="O270" s="2" t="s">
        <v>52</v>
      </c>
      <c r="P270" s="2" t="s">
        <v>202</v>
      </c>
      <c r="Q270" s="2" t="s">
        <v>1896</v>
      </c>
      <c r="S270" s="2" t="s">
        <v>1897</v>
      </c>
      <c r="T270" s="2" t="s">
        <v>257</v>
      </c>
      <c r="U270" s="2" t="s">
        <v>71</v>
      </c>
    </row>
    <row r="271">
      <c r="A271" s="2">
        <v>270.0</v>
      </c>
      <c r="B271" s="2">
        <v>270.0</v>
      </c>
      <c r="C271" s="2">
        <v>270.0</v>
      </c>
      <c r="D271" s="3">
        <v>44365.0</v>
      </c>
      <c r="E271" s="2" t="s">
        <v>1898</v>
      </c>
      <c r="F271" s="2" t="s">
        <v>342</v>
      </c>
      <c r="G271" s="2">
        <v>95.36</v>
      </c>
      <c r="H271" s="2" t="s">
        <v>1899</v>
      </c>
      <c r="I271" s="2" t="s">
        <v>1900</v>
      </c>
      <c r="J271" s="2" t="s">
        <v>1901</v>
      </c>
      <c r="K271" s="2" t="s">
        <v>32</v>
      </c>
      <c r="M271" s="2">
        <v>85.0</v>
      </c>
      <c r="N271" s="2">
        <v>986.28</v>
      </c>
      <c r="O271" s="2" t="s">
        <v>41</v>
      </c>
      <c r="P271" s="2" t="s">
        <v>1902</v>
      </c>
      <c r="Q271" s="2" t="s">
        <v>1903</v>
      </c>
      <c r="S271" s="2" t="s">
        <v>1904</v>
      </c>
      <c r="T271" s="2" t="s">
        <v>39</v>
      </c>
      <c r="U271" s="2" t="s">
        <v>71</v>
      </c>
    </row>
    <row r="272">
      <c r="A272" s="2">
        <v>271.0</v>
      </c>
      <c r="B272" s="2">
        <v>271.0</v>
      </c>
      <c r="C272" s="2">
        <v>271.0</v>
      </c>
      <c r="D272" s="3">
        <v>44384.0</v>
      </c>
      <c r="E272" s="2" t="s">
        <v>1410</v>
      </c>
      <c r="F272" s="2" t="s">
        <v>1411</v>
      </c>
      <c r="G272" s="2">
        <v>438.4</v>
      </c>
      <c r="H272" s="2" t="s">
        <v>1905</v>
      </c>
      <c r="I272" s="2" t="s">
        <v>1906</v>
      </c>
      <c r="J272" s="2" t="s">
        <v>1907</v>
      </c>
      <c r="K272" s="2" t="s">
        <v>1908</v>
      </c>
      <c r="M272" s="2">
        <v>96.0</v>
      </c>
      <c r="N272" s="2">
        <v>3348.48</v>
      </c>
      <c r="O272" s="2" t="s">
        <v>28</v>
      </c>
      <c r="P272" s="2" t="s">
        <v>1288</v>
      </c>
      <c r="Q272" s="2" t="s">
        <v>1909</v>
      </c>
      <c r="S272" s="2">
        <v>9303.0</v>
      </c>
      <c r="T272" s="2" t="s">
        <v>241</v>
      </c>
      <c r="U272" s="2" t="s">
        <v>46</v>
      </c>
    </row>
    <row r="273">
      <c r="A273" s="2">
        <v>272.0</v>
      </c>
      <c r="B273" s="2">
        <v>272.0</v>
      </c>
      <c r="C273" s="2">
        <v>272.0</v>
      </c>
      <c r="D273" s="3">
        <v>43945.0</v>
      </c>
      <c r="E273" s="2" t="s">
        <v>1910</v>
      </c>
      <c r="F273" s="2" t="s">
        <v>822</v>
      </c>
      <c r="G273" s="2">
        <v>485.15</v>
      </c>
      <c r="H273" s="2" t="s">
        <v>1703</v>
      </c>
      <c r="I273" s="2" t="s">
        <v>1911</v>
      </c>
      <c r="J273" s="2" t="s">
        <v>1912</v>
      </c>
      <c r="K273" s="2" t="s">
        <v>453</v>
      </c>
      <c r="L273" s="2">
        <v>614.0</v>
      </c>
      <c r="M273" s="2">
        <v>13.0</v>
      </c>
      <c r="N273" s="2">
        <v>476.66</v>
      </c>
      <c r="O273" s="2" t="s">
        <v>52</v>
      </c>
      <c r="P273" s="2" t="s">
        <v>1913</v>
      </c>
      <c r="Q273" s="2" t="s">
        <v>455</v>
      </c>
      <c r="R273" s="2" t="s">
        <v>455</v>
      </c>
      <c r="S273" s="2" t="s">
        <v>1914</v>
      </c>
      <c r="T273" s="2" t="s">
        <v>114</v>
      </c>
      <c r="U273" s="2" t="s">
        <v>46</v>
      </c>
    </row>
    <row r="274">
      <c r="A274" s="2">
        <v>273.0</v>
      </c>
      <c r="B274" s="2">
        <v>273.0</v>
      </c>
      <c r="C274" s="2">
        <v>273.0</v>
      </c>
      <c r="D274" s="3">
        <v>43831.0</v>
      </c>
      <c r="E274" s="2" t="s">
        <v>1915</v>
      </c>
      <c r="F274" s="2" t="s">
        <v>965</v>
      </c>
      <c r="G274" s="2">
        <v>776.15</v>
      </c>
      <c r="H274" s="2" t="s">
        <v>1916</v>
      </c>
      <c r="I274" s="2" t="s">
        <v>1472</v>
      </c>
      <c r="J274" s="2" t="s">
        <v>1917</v>
      </c>
      <c r="K274" s="2" t="s">
        <v>32</v>
      </c>
      <c r="M274" s="2">
        <v>4.0</v>
      </c>
      <c r="N274" s="2">
        <v>9627.04</v>
      </c>
      <c r="O274" s="2" t="s">
        <v>28</v>
      </c>
      <c r="P274" s="2" t="s">
        <v>1918</v>
      </c>
      <c r="Q274" s="2" t="s">
        <v>1919</v>
      </c>
      <c r="T274" s="2" t="s">
        <v>573</v>
      </c>
      <c r="U274" s="2" t="s">
        <v>46</v>
      </c>
    </row>
    <row r="275">
      <c r="A275" s="2">
        <v>274.0</v>
      </c>
      <c r="B275" s="2">
        <v>274.0</v>
      </c>
      <c r="C275" s="2">
        <v>274.0</v>
      </c>
      <c r="D275" s="3">
        <v>44033.0</v>
      </c>
      <c r="E275" s="2" t="s">
        <v>1920</v>
      </c>
      <c r="F275" s="2" t="s">
        <v>73</v>
      </c>
      <c r="G275" s="2">
        <v>996.08</v>
      </c>
      <c r="H275" s="2" t="s">
        <v>1921</v>
      </c>
      <c r="I275" s="2" t="s">
        <v>1922</v>
      </c>
      <c r="J275" s="2" t="s">
        <v>1923</v>
      </c>
      <c r="K275" s="2" t="s">
        <v>119</v>
      </c>
      <c r="M275" s="2">
        <v>32.0</v>
      </c>
      <c r="N275" s="2">
        <v>8248.2</v>
      </c>
      <c r="O275" s="2" t="s">
        <v>41</v>
      </c>
      <c r="P275" s="2" t="s">
        <v>594</v>
      </c>
      <c r="Q275" s="2" t="s">
        <v>1924</v>
      </c>
      <c r="T275" s="2" t="s">
        <v>119</v>
      </c>
      <c r="U275" s="2" t="s">
        <v>33</v>
      </c>
    </row>
    <row r="276">
      <c r="A276" s="2">
        <v>275.0</v>
      </c>
      <c r="B276" s="2">
        <v>275.0</v>
      </c>
      <c r="C276" s="2">
        <v>275.0</v>
      </c>
      <c r="D276" s="3">
        <v>44049.0</v>
      </c>
      <c r="E276" s="2" t="s">
        <v>1925</v>
      </c>
      <c r="F276" s="2" t="s">
        <v>88</v>
      </c>
      <c r="G276" s="2">
        <v>757.7</v>
      </c>
      <c r="H276" s="2" t="s">
        <v>1926</v>
      </c>
      <c r="I276" s="2" t="s">
        <v>1927</v>
      </c>
      <c r="J276" s="2" t="s">
        <v>1928</v>
      </c>
      <c r="K276" s="2" t="s">
        <v>119</v>
      </c>
      <c r="M276" s="2">
        <v>89.0</v>
      </c>
      <c r="N276" s="2">
        <v>8765.13</v>
      </c>
      <c r="O276" s="2" t="s">
        <v>28</v>
      </c>
      <c r="P276" s="2" t="s">
        <v>1929</v>
      </c>
      <c r="Q276" s="2" t="s">
        <v>1930</v>
      </c>
      <c r="T276" s="2" t="s">
        <v>32</v>
      </c>
      <c r="U276" s="2" t="s">
        <v>46</v>
      </c>
    </row>
    <row r="277">
      <c r="A277" s="2">
        <v>276.0</v>
      </c>
      <c r="B277" s="2">
        <v>276.0</v>
      </c>
      <c r="C277" s="2">
        <v>276.0</v>
      </c>
      <c r="D277" s="3">
        <v>44204.0</v>
      </c>
      <c r="E277" s="2" t="s">
        <v>1157</v>
      </c>
      <c r="F277" s="2" t="s">
        <v>97</v>
      </c>
      <c r="G277" s="2">
        <v>22.03</v>
      </c>
      <c r="H277" s="2" t="s">
        <v>1931</v>
      </c>
      <c r="I277" s="2" t="s">
        <v>1932</v>
      </c>
      <c r="J277" s="2" t="s">
        <v>1933</v>
      </c>
      <c r="K277" s="2" t="s">
        <v>119</v>
      </c>
      <c r="M277" s="2">
        <v>24.0</v>
      </c>
      <c r="N277" s="2">
        <v>3577.49</v>
      </c>
      <c r="O277" s="2" t="s">
        <v>52</v>
      </c>
      <c r="P277" s="2" t="s">
        <v>1934</v>
      </c>
      <c r="Q277" s="2" t="s">
        <v>1935</v>
      </c>
      <c r="S277" s="2">
        <v>45140.0</v>
      </c>
      <c r="T277" s="2" t="s">
        <v>627</v>
      </c>
      <c r="U277" s="2" t="s">
        <v>71</v>
      </c>
    </row>
    <row r="278">
      <c r="A278" s="2">
        <v>277.0</v>
      </c>
      <c r="B278" s="2">
        <v>277.0</v>
      </c>
      <c r="C278" s="2">
        <v>277.0</v>
      </c>
      <c r="D278" s="3">
        <v>44484.0</v>
      </c>
      <c r="E278" s="2" t="s">
        <v>1936</v>
      </c>
      <c r="F278" s="2" t="s">
        <v>738</v>
      </c>
      <c r="G278" s="2">
        <v>240.07</v>
      </c>
      <c r="H278" s="2" t="s">
        <v>739</v>
      </c>
      <c r="I278" s="2" t="s">
        <v>1937</v>
      </c>
      <c r="J278" s="2" t="s">
        <v>1938</v>
      </c>
      <c r="K278" s="2" t="s">
        <v>241</v>
      </c>
      <c r="L278" s="2">
        <v>6128.0</v>
      </c>
      <c r="M278" s="2">
        <v>36.0</v>
      </c>
      <c r="N278" s="2">
        <v>6200.83</v>
      </c>
      <c r="O278" s="2" t="s">
        <v>28</v>
      </c>
      <c r="P278" s="2" t="s">
        <v>1939</v>
      </c>
      <c r="Q278" s="2" t="s">
        <v>1940</v>
      </c>
      <c r="T278" s="2" t="s">
        <v>32</v>
      </c>
      <c r="U278" s="2" t="s">
        <v>71</v>
      </c>
    </row>
    <row r="279">
      <c r="A279" s="2">
        <v>278.0</v>
      </c>
      <c r="B279" s="2">
        <v>278.0</v>
      </c>
      <c r="C279" s="2">
        <v>278.0</v>
      </c>
      <c r="D279" s="3">
        <v>44257.0</v>
      </c>
      <c r="E279" s="2" t="s">
        <v>1941</v>
      </c>
      <c r="F279" s="2" t="s">
        <v>342</v>
      </c>
      <c r="G279" s="2">
        <v>527.19</v>
      </c>
      <c r="H279" s="2" t="s">
        <v>1942</v>
      </c>
      <c r="I279" s="2" t="s">
        <v>1943</v>
      </c>
      <c r="J279" s="2" t="s">
        <v>1944</v>
      </c>
      <c r="K279" s="2" t="s">
        <v>127</v>
      </c>
      <c r="L279" s="2" t="s">
        <v>1945</v>
      </c>
      <c r="M279" s="2">
        <v>64.0</v>
      </c>
      <c r="N279" s="2">
        <v>1209.13</v>
      </c>
      <c r="O279" s="2" t="s">
        <v>41</v>
      </c>
      <c r="P279" s="2" t="s">
        <v>1946</v>
      </c>
      <c r="Q279" s="2" t="s">
        <v>1947</v>
      </c>
      <c r="T279" s="2" t="s">
        <v>1826</v>
      </c>
      <c r="U279" s="2" t="s">
        <v>46</v>
      </c>
    </row>
    <row r="280">
      <c r="A280" s="2">
        <v>279.0</v>
      </c>
      <c r="B280" s="2">
        <v>279.0</v>
      </c>
      <c r="C280" s="2">
        <v>279.0</v>
      </c>
      <c r="D280" s="3">
        <v>44019.0</v>
      </c>
      <c r="E280" s="2" t="s">
        <v>1948</v>
      </c>
      <c r="F280" s="2" t="s">
        <v>142</v>
      </c>
      <c r="G280" s="2">
        <v>693.85</v>
      </c>
      <c r="H280" s="2" t="s">
        <v>1949</v>
      </c>
      <c r="I280" s="2" t="s">
        <v>1950</v>
      </c>
      <c r="J280" s="2" t="s">
        <v>1951</v>
      </c>
      <c r="K280" s="2" t="s">
        <v>137</v>
      </c>
      <c r="M280" s="2">
        <v>29.0</v>
      </c>
      <c r="N280" s="2">
        <v>2733.25</v>
      </c>
      <c r="O280" s="2" t="s">
        <v>41</v>
      </c>
      <c r="P280" s="2" t="s">
        <v>1952</v>
      </c>
      <c r="Q280" s="2" t="s">
        <v>1953</v>
      </c>
      <c r="S280" s="2" t="s">
        <v>1954</v>
      </c>
      <c r="T280" s="2" t="s">
        <v>106</v>
      </c>
      <c r="U280" s="2" t="s">
        <v>46</v>
      </c>
    </row>
    <row r="281">
      <c r="A281" s="2">
        <v>280.0</v>
      </c>
      <c r="B281" s="2">
        <v>280.0</v>
      </c>
      <c r="C281" s="2">
        <v>280.0</v>
      </c>
      <c r="D281" s="3">
        <v>44086.0</v>
      </c>
      <c r="E281" s="2" t="s">
        <v>1955</v>
      </c>
      <c r="F281" s="2" t="s">
        <v>237</v>
      </c>
      <c r="G281" s="2">
        <v>608.01</v>
      </c>
      <c r="H281" s="2" t="s">
        <v>1956</v>
      </c>
      <c r="I281" s="2" t="s">
        <v>1957</v>
      </c>
      <c r="J281" s="2" t="s">
        <v>1958</v>
      </c>
      <c r="K281" s="2" t="s">
        <v>1959</v>
      </c>
      <c r="M281" s="2">
        <v>76.0</v>
      </c>
      <c r="N281" s="2">
        <v>8434.63</v>
      </c>
      <c r="O281" s="2" t="s">
        <v>52</v>
      </c>
      <c r="P281" s="2" t="s">
        <v>1960</v>
      </c>
      <c r="Q281" s="2" t="s">
        <v>1961</v>
      </c>
      <c r="T281" s="2" t="s">
        <v>292</v>
      </c>
      <c r="U281" s="2" t="s">
        <v>46</v>
      </c>
    </row>
    <row r="282">
      <c r="A282" s="2">
        <v>281.0</v>
      </c>
      <c r="B282" s="2">
        <v>281.0</v>
      </c>
      <c r="C282" s="2">
        <v>281.0</v>
      </c>
      <c r="D282" s="3">
        <v>44035.0</v>
      </c>
      <c r="E282" s="2" t="s">
        <v>1962</v>
      </c>
      <c r="F282" s="2" t="s">
        <v>1536</v>
      </c>
      <c r="G282" s="2">
        <v>576.84</v>
      </c>
      <c r="H282" s="2" t="s">
        <v>1963</v>
      </c>
      <c r="I282" s="2" t="s">
        <v>1964</v>
      </c>
      <c r="J282" s="2" t="s">
        <v>1965</v>
      </c>
      <c r="K282" s="2" t="s">
        <v>137</v>
      </c>
      <c r="M282" s="2">
        <v>16.0</v>
      </c>
      <c r="N282" s="2">
        <v>7720.36</v>
      </c>
      <c r="O282" s="2" t="s">
        <v>52</v>
      </c>
      <c r="P282" s="2" t="s">
        <v>1966</v>
      </c>
      <c r="Q282" s="2" t="s">
        <v>1967</v>
      </c>
      <c r="S282" s="2" t="s">
        <v>1968</v>
      </c>
      <c r="T282" s="2" t="s">
        <v>163</v>
      </c>
      <c r="U282" s="2" t="s">
        <v>33</v>
      </c>
    </row>
    <row r="283">
      <c r="A283" s="2">
        <v>282.0</v>
      </c>
      <c r="B283" s="2">
        <v>282.0</v>
      </c>
      <c r="C283" s="2">
        <v>282.0</v>
      </c>
      <c r="D283" s="3">
        <v>44430.0</v>
      </c>
      <c r="E283" s="2" t="s">
        <v>1969</v>
      </c>
      <c r="F283" s="2" t="s">
        <v>332</v>
      </c>
      <c r="G283" s="2">
        <v>670.94</v>
      </c>
      <c r="H283" s="2" t="s">
        <v>1970</v>
      </c>
      <c r="I283" s="2" t="s">
        <v>1971</v>
      </c>
      <c r="J283" s="2" t="s">
        <v>1972</v>
      </c>
      <c r="K283" s="2" t="s">
        <v>119</v>
      </c>
      <c r="M283" s="2">
        <v>68.0</v>
      </c>
      <c r="N283" s="2">
        <v>2299.87</v>
      </c>
      <c r="O283" s="2" t="s">
        <v>52</v>
      </c>
      <c r="P283" s="2" t="s">
        <v>42</v>
      </c>
      <c r="Q283" s="2" t="s">
        <v>1973</v>
      </c>
      <c r="S283" s="2">
        <v>11005.0</v>
      </c>
      <c r="T283" s="2" t="s">
        <v>1974</v>
      </c>
      <c r="U283" s="2" t="s">
        <v>46</v>
      </c>
    </row>
    <row r="284">
      <c r="A284" s="2">
        <v>283.0</v>
      </c>
      <c r="B284" s="2">
        <v>283.0</v>
      </c>
      <c r="C284" s="2">
        <v>283.0</v>
      </c>
      <c r="D284" s="3">
        <v>44448.0</v>
      </c>
      <c r="E284" s="2" t="s">
        <v>1975</v>
      </c>
      <c r="F284" s="2" t="s">
        <v>123</v>
      </c>
      <c r="G284" s="2">
        <v>447.26</v>
      </c>
      <c r="H284" s="2" t="s">
        <v>1976</v>
      </c>
      <c r="I284" s="2" t="s">
        <v>1977</v>
      </c>
      <c r="J284" s="2" t="s">
        <v>1978</v>
      </c>
      <c r="K284" s="2" t="s">
        <v>819</v>
      </c>
      <c r="L284" s="2">
        <v>735538.0</v>
      </c>
      <c r="M284" s="2">
        <v>38.0</v>
      </c>
      <c r="N284" s="2">
        <v>4092.12</v>
      </c>
      <c r="O284" s="2" t="s">
        <v>41</v>
      </c>
      <c r="P284" s="2" t="s">
        <v>1979</v>
      </c>
      <c r="Q284" s="2" t="s">
        <v>1980</v>
      </c>
      <c r="T284" s="2" t="s">
        <v>119</v>
      </c>
      <c r="U284" s="2" t="s">
        <v>71</v>
      </c>
    </row>
    <row r="285">
      <c r="A285" s="2">
        <v>284.0</v>
      </c>
      <c r="B285" s="2">
        <v>284.0</v>
      </c>
      <c r="C285" s="2">
        <v>284.0</v>
      </c>
      <c r="D285" s="3">
        <v>44141.0</v>
      </c>
      <c r="E285" s="2" t="s">
        <v>1981</v>
      </c>
      <c r="F285" s="2" t="s">
        <v>191</v>
      </c>
      <c r="G285" s="2">
        <v>578.16</v>
      </c>
      <c r="H285" s="2" t="s">
        <v>1982</v>
      </c>
      <c r="I285" s="2" t="s">
        <v>1983</v>
      </c>
      <c r="J285" s="2" t="s">
        <v>1984</v>
      </c>
      <c r="K285" s="2" t="s">
        <v>127</v>
      </c>
      <c r="L285" s="2" t="s">
        <v>1985</v>
      </c>
      <c r="M285" s="2">
        <v>39.0</v>
      </c>
      <c r="N285" s="2">
        <v>6091.17</v>
      </c>
      <c r="O285" s="2" t="s">
        <v>28</v>
      </c>
      <c r="P285" s="2" t="s">
        <v>1986</v>
      </c>
      <c r="Q285" s="2" t="s">
        <v>1987</v>
      </c>
      <c r="S285" s="2">
        <v>3682.0</v>
      </c>
      <c r="T285" s="2" t="s">
        <v>1988</v>
      </c>
      <c r="U285" s="2" t="s">
        <v>46</v>
      </c>
    </row>
    <row r="286">
      <c r="A286" s="2">
        <v>285.0</v>
      </c>
      <c r="B286" s="2">
        <v>285.0</v>
      </c>
      <c r="C286" s="2">
        <v>285.0</v>
      </c>
      <c r="D286" s="3">
        <v>44016.0</v>
      </c>
      <c r="E286" s="2" t="s">
        <v>1989</v>
      </c>
      <c r="F286" s="2" t="s">
        <v>142</v>
      </c>
      <c r="G286" s="2">
        <v>985.58</v>
      </c>
      <c r="H286" s="2" t="s">
        <v>1990</v>
      </c>
      <c r="I286" s="2" t="s">
        <v>1991</v>
      </c>
      <c r="J286" s="2" t="s">
        <v>1992</v>
      </c>
      <c r="K286" s="2" t="s">
        <v>119</v>
      </c>
      <c r="M286" s="2">
        <v>36.0</v>
      </c>
      <c r="N286" s="2">
        <v>9799.17</v>
      </c>
      <c r="O286" s="2" t="s">
        <v>28</v>
      </c>
      <c r="P286" s="2" t="s">
        <v>1993</v>
      </c>
      <c r="Q286" s="2" t="s">
        <v>1994</v>
      </c>
      <c r="S286" s="2">
        <v>5204.0</v>
      </c>
      <c r="T286" s="2" t="s">
        <v>131</v>
      </c>
      <c r="U286" s="2" t="s">
        <v>33</v>
      </c>
    </row>
    <row r="287">
      <c r="A287" s="2">
        <v>286.0</v>
      </c>
      <c r="B287" s="2">
        <v>286.0</v>
      </c>
      <c r="C287" s="2">
        <v>286.0</v>
      </c>
      <c r="D287" s="3">
        <v>44270.0</v>
      </c>
      <c r="E287" s="2" t="s">
        <v>1995</v>
      </c>
      <c r="F287" s="2" t="s">
        <v>567</v>
      </c>
      <c r="G287" s="2">
        <v>743.31</v>
      </c>
      <c r="H287" s="2" t="s">
        <v>1996</v>
      </c>
      <c r="I287" s="2" t="s">
        <v>1997</v>
      </c>
      <c r="J287" s="2" t="s">
        <v>1998</v>
      </c>
      <c r="K287" s="2" t="s">
        <v>32</v>
      </c>
      <c r="M287" s="2">
        <v>16.0</v>
      </c>
      <c r="N287" s="2">
        <v>6593.31</v>
      </c>
      <c r="O287" s="2" t="s">
        <v>52</v>
      </c>
      <c r="P287" s="2" t="s">
        <v>1999</v>
      </c>
      <c r="Q287" s="2" t="s">
        <v>2000</v>
      </c>
      <c r="T287" s="2" t="s">
        <v>330</v>
      </c>
      <c r="U287" s="2" t="s">
        <v>46</v>
      </c>
    </row>
    <row r="288">
      <c r="A288" s="2">
        <v>287.0</v>
      </c>
      <c r="B288" s="2">
        <v>287.0</v>
      </c>
      <c r="C288" s="2">
        <v>287.0</v>
      </c>
      <c r="D288" s="3">
        <v>43837.0</v>
      </c>
      <c r="E288" s="2" t="s">
        <v>1969</v>
      </c>
      <c r="F288" s="2" t="s">
        <v>332</v>
      </c>
      <c r="G288" s="2">
        <v>796.31</v>
      </c>
      <c r="H288" s="2" t="s">
        <v>2001</v>
      </c>
      <c r="I288" s="2" t="s">
        <v>2002</v>
      </c>
      <c r="J288" s="2" t="s">
        <v>2003</v>
      </c>
      <c r="K288" s="2" t="s">
        <v>26</v>
      </c>
      <c r="L288" s="2" t="s">
        <v>2004</v>
      </c>
      <c r="M288" s="2">
        <v>56.0</v>
      </c>
      <c r="N288" s="2">
        <v>8233.72</v>
      </c>
      <c r="O288" s="2" t="s">
        <v>52</v>
      </c>
      <c r="P288" s="2" t="s">
        <v>2005</v>
      </c>
      <c r="Q288" s="2" t="s">
        <v>2006</v>
      </c>
      <c r="R288" s="2" t="s">
        <v>682</v>
      </c>
      <c r="S288" s="2" t="s">
        <v>2007</v>
      </c>
      <c r="T288" s="2" t="s">
        <v>163</v>
      </c>
      <c r="U288" s="2" t="s">
        <v>71</v>
      </c>
    </row>
    <row r="289">
      <c r="A289" s="2">
        <v>288.0</v>
      </c>
      <c r="B289" s="2">
        <v>288.0</v>
      </c>
      <c r="C289" s="2">
        <v>288.0</v>
      </c>
      <c r="D289" s="3">
        <v>44359.0</v>
      </c>
      <c r="E289" s="2" t="s">
        <v>2008</v>
      </c>
      <c r="F289" s="2" t="s">
        <v>237</v>
      </c>
      <c r="G289" s="2">
        <v>533.66</v>
      </c>
      <c r="H289" s="2" t="s">
        <v>2009</v>
      </c>
      <c r="I289" s="2" t="s">
        <v>2010</v>
      </c>
      <c r="J289" s="2" t="s">
        <v>2011</v>
      </c>
      <c r="K289" s="2" t="s">
        <v>163</v>
      </c>
      <c r="L289" s="2" t="s">
        <v>2012</v>
      </c>
      <c r="M289" s="2">
        <v>33.0</v>
      </c>
      <c r="N289" s="2">
        <v>4395.05</v>
      </c>
      <c r="O289" s="2" t="s">
        <v>52</v>
      </c>
      <c r="P289" s="2" t="s">
        <v>2013</v>
      </c>
      <c r="Q289" s="2" t="s">
        <v>2014</v>
      </c>
      <c r="S289" s="2" t="s">
        <v>2015</v>
      </c>
      <c r="T289" s="2" t="s">
        <v>106</v>
      </c>
      <c r="U289" s="2" t="s">
        <v>71</v>
      </c>
    </row>
    <row r="290">
      <c r="A290" s="2">
        <v>289.0</v>
      </c>
      <c r="B290" s="2">
        <v>289.0</v>
      </c>
      <c r="C290" s="2">
        <v>289.0</v>
      </c>
      <c r="D290" s="3">
        <v>44057.0</v>
      </c>
      <c r="E290" s="2" t="s">
        <v>2016</v>
      </c>
      <c r="F290" s="2" t="s">
        <v>133</v>
      </c>
      <c r="G290" s="2">
        <v>211.69</v>
      </c>
      <c r="H290" s="2" t="s">
        <v>2017</v>
      </c>
      <c r="I290" s="2" t="s">
        <v>2018</v>
      </c>
      <c r="J290" s="2" t="s">
        <v>2019</v>
      </c>
      <c r="K290" s="2" t="s">
        <v>241</v>
      </c>
      <c r="L290" s="2">
        <v>9416.0</v>
      </c>
      <c r="M290" s="2">
        <v>71.0</v>
      </c>
      <c r="N290" s="2">
        <v>8374.9</v>
      </c>
      <c r="O290" s="2" t="s">
        <v>41</v>
      </c>
      <c r="P290" s="2" t="s">
        <v>2020</v>
      </c>
      <c r="Q290" s="2" t="s">
        <v>2021</v>
      </c>
      <c r="T290" s="2" t="s">
        <v>249</v>
      </c>
      <c r="U290" s="2" t="s">
        <v>46</v>
      </c>
    </row>
    <row r="291">
      <c r="A291" s="2">
        <v>290.0</v>
      </c>
      <c r="B291" s="2">
        <v>290.0</v>
      </c>
      <c r="C291" s="2">
        <v>290.0</v>
      </c>
      <c r="D291" s="3">
        <v>44378.0</v>
      </c>
      <c r="E291" s="2" t="s">
        <v>2022</v>
      </c>
      <c r="F291" s="2" t="s">
        <v>230</v>
      </c>
      <c r="G291" s="2">
        <v>563.95</v>
      </c>
      <c r="H291" s="2" t="s">
        <v>2023</v>
      </c>
      <c r="I291" s="2" t="s">
        <v>2024</v>
      </c>
      <c r="J291" s="2" t="s">
        <v>2025</v>
      </c>
      <c r="K291" s="2" t="s">
        <v>106</v>
      </c>
      <c r="L291" s="2" t="s">
        <v>2026</v>
      </c>
      <c r="M291" s="2">
        <v>4.0</v>
      </c>
      <c r="N291" s="2">
        <v>6223.33</v>
      </c>
      <c r="O291" s="2" t="s">
        <v>28</v>
      </c>
      <c r="P291" s="2" t="s">
        <v>2027</v>
      </c>
      <c r="Q291" s="2" t="s">
        <v>2028</v>
      </c>
      <c r="T291" s="2" t="s">
        <v>32</v>
      </c>
      <c r="U291" s="2" t="s">
        <v>46</v>
      </c>
    </row>
    <row r="292">
      <c r="A292" s="2">
        <v>291.0</v>
      </c>
      <c r="B292" s="2">
        <v>291.0</v>
      </c>
      <c r="C292" s="2">
        <v>291.0</v>
      </c>
      <c r="D292" s="3">
        <v>44018.0</v>
      </c>
      <c r="E292" s="2" t="s">
        <v>2029</v>
      </c>
      <c r="F292" s="2" t="s">
        <v>22</v>
      </c>
      <c r="G292" s="2">
        <v>319.17</v>
      </c>
      <c r="H292" s="2" t="s">
        <v>2030</v>
      </c>
      <c r="I292" s="2" t="s">
        <v>2031</v>
      </c>
      <c r="J292" s="2" t="s">
        <v>2032</v>
      </c>
      <c r="K292" s="2" t="s">
        <v>119</v>
      </c>
      <c r="M292" s="2">
        <v>54.0</v>
      </c>
      <c r="N292" s="2">
        <v>7137.38</v>
      </c>
      <c r="O292" s="2" t="s">
        <v>52</v>
      </c>
      <c r="P292" s="2" t="s">
        <v>42</v>
      </c>
      <c r="Q292" s="2" t="s">
        <v>2033</v>
      </c>
      <c r="T292" s="2" t="s">
        <v>119</v>
      </c>
      <c r="U292" s="2" t="s">
        <v>33</v>
      </c>
    </row>
    <row r="293">
      <c r="A293" s="2">
        <v>292.0</v>
      </c>
      <c r="B293" s="2">
        <v>292.0</v>
      </c>
      <c r="C293" s="2">
        <v>292.0</v>
      </c>
      <c r="D293" s="3">
        <v>44474.0</v>
      </c>
      <c r="E293" s="2" t="s">
        <v>1741</v>
      </c>
      <c r="F293" s="2" t="s">
        <v>1046</v>
      </c>
      <c r="G293" s="2">
        <v>885.64</v>
      </c>
      <c r="H293" s="2" t="s">
        <v>1563</v>
      </c>
      <c r="I293" s="2" t="s">
        <v>2034</v>
      </c>
      <c r="J293" s="2" t="s">
        <v>2035</v>
      </c>
      <c r="K293" s="2" t="s">
        <v>119</v>
      </c>
      <c r="M293" s="2">
        <v>18.0</v>
      </c>
      <c r="N293" s="2">
        <v>4706.33</v>
      </c>
      <c r="O293" s="2" t="s">
        <v>41</v>
      </c>
      <c r="P293" s="2" t="s">
        <v>2036</v>
      </c>
      <c r="Q293" s="2" t="s">
        <v>2037</v>
      </c>
      <c r="S293" s="2">
        <v>385228.0</v>
      </c>
      <c r="T293" s="2" t="s">
        <v>68</v>
      </c>
      <c r="U293" s="2" t="s">
        <v>71</v>
      </c>
    </row>
    <row r="294">
      <c r="A294" s="2">
        <v>293.0</v>
      </c>
      <c r="B294" s="2">
        <v>293.0</v>
      </c>
      <c r="C294" s="2">
        <v>293.0</v>
      </c>
      <c r="D294" s="3">
        <v>44195.0</v>
      </c>
      <c r="E294" s="2" t="s">
        <v>2038</v>
      </c>
      <c r="F294" s="2" t="s">
        <v>1199</v>
      </c>
      <c r="G294" s="2">
        <v>773.76</v>
      </c>
      <c r="H294" s="2" t="s">
        <v>2039</v>
      </c>
      <c r="I294" s="2" t="s">
        <v>2040</v>
      </c>
      <c r="J294" s="2" t="s">
        <v>2041</v>
      </c>
      <c r="K294" s="2" t="s">
        <v>2042</v>
      </c>
      <c r="M294" s="2">
        <v>57.0</v>
      </c>
      <c r="N294" s="2">
        <v>8437.9</v>
      </c>
      <c r="O294" s="2" t="s">
        <v>41</v>
      </c>
      <c r="P294" s="2" t="s">
        <v>300</v>
      </c>
      <c r="Q294" s="2" t="s">
        <v>2043</v>
      </c>
      <c r="T294" s="2" t="s">
        <v>119</v>
      </c>
      <c r="U294" s="2" t="s">
        <v>33</v>
      </c>
    </row>
    <row r="295">
      <c r="A295" s="2">
        <v>294.0</v>
      </c>
      <c r="B295" s="2">
        <v>294.0</v>
      </c>
      <c r="C295" s="2">
        <v>294.0</v>
      </c>
      <c r="D295" s="3">
        <v>44019.0</v>
      </c>
      <c r="E295" s="2" t="s">
        <v>2044</v>
      </c>
      <c r="F295" s="2" t="s">
        <v>965</v>
      </c>
      <c r="G295" s="2">
        <v>928.72</v>
      </c>
      <c r="H295" s="2" t="s">
        <v>2045</v>
      </c>
      <c r="I295" s="2" t="s">
        <v>2046</v>
      </c>
      <c r="J295" s="2" t="s">
        <v>2047</v>
      </c>
      <c r="K295" s="2" t="s">
        <v>2048</v>
      </c>
      <c r="L295" s="2">
        <v>96970.0</v>
      </c>
      <c r="M295" s="2">
        <v>11.0</v>
      </c>
      <c r="N295" s="2">
        <v>6424.49</v>
      </c>
      <c r="O295" s="2" t="s">
        <v>52</v>
      </c>
      <c r="P295" s="2" t="s">
        <v>2049</v>
      </c>
      <c r="Q295" s="2" t="s">
        <v>2050</v>
      </c>
      <c r="T295" s="2" t="s">
        <v>119</v>
      </c>
      <c r="U295" s="2" t="s">
        <v>71</v>
      </c>
    </row>
    <row r="296">
      <c r="A296" s="2">
        <v>295.0</v>
      </c>
      <c r="B296" s="2">
        <v>295.0</v>
      </c>
      <c r="C296" s="2">
        <v>295.0</v>
      </c>
      <c r="D296" s="3">
        <v>44202.0</v>
      </c>
      <c r="E296" s="2" t="s">
        <v>122</v>
      </c>
      <c r="F296" s="2" t="s">
        <v>123</v>
      </c>
      <c r="G296" s="2">
        <v>704.81</v>
      </c>
      <c r="H296" s="2" t="s">
        <v>2051</v>
      </c>
      <c r="I296" s="2" t="s">
        <v>2052</v>
      </c>
      <c r="J296" s="2" t="s">
        <v>2053</v>
      </c>
      <c r="K296" s="2" t="s">
        <v>32</v>
      </c>
      <c r="M296" s="2">
        <v>30.0</v>
      </c>
      <c r="N296" s="2">
        <v>4813.72</v>
      </c>
      <c r="O296" s="2" t="s">
        <v>28</v>
      </c>
      <c r="P296" s="2" t="s">
        <v>2054</v>
      </c>
      <c r="Q296" s="2" t="s">
        <v>2055</v>
      </c>
      <c r="T296" s="2" t="s">
        <v>292</v>
      </c>
      <c r="U296" s="2" t="s">
        <v>33</v>
      </c>
    </row>
    <row r="297">
      <c r="A297" s="2">
        <v>296.0</v>
      </c>
      <c r="B297" s="2">
        <v>296.0</v>
      </c>
      <c r="C297" s="2">
        <v>296.0</v>
      </c>
      <c r="D297" s="3">
        <v>44537.0</v>
      </c>
      <c r="E297" s="2" t="s">
        <v>2056</v>
      </c>
      <c r="F297" s="2" t="s">
        <v>97</v>
      </c>
      <c r="G297" s="2">
        <v>195.28</v>
      </c>
      <c r="H297" s="2" t="s">
        <v>2057</v>
      </c>
      <c r="I297" s="2" t="s">
        <v>2058</v>
      </c>
      <c r="J297" s="2" t="s">
        <v>2059</v>
      </c>
      <c r="K297" s="2" t="s">
        <v>1216</v>
      </c>
      <c r="M297" s="2">
        <v>76.0</v>
      </c>
      <c r="N297" s="2">
        <v>1021.32</v>
      </c>
      <c r="O297" s="2" t="s">
        <v>41</v>
      </c>
      <c r="P297" s="2" t="s">
        <v>643</v>
      </c>
      <c r="Q297" s="2" t="s">
        <v>2060</v>
      </c>
      <c r="S297" s="2" t="s">
        <v>2061</v>
      </c>
      <c r="T297" s="2" t="s">
        <v>257</v>
      </c>
      <c r="U297" s="2" t="s">
        <v>71</v>
      </c>
    </row>
    <row r="298">
      <c r="A298" s="2">
        <v>297.0</v>
      </c>
      <c r="B298" s="2">
        <v>297.0</v>
      </c>
      <c r="C298" s="2">
        <v>297.0</v>
      </c>
      <c r="D298" s="3">
        <v>43901.0</v>
      </c>
      <c r="E298" s="2" t="s">
        <v>2062</v>
      </c>
      <c r="F298" s="2" t="s">
        <v>639</v>
      </c>
      <c r="G298" s="2">
        <v>120.33</v>
      </c>
      <c r="H298" s="2" t="s">
        <v>2063</v>
      </c>
      <c r="I298" s="2" t="s">
        <v>2064</v>
      </c>
      <c r="J298" s="2" t="s">
        <v>2065</v>
      </c>
      <c r="K298" s="2" t="s">
        <v>32</v>
      </c>
      <c r="M298" s="2">
        <v>94.0</v>
      </c>
      <c r="N298" s="2">
        <v>1317.68</v>
      </c>
      <c r="O298" s="2" t="s">
        <v>28</v>
      </c>
      <c r="P298" s="2" t="s">
        <v>2066</v>
      </c>
      <c r="Q298" s="2" t="s">
        <v>2067</v>
      </c>
      <c r="S298" s="2">
        <v>11114.0</v>
      </c>
      <c r="T298" s="2" t="s">
        <v>1974</v>
      </c>
      <c r="U298" s="2" t="s">
        <v>71</v>
      </c>
    </row>
    <row r="299">
      <c r="A299" s="2">
        <v>298.0</v>
      </c>
      <c r="B299" s="2">
        <v>298.0</v>
      </c>
      <c r="C299" s="2">
        <v>298.0</v>
      </c>
      <c r="D299" s="3">
        <v>43983.0</v>
      </c>
      <c r="E299" s="2" t="s">
        <v>2068</v>
      </c>
      <c r="F299" s="2" t="s">
        <v>48</v>
      </c>
      <c r="G299" s="2">
        <v>909.23</v>
      </c>
      <c r="H299" s="2" t="s">
        <v>2069</v>
      </c>
      <c r="I299" s="2" t="s">
        <v>2070</v>
      </c>
      <c r="J299" s="2" t="s">
        <v>2071</v>
      </c>
      <c r="K299" s="2" t="s">
        <v>119</v>
      </c>
      <c r="M299" s="2">
        <v>48.0</v>
      </c>
      <c r="N299" s="2">
        <v>6365.91</v>
      </c>
      <c r="O299" s="2" t="s">
        <v>28</v>
      </c>
      <c r="P299" s="2" t="s">
        <v>2072</v>
      </c>
      <c r="Q299" s="2" t="s">
        <v>2073</v>
      </c>
      <c r="T299" s="2" t="s">
        <v>1826</v>
      </c>
      <c r="U299" s="2" t="s">
        <v>33</v>
      </c>
    </row>
    <row r="300">
      <c r="A300" s="2">
        <v>299.0</v>
      </c>
      <c r="B300" s="2">
        <v>299.0</v>
      </c>
      <c r="C300" s="2">
        <v>299.0</v>
      </c>
      <c r="D300" s="3">
        <v>44142.0</v>
      </c>
      <c r="E300" s="2" t="s">
        <v>2074</v>
      </c>
      <c r="F300" s="2" t="s">
        <v>704</v>
      </c>
      <c r="G300" s="2">
        <v>903.22</v>
      </c>
      <c r="H300" s="2" t="s">
        <v>2075</v>
      </c>
      <c r="I300" s="2" t="s">
        <v>2076</v>
      </c>
      <c r="J300" s="2" t="s">
        <v>2077</v>
      </c>
      <c r="K300" s="2" t="s">
        <v>163</v>
      </c>
      <c r="L300" s="2" t="s">
        <v>2078</v>
      </c>
      <c r="M300" s="2">
        <v>53.0</v>
      </c>
      <c r="N300" s="2">
        <v>3754.66</v>
      </c>
      <c r="O300" s="2" t="s">
        <v>28</v>
      </c>
      <c r="P300" s="2" t="s">
        <v>2079</v>
      </c>
      <c r="Q300" s="2" t="s">
        <v>2080</v>
      </c>
      <c r="T300" s="2" t="s">
        <v>316</v>
      </c>
      <c r="U300" s="2" t="s">
        <v>33</v>
      </c>
    </row>
    <row r="301">
      <c r="A301" s="2">
        <v>300.0</v>
      </c>
      <c r="B301" s="2">
        <v>300.0</v>
      </c>
      <c r="C301" s="2">
        <v>300.0</v>
      </c>
      <c r="D301" s="3">
        <v>44347.0</v>
      </c>
      <c r="E301" s="2" t="s">
        <v>2081</v>
      </c>
      <c r="F301" s="2" t="s">
        <v>662</v>
      </c>
      <c r="G301" s="2">
        <v>661.02</v>
      </c>
      <c r="H301" s="2" t="s">
        <v>2082</v>
      </c>
      <c r="I301" s="2" t="s">
        <v>2083</v>
      </c>
      <c r="J301" s="2" t="s">
        <v>2084</v>
      </c>
      <c r="K301" s="2" t="s">
        <v>32</v>
      </c>
      <c r="M301" s="2">
        <v>54.0</v>
      </c>
      <c r="N301" s="2">
        <v>6287.88</v>
      </c>
      <c r="O301" s="2" t="s">
        <v>41</v>
      </c>
      <c r="P301" s="2" t="s">
        <v>2085</v>
      </c>
      <c r="Q301" s="2" t="s">
        <v>2086</v>
      </c>
      <c r="T301" s="2" t="s">
        <v>32</v>
      </c>
      <c r="U301" s="2" t="s">
        <v>71</v>
      </c>
    </row>
    <row r="302">
      <c r="A302" s="2">
        <v>301.0</v>
      </c>
      <c r="B302" s="2">
        <v>301.0</v>
      </c>
      <c r="C302" s="2">
        <v>301.0</v>
      </c>
      <c r="D302" s="3">
        <v>44246.0</v>
      </c>
      <c r="E302" s="2" t="s">
        <v>2087</v>
      </c>
      <c r="F302" s="2" t="s">
        <v>2088</v>
      </c>
      <c r="G302" s="2">
        <v>606.74</v>
      </c>
      <c r="H302" s="2" t="s">
        <v>2089</v>
      </c>
      <c r="I302" s="2" t="s">
        <v>2090</v>
      </c>
      <c r="J302" s="2" t="s">
        <v>2091</v>
      </c>
      <c r="K302" s="2" t="s">
        <v>26</v>
      </c>
      <c r="L302" s="2" t="s">
        <v>2092</v>
      </c>
      <c r="M302" s="2">
        <v>58.0</v>
      </c>
      <c r="N302" s="2">
        <v>2528.8</v>
      </c>
      <c r="O302" s="2" t="s">
        <v>52</v>
      </c>
      <c r="P302" s="2" t="s">
        <v>2093</v>
      </c>
      <c r="Q302" s="2" t="s">
        <v>2094</v>
      </c>
      <c r="R302" s="2" t="s">
        <v>682</v>
      </c>
      <c r="T302" s="2" t="s">
        <v>32</v>
      </c>
      <c r="U302" s="2" t="s">
        <v>71</v>
      </c>
    </row>
    <row r="303">
      <c r="A303" s="2">
        <v>302.0</v>
      </c>
      <c r="B303" s="2">
        <v>302.0</v>
      </c>
      <c r="C303" s="2">
        <v>302.0</v>
      </c>
      <c r="D303" s="3">
        <v>44410.0</v>
      </c>
      <c r="E303" s="2" t="s">
        <v>2095</v>
      </c>
      <c r="F303" s="2" t="s">
        <v>142</v>
      </c>
      <c r="G303" s="2">
        <v>442.19</v>
      </c>
      <c r="H303" s="2" t="s">
        <v>2096</v>
      </c>
      <c r="I303" s="2" t="s">
        <v>2097</v>
      </c>
      <c r="J303" s="2" t="s">
        <v>2098</v>
      </c>
      <c r="K303" s="2" t="s">
        <v>101</v>
      </c>
      <c r="L303" s="2">
        <v>34479.0</v>
      </c>
      <c r="M303" s="2">
        <v>4.0</v>
      </c>
      <c r="N303" s="2">
        <v>8207.32</v>
      </c>
      <c r="O303" s="2" t="s">
        <v>28</v>
      </c>
      <c r="P303" s="2" t="s">
        <v>424</v>
      </c>
      <c r="Q303" s="2" t="s">
        <v>2099</v>
      </c>
      <c r="R303" s="2" t="s">
        <v>1814</v>
      </c>
      <c r="S303" s="2">
        <v>1057.0</v>
      </c>
      <c r="T303" s="2" t="s">
        <v>1430</v>
      </c>
      <c r="U303" s="2" t="s">
        <v>46</v>
      </c>
    </row>
    <row r="304">
      <c r="A304" s="2">
        <v>303.0</v>
      </c>
      <c r="B304" s="2">
        <v>303.0</v>
      </c>
      <c r="C304" s="2">
        <v>303.0</v>
      </c>
      <c r="D304" s="3">
        <v>43832.0</v>
      </c>
      <c r="E304" s="2" t="s">
        <v>2100</v>
      </c>
      <c r="F304" s="2" t="s">
        <v>56</v>
      </c>
      <c r="G304" s="2">
        <v>248.0</v>
      </c>
      <c r="H304" s="2" t="s">
        <v>2101</v>
      </c>
      <c r="I304" s="2" t="s">
        <v>2102</v>
      </c>
      <c r="J304" s="2" t="s">
        <v>2103</v>
      </c>
      <c r="K304" s="2" t="s">
        <v>146</v>
      </c>
      <c r="M304" s="2">
        <v>88.0</v>
      </c>
      <c r="N304" s="2">
        <v>4611.41</v>
      </c>
      <c r="O304" s="2" t="s">
        <v>28</v>
      </c>
      <c r="P304" s="2" t="s">
        <v>2104</v>
      </c>
      <c r="Q304" s="2" t="s">
        <v>2105</v>
      </c>
      <c r="T304" s="2" t="s">
        <v>32</v>
      </c>
      <c r="U304" s="2" t="s">
        <v>71</v>
      </c>
    </row>
    <row r="305">
      <c r="A305" s="2">
        <v>304.0</v>
      </c>
      <c r="B305" s="2">
        <v>304.0</v>
      </c>
      <c r="C305" s="2">
        <v>304.0</v>
      </c>
      <c r="D305" s="3">
        <v>44256.0</v>
      </c>
      <c r="E305" s="2" t="s">
        <v>1648</v>
      </c>
      <c r="F305" s="2" t="s">
        <v>567</v>
      </c>
      <c r="G305" s="2">
        <v>825.05</v>
      </c>
      <c r="H305" s="2" t="s">
        <v>2106</v>
      </c>
      <c r="I305" s="2" t="s">
        <v>2107</v>
      </c>
      <c r="J305" s="2" t="s">
        <v>2108</v>
      </c>
      <c r="K305" s="2" t="s">
        <v>225</v>
      </c>
      <c r="M305" s="2">
        <v>26.0</v>
      </c>
      <c r="N305" s="2">
        <v>5645.57</v>
      </c>
      <c r="O305" s="2" t="s">
        <v>52</v>
      </c>
      <c r="P305" s="2" t="s">
        <v>2109</v>
      </c>
      <c r="Q305" s="2" t="s">
        <v>2110</v>
      </c>
      <c r="T305" s="2" t="s">
        <v>2111</v>
      </c>
      <c r="U305" s="2" t="s">
        <v>46</v>
      </c>
    </row>
    <row r="306">
      <c r="A306" s="2">
        <v>305.0</v>
      </c>
      <c r="B306" s="2">
        <v>305.0</v>
      </c>
      <c r="C306" s="2">
        <v>305.0</v>
      </c>
      <c r="D306" s="3">
        <v>44495.0</v>
      </c>
      <c r="E306" s="2" t="s">
        <v>2112</v>
      </c>
      <c r="F306" s="2" t="s">
        <v>2113</v>
      </c>
      <c r="G306" s="2">
        <v>383.74</v>
      </c>
      <c r="H306" s="2" t="s">
        <v>2114</v>
      </c>
      <c r="I306" s="2" t="s">
        <v>2115</v>
      </c>
      <c r="J306" s="2" t="s">
        <v>2116</v>
      </c>
      <c r="K306" s="2" t="s">
        <v>257</v>
      </c>
      <c r="L306" s="2" t="s">
        <v>2117</v>
      </c>
      <c r="M306" s="2">
        <v>31.0</v>
      </c>
      <c r="N306" s="2">
        <v>5488.86</v>
      </c>
      <c r="O306" s="2" t="s">
        <v>52</v>
      </c>
      <c r="P306" s="2" t="s">
        <v>355</v>
      </c>
      <c r="Q306" s="2" t="s">
        <v>2118</v>
      </c>
      <c r="R306" s="2" t="s">
        <v>349</v>
      </c>
      <c r="T306" s="2" t="s">
        <v>32</v>
      </c>
      <c r="U306" s="2" t="s">
        <v>71</v>
      </c>
    </row>
    <row r="307">
      <c r="A307" s="2">
        <v>306.0</v>
      </c>
      <c r="B307" s="2">
        <v>306.0</v>
      </c>
      <c r="C307" s="2">
        <v>306.0</v>
      </c>
      <c r="D307" s="3">
        <v>44150.0</v>
      </c>
      <c r="E307" s="2" t="s">
        <v>2119</v>
      </c>
      <c r="F307" s="2" t="s">
        <v>2120</v>
      </c>
      <c r="G307" s="2">
        <v>44.92</v>
      </c>
      <c r="H307" s="2" t="s">
        <v>2121</v>
      </c>
      <c r="I307" s="2" t="s">
        <v>2122</v>
      </c>
      <c r="J307" s="2" t="s">
        <v>2123</v>
      </c>
      <c r="K307" s="2" t="s">
        <v>119</v>
      </c>
      <c r="M307" s="2">
        <v>20.0</v>
      </c>
      <c r="N307" s="2">
        <v>9598.46</v>
      </c>
      <c r="O307" s="2" t="s">
        <v>28</v>
      </c>
      <c r="P307" s="2" t="s">
        <v>2124</v>
      </c>
      <c r="Q307" s="2" t="s">
        <v>2125</v>
      </c>
      <c r="S307" s="2" t="s">
        <v>2126</v>
      </c>
      <c r="T307" s="2" t="s">
        <v>114</v>
      </c>
      <c r="U307" s="2" t="s">
        <v>46</v>
      </c>
    </row>
    <row r="308">
      <c r="A308" s="2">
        <v>307.0</v>
      </c>
      <c r="B308" s="2">
        <v>307.0</v>
      </c>
      <c r="C308" s="2">
        <v>307.0</v>
      </c>
      <c r="D308" s="3">
        <v>44129.0</v>
      </c>
      <c r="E308" s="2" t="s">
        <v>2127</v>
      </c>
      <c r="F308" s="2" t="s">
        <v>48</v>
      </c>
      <c r="G308" s="2">
        <v>275.78</v>
      </c>
      <c r="H308" s="2" t="s">
        <v>2128</v>
      </c>
      <c r="I308" s="2" t="s">
        <v>2129</v>
      </c>
      <c r="J308" s="2" t="s">
        <v>2130</v>
      </c>
      <c r="K308" s="2" t="s">
        <v>32</v>
      </c>
      <c r="M308" s="2">
        <v>44.0</v>
      </c>
      <c r="N308" s="2">
        <v>4533.92</v>
      </c>
      <c r="O308" s="2" t="s">
        <v>28</v>
      </c>
      <c r="P308" s="2" t="s">
        <v>2131</v>
      </c>
      <c r="Q308" s="2" t="s">
        <v>2132</v>
      </c>
      <c r="T308" s="2" t="s">
        <v>119</v>
      </c>
      <c r="U308" s="2" t="s">
        <v>33</v>
      </c>
    </row>
    <row r="309">
      <c r="A309" s="2">
        <v>308.0</v>
      </c>
      <c r="B309" s="2">
        <v>308.0</v>
      </c>
      <c r="C309" s="2">
        <v>308.0</v>
      </c>
      <c r="D309" s="3">
        <v>44504.0</v>
      </c>
      <c r="E309" s="2" t="s">
        <v>2133</v>
      </c>
      <c r="F309" s="2" t="s">
        <v>310</v>
      </c>
      <c r="G309" s="2">
        <v>564.17</v>
      </c>
      <c r="H309" s="2" t="s">
        <v>2134</v>
      </c>
      <c r="I309" s="2" t="s">
        <v>2135</v>
      </c>
      <c r="J309" s="2" t="s">
        <v>2136</v>
      </c>
      <c r="K309" s="2" t="s">
        <v>114</v>
      </c>
      <c r="L309" s="2" t="s">
        <v>2137</v>
      </c>
      <c r="M309" s="2">
        <v>4.0</v>
      </c>
      <c r="N309" s="2">
        <v>1704.02</v>
      </c>
      <c r="O309" s="2" t="s">
        <v>41</v>
      </c>
      <c r="P309" s="2" t="s">
        <v>2138</v>
      </c>
      <c r="Q309" s="2" t="s">
        <v>2139</v>
      </c>
      <c r="T309" s="2" t="s">
        <v>119</v>
      </c>
      <c r="U309" s="2" t="s">
        <v>46</v>
      </c>
    </row>
    <row r="310">
      <c r="A310" s="2">
        <v>309.0</v>
      </c>
      <c r="B310" s="2">
        <v>309.0</v>
      </c>
      <c r="C310" s="2">
        <v>309.0</v>
      </c>
      <c r="D310" s="3">
        <v>44398.0</v>
      </c>
      <c r="E310" s="2" t="s">
        <v>2140</v>
      </c>
      <c r="F310" s="2" t="s">
        <v>73</v>
      </c>
      <c r="G310" s="2">
        <v>707.29</v>
      </c>
      <c r="H310" s="2" t="s">
        <v>2141</v>
      </c>
      <c r="I310" s="2" t="s">
        <v>2142</v>
      </c>
      <c r="J310" s="2" t="s">
        <v>2143</v>
      </c>
      <c r="K310" s="2" t="s">
        <v>612</v>
      </c>
      <c r="M310" s="2">
        <v>25.0</v>
      </c>
      <c r="N310" s="2">
        <v>9670.23</v>
      </c>
      <c r="O310" s="2" t="s">
        <v>52</v>
      </c>
      <c r="P310" s="2" t="s">
        <v>2144</v>
      </c>
      <c r="Q310" s="2" t="s">
        <v>2145</v>
      </c>
      <c r="S310" s="2">
        <v>8542.0</v>
      </c>
      <c r="T310" s="2" t="s">
        <v>327</v>
      </c>
      <c r="U310" s="2" t="s">
        <v>46</v>
      </c>
    </row>
    <row r="311">
      <c r="A311" s="2">
        <v>310.0</v>
      </c>
      <c r="B311" s="2">
        <v>310.0</v>
      </c>
      <c r="C311" s="2">
        <v>310.0</v>
      </c>
      <c r="D311" s="3">
        <v>44147.0</v>
      </c>
      <c r="E311" s="2" t="s">
        <v>2146</v>
      </c>
      <c r="F311" s="2" t="s">
        <v>2147</v>
      </c>
      <c r="G311" s="2">
        <v>613.87</v>
      </c>
      <c r="H311" s="2" t="s">
        <v>358</v>
      </c>
      <c r="I311" s="2" t="s">
        <v>2148</v>
      </c>
      <c r="J311" s="2" t="s">
        <v>2149</v>
      </c>
      <c r="K311" s="2" t="s">
        <v>39</v>
      </c>
      <c r="L311" s="2" t="s">
        <v>2150</v>
      </c>
      <c r="M311" s="2">
        <v>35.0</v>
      </c>
      <c r="N311" s="2">
        <v>8846.93</v>
      </c>
      <c r="O311" s="2" t="s">
        <v>52</v>
      </c>
      <c r="P311" s="2" t="s">
        <v>2151</v>
      </c>
      <c r="Q311" s="2" t="s">
        <v>2152</v>
      </c>
      <c r="R311" s="2" t="s">
        <v>736</v>
      </c>
      <c r="S311" s="2" t="s">
        <v>2153</v>
      </c>
      <c r="T311" s="2" t="s">
        <v>114</v>
      </c>
      <c r="U311" s="2" t="s">
        <v>33</v>
      </c>
    </row>
    <row r="312">
      <c r="A312" s="2">
        <v>311.0</v>
      </c>
      <c r="B312" s="2">
        <v>311.0</v>
      </c>
      <c r="C312" s="2">
        <v>311.0</v>
      </c>
      <c r="D312" s="3">
        <v>44522.0</v>
      </c>
      <c r="E312" s="2" t="s">
        <v>2154</v>
      </c>
      <c r="F312" s="2" t="s">
        <v>35</v>
      </c>
      <c r="G312" s="2">
        <v>628.77</v>
      </c>
      <c r="H312" s="2" t="s">
        <v>2155</v>
      </c>
      <c r="I312" s="2" t="s">
        <v>2156</v>
      </c>
      <c r="J312" s="2" t="s">
        <v>2157</v>
      </c>
      <c r="K312" s="2" t="s">
        <v>434</v>
      </c>
      <c r="M312" s="2">
        <v>34.0</v>
      </c>
      <c r="N312" s="2">
        <v>3993.13</v>
      </c>
      <c r="O312" s="2" t="s">
        <v>41</v>
      </c>
      <c r="P312" s="2" t="s">
        <v>1368</v>
      </c>
      <c r="Q312" s="2" t="s">
        <v>2158</v>
      </c>
      <c r="S312" s="2" t="s">
        <v>2159</v>
      </c>
      <c r="T312" s="2" t="s">
        <v>257</v>
      </c>
      <c r="U312" s="2" t="s">
        <v>71</v>
      </c>
    </row>
    <row r="313">
      <c r="A313" s="2">
        <v>312.0</v>
      </c>
      <c r="B313" s="2">
        <v>312.0</v>
      </c>
      <c r="C313" s="2">
        <v>312.0</v>
      </c>
      <c r="D313" s="3">
        <v>43851.0</v>
      </c>
      <c r="E313" s="2" t="s">
        <v>2160</v>
      </c>
      <c r="F313" s="2" t="s">
        <v>142</v>
      </c>
      <c r="G313" s="2">
        <v>482.5</v>
      </c>
      <c r="H313" s="2" t="s">
        <v>2161</v>
      </c>
      <c r="I313" s="2" t="s">
        <v>2162</v>
      </c>
      <c r="J313" s="2" t="s">
        <v>2163</v>
      </c>
      <c r="K313" s="2" t="s">
        <v>163</v>
      </c>
      <c r="L313" s="2" t="s">
        <v>2164</v>
      </c>
      <c r="M313" s="2">
        <v>94.0</v>
      </c>
      <c r="N313" s="2">
        <v>9549.6</v>
      </c>
      <c r="O313" s="2" t="s">
        <v>41</v>
      </c>
      <c r="P313" s="2" t="s">
        <v>2165</v>
      </c>
      <c r="Q313" s="2" t="s">
        <v>2166</v>
      </c>
      <c r="S313" s="2" t="s">
        <v>2167</v>
      </c>
      <c r="T313" s="2" t="s">
        <v>114</v>
      </c>
      <c r="U313" s="2" t="s">
        <v>71</v>
      </c>
    </row>
    <row r="314">
      <c r="A314" s="2">
        <v>313.0</v>
      </c>
      <c r="B314" s="2">
        <v>313.0</v>
      </c>
      <c r="C314" s="2">
        <v>313.0</v>
      </c>
      <c r="D314" s="3">
        <v>44336.0</v>
      </c>
      <c r="E314" s="2" t="s">
        <v>2168</v>
      </c>
      <c r="F314" s="2" t="s">
        <v>480</v>
      </c>
      <c r="G314" s="2">
        <v>922.82</v>
      </c>
      <c r="H314" s="2" t="s">
        <v>2169</v>
      </c>
      <c r="I314" s="2" t="s">
        <v>2170</v>
      </c>
      <c r="J314" s="2" t="s">
        <v>2171</v>
      </c>
      <c r="K314" s="2" t="s">
        <v>95</v>
      </c>
      <c r="M314" s="2">
        <v>27.0</v>
      </c>
      <c r="N314" s="2">
        <v>2575.69</v>
      </c>
      <c r="O314" s="2" t="s">
        <v>41</v>
      </c>
      <c r="P314" s="2" t="s">
        <v>2172</v>
      </c>
      <c r="Q314" s="2" t="s">
        <v>2173</v>
      </c>
      <c r="S314" s="2">
        <v>80279.0</v>
      </c>
      <c r="T314" s="2" t="s">
        <v>101</v>
      </c>
      <c r="U314" s="2" t="s">
        <v>71</v>
      </c>
    </row>
    <row r="315">
      <c r="A315" s="2">
        <v>314.0</v>
      </c>
      <c r="B315" s="2">
        <v>314.0</v>
      </c>
      <c r="C315" s="2">
        <v>314.0</v>
      </c>
      <c r="D315" s="3">
        <v>44058.0</v>
      </c>
      <c r="E315" s="2" t="s">
        <v>1033</v>
      </c>
      <c r="F315" s="2" t="s">
        <v>263</v>
      </c>
      <c r="G315" s="2">
        <v>958.55</v>
      </c>
      <c r="H315" s="2" t="s">
        <v>2174</v>
      </c>
      <c r="I315" s="2" t="s">
        <v>2175</v>
      </c>
      <c r="J315" s="2" t="s">
        <v>2176</v>
      </c>
      <c r="K315" s="2" t="s">
        <v>327</v>
      </c>
      <c r="L315" s="2">
        <v>5056.0</v>
      </c>
      <c r="M315" s="2">
        <v>70.0</v>
      </c>
      <c r="N315" s="2">
        <v>9158.23</v>
      </c>
      <c r="O315" s="2" t="s">
        <v>52</v>
      </c>
      <c r="P315" s="2" t="s">
        <v>2177</v>
      </c>
      <c r="Q315" s="2" t="s">
        <v>2178</v>
      </c>
      <c r="T315" s="2" t="s">
        <v>330</v>
      </c>
      <c r="U315" s="2" t="s">
        <v>46</v>
      </c>
    </row>
    <row r="316">
      <c r="A316" s="2">
        <v>315.0</v>
      </c>
      <c r="B316" s="2">
        <v>315.0</v>
      </c>
      <c r="C316" s="2">
        <v>315.0</v>
      </c>
      <c r="D316" s="3">
        <v>43911.0</v>
      </c>
      <c r="E316" s="2" t="s">
        <v>1460</v>
      </c>
      <c r="F316" s="2" t="s">
        <v>1411</v>
      </c>
      <c r="G316" s="2">
        <v>404.09</v>
      </c>
      <c r="H316" s="2" t="s">
        <v>2179</v>
      </c>
      <c r="I316" s="2" t="s">
        <v>2180</v>
      </c>
      <c r="J316" s="2" t="s">
        <v>2181</v>
      </c>
      <c r="K316" s="2" t="s">
        <v>127</v>
      </c>
      <c r="L316" s="2" t="s">
        <v>2182</v>
      </c>
      <c r="M316" s="2">
        <v>31.0</v>
      </c>
      <c r="N316" s="2">
        <v>2192.63</v>
      </c>
      <c r="O316" s="2" t="s">
        <v>52</v>
      </c>
      <c r="P316" s="2" t="s">
        <v>2183</v>
      </c>
      <c r="Q316" s="2" t="s">
        <v>2184</v>
      </c>
      <c r="T316" s="2" t="s">
        <v>1826</v>
      </c>
      <c r="U316" s="2" t="s">
        <v>46</v>
      </c>
    </row>
    <row r="317">
      <c r="A317" s="2">
        <v>316.0</v>
      </c>
      <c r="B317" s="2">
        <v>316.0</v>
      </c>
      <c r="C317" s="2">
        <v>316.0</v>
      </c>
      <c r="D317" s="3">
        <v>43892.0</v>
      </c>
      <c r="E317" s="2" t="s">
        <v>2185</v>
      </c>
      <c r="F317" s="2" t="s">
        <v>2186</v>
      </c>
      <c r="G317" s="2">
        <v>488.18</v>
      </c>
      <c r="H317" s="2" t="s">
        <v>2187</v>
      </c>
      <c r="I317" s="2" t="s">
        <v>2188</v>
      </c>
      <c r="J317" s="2" t="s">
        <v>2189</v>
      </c>
      <c r="K317" s="2" t="s">
        <v>32</v>
      </c>
      <c r="M317" s="2">
        <v>54.0</v>
      </c>
      <c r="N317" s="2">
        <v>3944.73</v>
      </c>
      <c r="O317" s="2" t="s">
        <v>52</v>
      </c>
      <c r="P317" s="2" t="s">
        <v>600</v>
      </c>
      <c r="Q317" s="2" t="s">
        <v>2190</v>
      </c>
      <c r="S317" s="2" t="s">
        <v>2191</v>
      </c>
      <c r="T317" s="2" t="s">
        <v>257</v>
      </c>
      <c r="U317" s="2" t="s">
        <v>33</v>
      </c>
    </row>
    <row r="318">
      <c r="A318" s="2">
        <v>317.0</v>
      </c>
      <c r="B318" s="2">
        <v>317.0</v>
      </c>
      <c r="C318" s="2">
        <v>317.0</v>
      </c>
      <c r="D318" s="3">
        <v>44002.0</v>
      </c>
      <c r="E318" s="2" t="s">
        <v>2192</v>
      </c>
      <c r="F318" s="2" t="s">
        <v>501</v>
      </c>
      <c r="G318" s="2">
        <v>360.66</v>
      </c>
      <c r="H318" s="2" t="s">
        <v>2193</v>
      </c>
      <c r="I318" s="2" t="s">
        <v>2194</v>
      </c>
      <c r="J318" s="2" t="s">
        <v>2195</v>
      </c>
      <c r="K318" s="2" t="s">
        <v>316</v>
      </c>
      <c r="M318" s="2">
        <v>73.0</v>
      </c>
      <c r="N318" s="2">
        <v>856.64</v>
      </c>
      <c r="O318" s="2" t="s">
        <v>41</v>
      </c>
      <c r="P318" s="2" t="s">
        <v>2196</v>
      </c>
      <c r="Q318" s="2" t="s">
        <v>2197</v>
      </c>
      <c r="T318" s="2" t="s">
        <v>225</v>
      </c>
      <c r="U318" s="2" t="s">
        <v>71</v>
      </c>
    </row>
    <row r="319">
      <c r="A319" s="2">
        <v>318.0</v>
      </c>
      <c r="B319" s="2">
        <v>318.0</v>
      </c>
      <c r="C319" s="2">
        <v>318.0</v>
      </c>
      <c r="D319" s="3">
        <v>44521.0</v>
      </c>
      <c r="E319" s="2" t="s">
        <v>1576</v>
      </c>
      <c r="F319" s="2" t="s">
        <v>142</v>
      </c>
      <c r="G319" s="2">
        <v>230.77</v>
      </c>
      <c r="H319" s="2" t="s">
        <v>2198</v>
      </c>
      <c r="I319" s="2" t="s">
        <v>2199</v>
      </c>
      <c r="J319" s="2" t="s">
        <v>2200</v>
      </c>
      <c r="K319" s="2" t="s">
        <v>241</v>
      </c>
      <c r="L319" s="2">
        <v>2701.0</v>
      </c>
      <c r="M319" s="2">
        <v>85.0</v>
      </c>
      <c r="N319" s="2">
        <v>3119.35</v>
      </c>
      <c r="O319" s="2" t="s">
        <v>52</v>
      </c>
      <c r="P319" s="2" t="s">
        <v>2201</v>
      </c>
      <c r="Q319" s="2" t="s">
        <v>2202</v>
      </c>
      <c r="T319" s="2" t="s">
        <v>1008</v>
      </c>
      <c r="U319" s="2" t="s">
        <v>71</v>
      </c>
    </row>
    <row r="320">
      <c r="A320" s="2">
        <v>319.0</v>
      </c>
      <c r="B320" s="2">
        <v>319.0</v>
      </c>
      <c r="C320" s="2">
        <v>319.0</v>
      </c>
      <c r="D320" s="3">
        <v>43861.0</v>
      </c>
      <c r="E320" s="2" t="s">
        <v>2203</v>
      </c>
      <c r="F320" s="2" t="s">
        <v>2204</v>
      </c>
      <c r="G320" s="2">
        <v>973.51</v>
      </c>
      <c r="H320" s="2" t="s">
        <v>2205</v>
      </c>
      <c r="I320" s="2" t="s">
        <v>2206</v>
      </c>
      <c r="J320" s="2" t="s">
        <v>2207</v>
      </c>
      <c r="K320" s="2" t="s">
        <v>77</v>
      </c>
      <c r="M320" s="2">
        <v>99.0</v>
      </c>
      <c r="N320" s="2">
        <v>6813.38</v>
      </c>
      <c r="O320" s="2" t="s">
        <v>52</v>
      </c>
      <c r="P320" s="2" t="s">
        <v>1641</v>
      </c>
      <c r="Q320" s="2" t="s">
        <v>2208</v>
      </c>
      <c r="T320" s="2" t="s">
        <v>119</v>
      </c>
      <c r="U320" s="2" t="s">
        <v>46</v>
      </c>
    </row>
    <row r="321">
      <c r="A321" s="2">
        <v>320.0</v>
      </c>
      <c r="B321" s="2">
        <v>320.0</v>
      </c>
      <c r="C321" s="2">
        <v>320.0</v>
      </c>
      <c r="D321" s="3">
        <v>43907.0</v>
      </c>
      <c r="E321" s="2" t="s">
        <v>2209</v>
      </c>
      <c r="F321" s="2" t="s">
        <v>546</v>
      </c>
      <c r="G321" s="2">
        <v>590.64</v>
      </c>
      <c r="H321" s="2" t="s">
        <v>2210</v>
      </c>
      <c r="I321" s="2" t="s">
        <v>2211</v>
      </c>
      <c r="J321" s="2" t="s">
        <v>2212</v>
      </c>
      <c r="K321" s="2" t="s">
        <v>2213</v>
      </c>
      <c r="M321" s="2">
        <v>25.0</v>
      </c>
      <c r="N321" s="2">
        <v>87.31</v>
      </c>
      <c r="O321" s="2" t="s">
        <v>41</v>
      </c>
      <c r="P321" s="2" t="s">
        <v>2214</v>
      </c>
      <c r="Q321" s="2" t="s">
        <v>2215</v>
      </c>
      <c r="S321" s="2">
        <v>546058.0</v>
      </c>
      <c r="T321" s="2" t="s">
        <v>819</v>
      </c>
      <c r="U321" s="2" t="s">
        <v>71</v>
      </c>
    </row>
    <row r="322">
      <c r="A322" s="2">
        <v>321.0</v>
      </c>
      <c r="B322" s="2">
        <v>321.0</v>
      </c>
      <c r="C322" s="2">
        <v>321.0</v>
      </c>
      <c r="D322" s="3">
        <v>44080.0</v>
      </c>
      <c r="E322" s="2" t="s">
        <v>2216</v>
      </c>
      <c r="F322" s="2" t="s">
        <v>48</v>
      </c>
      <c r="G322" s="2">
        <v>906.58</v>
      </c>
      <c r="H322" s="2" t="s">
        <v>2217</v>
      </c>
      <c r="I322" s="2" t="s">
        <v>2218</v>
      </c>
      <c r="J322" s="2" t="s">
        <v>2219</v>
      </c>
      <c r="K322" s="2" t="s">
        <v>257</v>
      </c>
      <c r="L322" s="2" t="s">
        <v>2220</v>
      </c>
      <c r="M322" s="2">
        <v>43.0</v>
      </c>
      <c r="N322" s="2">
        <v>7799.37</v>
      </c>
      <c r="O322" s="2" t="s">
        <v>28</v>
      </c>
      <c r="P322" s="2" t="s">
        <v>2221</v>
      </c>
      <c r="Q322" s="2" t="s">
        <v>2222</v>
      </c>
      <c r="R322" s="2" t="s">
        <v>2223</v>
      </c>
      <c r="T322" s="2" t="s">
        <v>32</v>
      </c>
      <c r="U322" s="2" t="s">
        <v>33</v>
      </c>
    </row>
    <row r="323">
      <c r="A323" s="2">
        <v>322.0</v>
      </c>
      <c r="B323" s="2">
        <v>322.0</v>
      </c>
      <c r="C323" s="2">
        <v>322.0</v>
      </c>
      <c r="D323" s="3">
        <v>44263.0</v>
      </c>
      <c r="E323" s="2" t="s">
        <v>2224</v>
      </c>
      <c r="F323" s="2" t="s">
        <v>2225</v>
      </c>
      <c r="G323" s="2">
        <v>465.59</v>
      </c>
      <c r="H323" s="2" t="s">
        <v>2226</v>
      </c>
      <c r="I323" s="2" t="s">
        <v>2227</v>
      </c>
      <c r="J323" s="2" t="s">
        <v>2228</v>
      </c>
      <c r="K323" s="2" t="s">
        <v>26</v>
      </c>
      <c r="L323" s="2" t="s">
        <v>2229</v>
      </c>
      <c r="M323" s="2">
        <v>4.0</v>
      </c>
      <c r="N323" s="2">
        <v>4478.68</v>
      </c>
      <c r="O323" s="2" t="s">
        <v>28</v>
      </c>
      <c r="P323" s="2" t="s">
        <v>2230</v>
      </c>
      <c r="Q323" s="2" t="s">
        <v>2231</v>
      </c>
      <c r="R323" s="2" t="s">
        <v>2232</v>
      </c>
      <c r="S323" s="2" t="s">
        <v>2233</v>
      </c>
      <c r="T323" s="2" t="s">
        <v>26</v>
      </c>
      <c r="U323" s="2" t="s">
        <v>46</v>
      </c>
    </row>
    <row r="324">
      <c r="A324" s="2">
        <v>323.0</v>
      </c>
      <c r="B324" s="2">
        <v>323.0</v>
      </c>
      <c r="C324" s="2">
        <v>323.0</v>
      </c>
      <c r="D324" s="3">
        <v>44513.0</v>
      </c>
      <c r="E324" s="2" t="s">
        <v>2234</v>
      </c>
      <c r="F324" s="2" t="s">
        <v>567</v>
      </c>
      <c r="G324" s="2">
        <v>103.55</v>
      </c>
      <c r="H324" s="2" t="s">
        <v>2235</v>
      </c>
      <c r="I324" s="2" t="s">
        <v>2236</v>
      </c>
      <c r="J324" s="2" t="s">
        <v>2237</v>
      </c>
      <c r="K324" s="2" t="s">
        <v>26</v>
      </c>
      <c r="L324" s="2" t="s">
        <v>2238</v>
      </c>
      <c r="M324" s="2">
        <v>74.0</v>
      </c>
      <c r="N324" s="2">
        <v>3288.2</v>
      </c>
      <c r="O324" s="2" t="s">
        <v>52</v>
      </c>
      <c r="P324" s="2" t="s">
        <v>355</v>
      </c>
      <c r="Q324" s="2" t="s">
        <v>2239</v>
      </c>
      <c r="R324" s="2" t="s">
        <v>1756</v>
      </c>
      <c r="S324" s="2" t="s">
        <v>2240</v>
      </c>
      <c r="T324" s="2" t="s">
        <v>39</v>
      </c>
      <c r="U324" s="2" t="s">
        <v>33</v>
      </c>
    </row>
    <row r="325">
      <c r="A325" s="2">
        <v>324.0</v>
      </c>
      <c r="B325" s="2">
        <v>324.0</v>
      </c>
      <c r="C325" s="2">
        <v>324.0</v>
      </c>
      <c r="D325" s="3">
        <v>44069.0</v>
      </c>
      <c r="E325" s="2" t="s">
        <v>2241</v>
      </c>
      <c r="F325" s="2" t="s">
        <v>133</v>
      </c>
      <c r="G325" s="2">
        <v>605.44</v>
      </c>
      <c r="H325" s="2" t="s">
        <v>2242</v>
      </c>
      <c r="I325" s="2" t="s">
        <v>2243</v>
      </c>
      <c r="J325" s="2" t="s">
        <v>2244</v>
      </c>
      <c r="K325" s="2" t="s">
        <v>101</v>
      </c>
      <c r="L325" s="2">
        <v>78703.0</v>
      </c>
      <c r="M325" s="2">
        <v>71.0</v>
      </c>
      <c r="N325" s="2">
        <v>3654.35</v>
      </c>
      <c r="O325" s="2" t="s">
        <v>41</v>
      </c>
      <c r="P325" s="2" t="s">
        <v>2245</v>
      </c>
      <c r="Q325" s="2" t="s">
        <v>2246</v>
      </c>
      <c r="R325" s="2" t="s">
        <v>2247</v>
      </c>
      <c r="S325" s="2" t="s">
        <v>2248</v>
      </c>
      <c r="T325" s="2" t="s">
        <v>163</v>
      </c>
      <c r="U325" s="2" t="s">
        <v>46</v>
      </c>
    </row>
    <row r="326">
      <c r="A326" s="2">
        <v>325.0</v>
      </c>
      <c r="B326" s="2">
        <v>325.0</v>
      </c>
      <c r="C326" s="2">
        <v>325.0</v>
      </c>
      <c r="D326" s="3">
        <v>44488.0</v>
      </c>
      <c r="E326" s="2" t="s">
        <v>2119</v>
      </c>
      <c r="F326" s="2" t="s">
        <v>2120</v>
      </c>
      <c r="G326" s="2">
        <v>181.32</v>
      </c>
      <c r="H326" s="2" t="s">
        <v>2249</v>
      </c>
      <c r="I326" s="2" t="s">
        <v>2250</v>
      </c>
      <c r="J326" s="2" t="s">
        <v>2251</v>
      </c>
      <c r="K326" s="2" t="s">
        <v>32</v>
      </c>
      <c r="M326" s="2">
        <v>13.0</v>
      </c>
      <c r="N326" s="2">
        <v>5022.39</v>
      </c>
      <c r="O326" s="2" t="s">
        <v>28</v>
      </c>
      <c r="P326" s="2" t="s">
        <v>2252</v>
      </c>
      <c r="Q326" s="2" t="s">
        <v>1114</v>
      </c>
      <c r="S326" s="2" t="s">
        <v>2253</v>
      </c>
      <c r="T326" s="2" t="s">
        <v>1660</v>
      </c>
      <c r="U326" s="2" t="s">
        <v>33</v>
      </c>
    </row>
    <row r="327">
      <c r="A327" s="2">
        <v>326.0</v>
      </c>
      <c r="B327" s="2">
        <v>326.0</v>
      </c>
      <c r="C327" s="2">
        <v>326.0</v>
      </c>
      <c r="D327" s="3">
        <v>44126.0</v>
      </c>
      <c r="E327" s="2" t="s">
        <v>2254</v>
      </c>
      <c r="F327" s="2" t="s">
        <v>237</v>
      </c>
      <c r="G327" s="2">
        <v>39.72</v>
      </c>
      <c r="H327" s="2" t="s">
        <v>2255</v>
      </c>
      <c r="I327" s="2" t="s">
        <v>2256</v>
      </c>
      <c r="J327" s="2" t="s">
        <v>2257</v>
      </c>
      <c r="K327" s="2" t="s">
        <v>163</v>
      </c>
      <c r="L327" s="2" t="s">
        <v>2258</v>
      </c>
      <c r="M327" s="2">
        <v>15.0</v>
      </c>
      <c r="N327" s="2">
        <v>9734.29</v>
      </c>
      <c r="O327" s="2" t="s">
        <v>28</v>
      </c>
      <c r="P327" s="2" t="s">
        <v>2259</v>
      </c>
      <c r="Q327" s="2" t="s">
        <v>2260</v>
      </c>
      <c r="T327" s="2" t="s">
        <v>2261</v>
      </c>
      <c r="U327" s="2" t="s">
        <v>71</v>
      </c>
    </row>
    <row r="328">
      <c r="A328" s="2">
        <v>327.0</v>
      </c>
      <c r="B328" s="2">
        <v>327.0</v>
      </c>
      <c r="C328" s="2">
        <v>327.0</v>
      </c>
      <c r="D328" s="3">
        <v>43865.0</v>
      </c>
      <c r="E328" s="2" t="s">
        <v>2262</v>
      </c>
      <c r="F328" s="2" t="s">
        <v>142</v>
      </c>
      <c r="G328" s="2">
        <v>645.23</v>
      </c>
      <c r="H328" s="2" t="s">
        <v>2263</v>
      </c>
      <c r="I328" s="2" t="s">
        <v>2264</v>
      </c>
      <c r="J328" s="2" t="s">
        <v>2265</v>
      </c>
      <c r="K328" s="2" t="s">
        <v>114</v>
      </c>
      <c r="L328" s="2" t="s">
        <v>2266</v>
      </c>
      <c r="M328" s="2">
        <v>8.0</v>
      </c>
      <c r="N328" s="2">
        <v>6673.53</v>
      </c>
      <c r="O328" s="2" t="s">
        <v>28</v>
      </c>
      <c r="P328" s="2" t="s">
        <v>939</v>
      </c>
      <c r="Q328" s="2" t="s">
        <v>2267</v>
      </c>
      <c r="S328" s="2">
        <v>53291.0</v>
      </c>
      <c r="T328" s="2" t="s">
        <v>217</v>
      </c>
      <c r="U328" s="2" t="s">
        <v>46</v>
      </c>
    </row>
    <row r="329">
      <c r="A329" s="2">
        <v>328.0</v>
      </c>
      <c r="B329" s="2">
        <v>328.0</v>
      </c>
      <c r="C329" s="2">
        <v>328.0</v>
      </c>
      <c r="D329" s="3">
        <v>43916.0</v>
      </c>
      <c r="E329" s="2" t="s">
        <v>2268</v>
      </c>
      <c r="F329" s="2" t="s">
        <v>2225</v>
      </c>
      <c r="G329" s="2">
        <v>825.36</v>
      </c>
      <c r="H329" s="2" t="s">
        <v>2269</v>
      </c>
      <c r="I329" s="2" t="s">
        <v>2270</v>
      </c>
      <c r="J329" s="2" t="s">
        <v>2271</v>
      </c>
      <c r="K329" s="2" t="s">
        <v>189</v>
      </c>
      <c r="M329" s="2">
        <v>71.0</v>
      </c>
      <c r="N329" s="2">
        <v>1033.58</v>
      </c>
      <c r="O329" s="2" t="s">
        <v>41</v>
      </c>
      <c r="P329" s="2" t="s">
        <v>1368</v>
      </c>
      <c r="Q329" s="2" t="s">
        <v>2272</v>
      </c>
      <c r="T329" s="2" t="s">
        <v>119</v>
      </c>
      <c r="U329" s="2" t="s">
        <v>46</v>
      </c>
    </row>
    <row r="330">
      <c r="A330" s="2">
        <v>329.0</v>
      </c>
      <c r="B330" s="2">
        <v>329.0</v>
      </c>
      <c r="C330" s="2">
        <v>329.0</v>
      </c>
      <c r="D330" s="3">
        <v>44001.0</v>
      </c>
      <c r="E330" s="2" t="s">
        <v>2273</v>
      </c>
      <c r="F330" s="2" t="s">
        <v>73</v>
      </c>
      <c r="G330" s="2">
        <v>232.13</v>
      </c>
      <c r="H330" s="2" t="s">
        <v>2274</v>
      </c>
      <c r="I330" s="2" t="s">
        <v>2275</v>
      </c>
      <c r="J330" s="2" t="s">
        <v>2276</v>
      </c>
      <c r="K330" s="2" t="s">
        <v>32</v>
      </c>
      <c r="M330" s="2">
        <v>9.0</v>
      </c>
      <c r="N330" s="2">
        <v>992.78</v>
      </c>
      <c r="O330" s="2" t="s">
        <v>28</v>
      </c>
      <c r="P330" s="2" t="s">
        <v>2277</v>
      </c>
      <c r="Q330" s="2" t="s">
        <v>2278</v>
      </c>
      <c r="S330" s="2">
        <v>3384.0</v>
      </c>
      <c r="T330" s="2" t="s">
        <v>460</v>
      </c>
      <c r="U330" s="2" t="s">
        <v>33</v>
      </c>
    </row>
    <row r="331">
      <c r="A331" s="2">
        <v>330.0</v>
      </c>
      <c r="B331" s="2">
        <v>330.0</v>
      </c>
      <c r="C331" s="2">
        <v>330.0</v>
      </c>
      <c r="D331" s="3">
        <v>44095.0</v>
      </c>
      <c r="E331" s="2" t="s">
        <v>2279</v>
      </c>
      <c r="F331" s="2" t="s">
        <v>1671</v>
      </c>
      <c r="G331" s="2">
        <v>597.82</v>
      </c>
      <c r="H331" s="2" t="s">
        <v>2280</v>
      </c>
      <c r="I331" s="2" t="s">
        <v>2281</v>
      </c>
      <c r="J331" s="2" t="s">
        <v>2282</v>
      </c>
      <c r="K331" s="2" t="s">
        <v>26</v>
      </c>
      <c r="L331" s="2" t="s">
        <v>2283</v>
      </c>
      <c r="M331" s="2">
        <v>28.0</v>
      </c>
      <c r="N331" s="2">
        <v>1530.56</v>
      </c>
      <c r="O331" s="2" t="s">
        <v>41</v>
      </c>
      <c r="P331" s="2" t="s">
        <v>2284</v>
      </c>
      <c r="Q331" s="2" t="s">
        <v>2285</v>
      </c>
      <c r="R331" s="2" t="s">
        <v>682</v>
      </c>
      <c r="S331" s="2" t="s">
        <v>2286</v>
      </c>
      <c r="T331" s="2" t="s">
        <v>127</v>
      </c>
      <c r="U331" s="2" t="s">
        <v>71</v>
      </c>
    </row>
    <row r="332">
      <c r="A332" s="2">
        <v>331.0</v>
      </c>
      <c r="B332" s="2">
        <v>331.0</v>
      </c>
      <c r="C332" s="2">
        <v>331.0</v>
      </c>
      <c r="D332" s="3">
        <v>43903.0</v>
      </c>
      <c r="E332" s="2" t="s">
        <v>2287</v>
      </c>
      <c r="F332" s="2" t="s">
        <v>56</v>
      </c>
      <c r="G332" s="2">
        <v>891.08</v>
      </c>
      <c r="H332" s="2" t="s">
        <v>2288</v>
      </c>
      <c r="I332" s="2" t="s">
        <v>2289</v>
      </c>
      <c r="J332" s="2" t="s">
        <v>2290</v>
      </c>
      <c r="K332" s="2" t="s">
        <v>119</v>
      </c>
      <c r="M332" s="2">
        <v>12.0</v>
      </c>
      <c r="N332" s="2">
        <v>1134.63</v>
      </c>
      <c r="O332" s="2" t="s">
        <v>41</v>
      </c>
      <c r="P332" s="2" t="s">
        <v>2291</v>
      </c>
      <c r="Q332" s="2" t="s">
        <v>2292</v>
      </c>
      <c r="S332" s="2" t="s">
        <v>2293</v>
      </c>
      <c r="T332" s="2" t="s">
        <v>257</v>
      </c>
      <c r="U332" s="2" t="s">
        <v>33</v>
      </c>
    </row>
    <row r="333">
      <c r="A333" s="2">
        <v>332.0</v>
      </c>
      <c r="B333" s="2">
        <v>332.0</v>
      </c>
      <c r="C333" s="2">
        <v>332.0</v>
      </c>
      <c r="D333" s="3">
        <v>43991.0</v>
      </c>
      <c r="E333" s="2" t="s">
        <v>2294</v>
      </c>
      <c r="F333" s="2" t="s">
        <v>230</v>
      </c>
      <c r="G333" s="2">
        <v>649.22</v>
      </c>
      <c r="H333" s="2" t="s">
        <v>2295</v>
      </c>
      <c r="I333" s="2" t="s">
        <v>2296</v>
      </c>
      <c r="J333" s="2" t="s">
        <v>2297</v>
      </c>
      <c r="K333" s="2" t="s">
        <v>1708</v>
      </c>
      <c r="M333" s="2">
        <v>74.0</v>
      </c>
      <c r="N333" s="2">
        <v>4257.72</v>
      </c>
      <c r="O333" s="2" t="s">
        <v>52</v>
      </c>
      <c r="P333" s="2" t="s">
        <v>2298</v>
      </c>
      <c r="Q333" s="2" t="s">
        <v>2299</v>
      </c>
      <c r="T333" s="2" t="s">
        <v>1008</v>
      </c>
      <c r="U333" s="2" t="s">
        <v>33</v>
      </c>
    </row>
    <row r="334">
      <c r="A334" s="2">
        <v>333.0</v>
      </c>
      <c r="B334" s="2">
        <v>333.0</v>
      </c>
      <c r="C334" s="2">
        <v>333.0</v>
      </c>
      <c r="D334" s="3">
        <v>44440.0</v>
      </c>
      <c r="E334" s="2" t="s">
        <v>815</v>
      </c>
      <c r="F334" s="2" t="s">
        <v>165</v>
      </c>
      <c r="G334" s="2">
        <v>914.76</v>
      </c>
      <c r="H334" s="2" t="s">
        <v>192</v>
      </c>
      <c r="I334" s="2" t="s">
        <v>2300</v>
      </c>
      <c r="J334" s="2" t="s">
        <v>2301</v>
      </c>
      <c r="K334" s="2" t="s">
        <v>2302</v>
      </c>
      <c r="M334" s="2">
        <v>92.0</v>
      </c>
      <c r="N334" s="2">
        <v>936.79</v>
      </c>
      <c r="O334" s="2" t="s">
        <v>41</v>
      </c>
      <c r="P334" s="2" t="s">
        <v>2303</v>
      </c>
      <c r="Q334" s="2" t="s">
        <v>2304</v>
      </c>
      <c r="T334" s="2" t="s">
        <v>32</v>
      </c>
      <c r="U334" s="2" t="s">
        <v>46</v>
      </c>
    </row>
    <row r="335">
      <c r="A335" s="2">
        <v>334.0</v>
      </c>
      <c r="B335" s="2">
        <v>334.0</v>
      </c>
      <c r="C335" s="2">
        <v>334.0</v>
      </c>
      <c r="D335" s="3">
        <v>44037.0</v>
      </c>
      <c r="E335" s="2" t="s">
        <v>2305</v>
      </c>
      <c r="F335" s="2" t="s">
        <v>73</v>
      </c>
      <c r="G335" s="2">
        <v>29.06</v>
      </c>
      <c r="H335" s="2" t="s">
        <v>2306</v>
      </c>
      <c r="I335" s="2" t="s">
        <v>2307</v>
      </c>
      <c r="J335" s="2" t="s">
        <v>2308</v>
      </c>
      <c r="K335" s="2" t="s">
        <v>119</v>
      </c>
      <c r="M335" s="2">
        <v>8.0</v>
      </c>
      <c r="N335" s="2">
        <v>6698.02</v>
      </c>
      <c r="O335" s="2" t="s">
        <v>41</v>
      </c>
      <c r="P335" s="2" t="s">
        <v>1806</v>
      </c>
      <c r="Q335" s="2" t="s">
        <v>2309</v>
      </c>
      <c r="S335" s="2">
        <v>2889.0</v>
      </c>
      <c r="T335" s="2" t="s">
        <v>327</v>
      </c>
      <c r="U335" s="2" t="s">
        <v>33</v>
      </c>
    </row>
    <row r="336">
      <c r="A336" s="2">
        <v>335.0</v>
      </c>
      <c r="B336" s="2">
        <v>335.0</v>
      </c>
      <c r="C336" s="2">
        <v>335.0</v>
      </c>
      <c r="D336" s="3">
        <v>43846.0</v>
      </c>
      <c r="E336" s="2" t="s">
        <v>2081</v>
      </c>
      <c r="F336" s="2" t="s">
        <v>662</v>
      </c>
      <c r="G336" s="2">
        <v>226.26</v>
      </c>
      <c r="H336" s="2" t="s">
        <v>2310</v>
      </c>
      <c r="I336" s="2" t="s">
        <v>2311</v>
      </c>
      <c r="J336" s="2" t="s">
        <v>2312</v>
      </c>
      <c r="K336" s="2" t="s">
        <v>114</v>
      </c>
      <c r="L336" s="2" t="s">
        <v>2313</v>
      </c>
      <c r="M336" s="2">
        <v>7.0</v>
      </c>
      <c r="N336" s="2">
        <v>8874.37</v>
      </c>
      <c r="O336" s="2" t="s">
        <v>41</v>
      </c>
      <c r="P336" s="2" t="s">
        <v>1288</v>
      </c>
      <c r="Q336" s="2" t="s">
        <v>2314</v>
      </c>
      <c r="S336" s="2" t="s">
        <v>2315</v>
      </c>
      <c r="T336" s="2" t="s">
        <v>26</v>
      </c>
      <c r="U336" s="2" t="s">
        <v>71</v>
      </c>
    </row>
    <row r="337">
      <c r="A337" s="2">
        <v>336.0</v>
      </c>
      <c r="B337" s="2">
        <v>336.0</v>
      </c>
      <c r="C337" s="2">
        <v>336.0</v>
      </c>
      <c r="D337" s="3">
        <v>44492.0</v>
      </c>
      <c r="E337" s="2" t="s">
        <v>2316</v>
      </c>
      <c r="F337" s="2" t="s">
        <v>123</v>
      </c>
      <c r="G337" s="2">
        <v>305.91</v>
      </c>
      <c r="H337" s="2" t="s">
        <v>2317</v>
      </c>
      <c r="I337" s="2" t="s">
        <v>2318</v>
      </c>
      <c r="J337" s="2" t="s">
        <v>2319</v>
      </c>
      <c r="K337" s="2" t="s">
        <v>32</v>
      </c>
      <c r="M337" s="2">
        <v>83.0</v>
      </c>
      <c r="N337" s="2">
        <v>1786.87</v>
      </c>
      <c r="O337" s="2" t="s">
        <v>52</v>
      </c>
      <c r="P337" s="2" t="s">
        <v>2320</v>
      </c>
      <c r="Q337" s="2" t="s">
        <v>2321</v>
      </c>
      <c r="T337" s="2" t="s">
        <v>330</v>
      </c>
      <c r="U337" s="2" t="s">
        <v>71</v>
      </c>
    </row>
    <row r="338">
      <c r="A338" s="2">
        <v>337.0</v>
      </c>
      <c r="B338" s="2">
        <v>337.0</v>
      </c>
      <c r="C338" s="2">
        <v>337.0</v>
      </c>
      <c r="D338" s="3">
        <v>44311.0</v>
      </c>
      <c r="E338" s="2" t="s">
        <v>2322</v>
      </c>
      <c r="F338" s="2" t="s">
        <v>2113</v>
      </c>
      <c r="G338" s="2">
        <v>157.63</v>
      </c>
      <c r="H338" s="2" t="s">
        <v>2323</v>
      </c>
      <c r="I338" s="2" t="s">
        <v>2324</v>
      </c>
      <c r="J338" s="2" t="s">
        <v>2325</v>
      </c>
      <c r="K338" s="2" t="s">
        <v>1008</v>
      </c>
      <c r="M338" s="2">
        <v>40.0</v>
      </c>
      <c r="N338" s="2">
        <v>5546.65</v>
      </c>
      <c r="O338" s="2" t="s">
        <v>41</v>
      </c>
      <c r="P338" s="2" t="s">
        <v>2326</v>
      </c>
      <c r="Q338" s="2" t="s">
        <v>2327</v>
      </c>
      <c r="T338" s="2" t="s">
        <v>32</v>
      </c>
      <c r="U338" s="2" t="s">
        <v>71</v>
      </c>
    </row>
    <row r="339">
      <c r="A339" s="2">
        <v>338.0</v>
      </c>
      <c r="B339" s="2">
        <v>338.0</v>
      </c>
      <c r="C339" s="2">
        <v>338.0</v>
      </c>
      <c r="D339" s="3">
        <v>44331.0</v>
      </c>
      <c r="E339" s="2" t="s">
        <v>2328</v>
      </c>
      <c r="F339" s="2" t="s">
        <v>538</v>
      </c>
      <c r="G339" s="2">
        <v>199.94</v>
      </c>
      <c r="H339" s="2" t="s">
        <v>2329</v>
      </c>
      <c r="I339" s="2" t="s">
        <v>2330</v>
      </c>
      <c r="J339" s="2" t="s">
        <v>2331</v>
      </c>
      <c r="K339" s="2" t="s">
        <v>39</v>
      </c>
      <c r="L339" s="2" t="s">
        <v>2332</v>
      </c>
      <c r="M339" s="2">
        <v>35.0</v>
      </c>
      <c r="N339" s="2">
        <v>3673.08</v>
      </c>
      <c r="O339" s="2" t="s">
        <v>52</v>
      </c>
      <c r="P339" s="2" t="s">
        <v>2333</v>
      </c>
      <c r="Q339" s="2" t="s">
        <v>2334</v>
      </c>
      <c r="R339" s="2" t="s">
        <v>2335</v>
      </c>
      <c r="S339" s="2">
        <v>96950.0</v>
      </c>
      <c r="T339" s="2" t="s">
        <v>1422</v>
      </c>
      <c r="U339" s="2" t="s">
        <v>46</v>
      </c>
    </row>
    <row r="340">
      <c r="A340" s="2">
        <v>339.0</v>
      </c>
      <c r="B340" s="2">
        <v>339.0</v>
      </c>
      <c r="C340" s="2">
        <v>339.0</v>
      </c>
      <c r="D340" s="3">
        <v>44027.0</v>
      </c>
      <c r="E340" s="2" t="s">
        <v>2336</v>
      </c>
      <c r="F340" s="2" t="s">
        <v>965</v>
      </c>
      <c r="G340" s="2">
        <v>674.26</v>
      </c>
      <c r="H340" s="2" t="s">
        <v>2337</v>
      </c>
      <c r="I340" s="2" t="s">
        <v>2338</v>
      </c>
      <c r="J340" s="2" t="s">
        <v>2339</v>
      </c>
      <c r="K340" s="2" t="s">
        <v>442</v>
      </c>
      <c r="M340" s="2">
        <v>63.0</v>
      </c>
      <c r="N340" s="2">
        <v>2087.16</v>
      </c>
      <c r="O340" s="2" t="s">
        <v>28</v>
      </c>
      <c r="P340" s="2" t="s">
        <v>2340</v>
      </c>
      <c r="Q340" s="2" t="s">
        <v>2341</v>
      </c>
      <c r="S340" s="2" t="s">
        <v>2342</v>
      </c>
      <c r="T340" s="2" t="s">
        <v>39</v>
      </c>
      <c r="U340" s="2" t="s">
        <v>33</v>
      </c>
    </row>
    <row r="341">
      <c r="A341" s="2">
        <v>340.0</v>
      </c>
      <c r="B341" s="2">
        <v>340.0</v>
      </c>
      <c r="C341" s="2">
        <v>340.0</v>
      </c>
      <c r="D341" s="3">
        <v>44524.0</v>
      </c>
      <c r="E341" s="2" t="s">
        <v>2343</v>
      </c>
      <c r="F341" s="2" t="s">
        <v>2344</v>
      </c>
      <c r="G341" s="2">
        <v>458.74</v>
      </c>
      <c r="H341" s="2" t="s">
        <v>2345</v>
      </c>
      <c r="I341" s="2" t="s">
        <v>2346</v>
      </c>
      <c r="J341" s="2" t="s">
        <v>2347</v>
      </c>
      <c r="K341" s="2" t="s">
        <v>819</v>
      </c>
      <c r="L341" s="2">
        <v>507009.0</v>
      </c>
      <c r="M341" s="2">
        <v>77.0</v>
      </c>
      <c r="N341" s="2">
        <v>8437.02</v>
      </c>
      <c r="O341" s="2" t="s">
        <v>52</v>
      </c>
      <c r="P341" s="2" t="s">
        <v>2348</v>
      </c>
      <c r="Q341" s="2" t="s">
        <v>2349</v>
      </c>
      <c r="S341" s="2">
        <v>5950.0</v>
      </c>
      <c r="T341" s="2" t="s">
        <v>460</v>
      </c>
      <c r="U341" s="2" t="s">
        <v>46</v>
      </c>
    </row>
    <row r="342">
      <c r="A342" s="2">
        <v>341.0</v>
      </c>
      <c r="B342" s="2">
        <v>341.0</v>
      </c>
      <c r="C342" s="2">
        <v>341.0</v>
      </c>
      <c r="D342" s="3">
        <v>44017.0</v>
      </c>
      <c r="E342" s="2" t="s">
        <v>2350</v>
      </c>
      <c r="F342" s="2" t="s">
        <v>2351</v>
      </c>
      <c r="G342" s="2">
        <v>682.04</v>
      </c>
      <c r="H342" s="2" t="s">
        <v>2352</v>
      </c>
      <c r="I342" s="2" t="s">
        <v>2353</v>
      </c>
      <c r="J342" s="2" t="s">
        <v>2354</v>
      </c>
      <c r="K342" s="2" t="s">
        <v>106</v>
      </c>
      <c r="L342" s="2" t="s">
        <v>2355</v>
      </c>
      <c r="M342" s="2">
        <v>93.0</v>
      </c>
      <c r="N342" s="2">
        <v>2881.46</v>
      </c>
      <c r="O342" s="2" t="s">
        <v>52</v>
      </c>
      <c r="P342" s="2" t="s">
        <v>355</v>
      </c>
      <c r="Q342" s="2" t="s">
        <v>2356</v>
      </c>
      <c r="S342" s="2">
        <v>143570.0</v>
      </c>
      <c r="T342" s="2" t="s">
        <v>68</v>
      </c>
      <c r="U342" s="2" t="s">
        <v>46</v>
      </c>
    </row>
    <row r="343">
      <c r="A343" s="2">
        <v>342.0</v>
      </c>
      <c r="B343" s="2">
        <v>342.0</v>
      </c>
      <c r="C343" s="2">
        <v>342.0</v>
      </c>
      <c r="D343" s="3">
        <v>44293.0</v>
      </c>
      <c r="E343" s="2" t="s">
        <v>2357</v>
      </c>
      <c r="F343" s="2" t="s">
        <v>800</v>
      </c>
      <c r="G343" s="2">
        <v>156.64</v>
      </c>
      <c r="H343" s="2" t="s">
        <v>2358</v>
      </c>
      <c r="I343" s="2" t="s">
        <v>2359</v>
      </c>
      <c r="J343" s="2" t="s">
        <v>2360</v>
      </c>
      <c r="K343" s="2" t="s">
        <v>68</v>
      </c>
      <c r="L343" s="2">
        <v>175419.0</v>
      </c>
      <c r="M343" s="2">
        <v>32.0</v>
      </c>
      <c r="N343" s="2">
        <v>6140.06</v>
      </c>
      <c r="O343" s="2" t="s">
        <v>52</v>
      </c>
      <c r="P343" s="2" t="s">
        <v>138</v>
      </c>
      <c r="Q343" s="2" t="s">
        <v>2361</v>
      </c>
      <c r="T343" s="2" t="s">
        <v>1180</v>
      </c>
      <c r="U343" s="2" t="s">
        <v>46</v>
      </c>
    </row>
    <row r="344">
      <c r="A344" s="2">
        <v>343.0</v>
      </c>
      <c r="B344" s="2">
        <v>343.0</v>
      </c>
      <c r="C344" s="2">
        <v>343.0</v>
      </c>
      <c r="D344" s="3">
        <v>44230.0</v>
      </c>
      <c r="E344" s="2" t="s">
        <v>2362</v>
      </c>
      <c r="F344" s="2" t="s">
        <v>183</v>
      </c>
      <c r="G344" s="2">
        <v>49.79</v>
      </c>
      <c r="H344" s="2" t="s">
        <v>2363</v>
      </c>
      <c r="I344" s="2" t="s">
        <v>2364</v>
      </c>
      <c r="J344" s="2" t="s">
        <v>2365</v>
      </c>
      <c r="K344" s="2" t="s">
        <v>460</v>
      </c>
      <c r="L344" s="2">
        <v>6973.0</v>
      </c>
      <c r="M344" s="2">
        <v>23.0</v>
      </c>
      <c r="N344" s="2">
        <v>8659.33</v>
      </c>
      <c r="O344" s="2" t="s">
        <v>52</v>
      </c>
      <c r="P344" s="2" t="s">
        <v>2366</v>
      </c>
      <c r="Q344" s="2" t="s">
        <v>2367</v>
      </c>
      <c r="S344" s="2" t="s">
        <v>2368</v>
      </c>
      <c r="T344" s="2" t="s">
        <v>163</v>
      </c>
      <c r="U344" s="2" t="s">
        <v>71</v>
      </c>
    </row>
    <row r="345">
      <c r="A345" s="2">
        <v>344.0</v>
      </c>
      <c r="B345" s="2">
        <v>344.0</v>
      </c>
      <c r="C345" s="2">
        <v>344.0</v>
      </c>
      <c r="D345" s="3">
        <v>44209.0</v>
      </c>
      <c r="E345" s="2" t="s">
        <v>792</v>
      </c>
      <c r="F345" s="2" t="s">
        <v>48</v>
      </c>
      <c r="G345" s="2">
        <v>572.2</v>
      </c>
      <c r="H345" s="2" t="s">
        <v>1996</v>
      </c>
      <c r="I345" s="2" t="s">
        <v>2369</v>
      </c>
      <c r="J345" s="2" t="s">
        <v>2370</v>
      </c>
      <c r="K345" s="2" t="s">
        <v>68</v>
      </c>
      <c r="L345" s="2">
        <v>174510.0</v>
      </c>
      <c r="M345" s="2">
        <v>5.0</v>
      </c>
      <c r="N345" s="2">
        <v>9662.12</v>
      </c>
      <c r="O345" s="2" t="s">
        <v>52</v>
      </c>
      <c r="P345" s="2" t="s">
        <v>2371</v>
      </c>
      <c r="Q345" s="2" t="s">
        <v>2372</v>
      </c>
      <c r="S345" s="2" t="s">
        <v>2373</v>
      </c>
      <c r="T345" s="2" t="s">
        <v>163</v>
      </c>
      <c r="U345" s="2" t="s">
        <v>46</v>
      </c>
    </row>
    <row r="346">
      <c r="A346" s="2">
        <v>345.0</v>
      </c>
      <c r="B346" s="2">
        <v>345.0</v>
      </c>
      <c r="C346" s="2">
        <v>345.0</v>
      </c>
      <c r="D346" s="3">
        <v>44462.0</v>
      </c>
      <c r="E346" s="2" t="s">
        <v>2374</v>
      </c>
      <c r="F346" s="2" t="s">
        <v>567</v>
      </c>
      <c r="G346" s="2">
        <v>962.53</v>
      </c>
      <c r="H346" s="2" t="s">
        <v>2210</v>
      </c>
      <c r="I346" s="2" t="s">
        <v>2375</v>
      </c>
      <c r="J346" s="2" t="s">
        <v>2376</v>
      </c>
      <c r="K346" s="2" t="s">
        <v>119</v>
      </c>
      <c r="M346" s="2">
        <v>54.0</v>
      </c>
      <c r="N346" s="2">
        <v>1476.59</v>
      </c>
      <c r="O346" s="2" t="s">
        <v>52</v>
      </c>
      <c r="P346" s="2" t="s">
        <v>2377</v>
      </c>
      <c r="Q346" s="2" t="s">
        <v>2378</v>
      </c>
      <c r="S346" s="2" t="s">
        <v>2379</v>
      </c>
      <c r="T346" s="2" t="s">
        <v>257</v>
      </c>
      <c r="U346" s="2" t="s">
        <v>33</v>
      </c>
    </row>
    <row r="347">
      <c r="A347" s="2">
        <v>346.0</v>
      </c>
      <c r="B347" s="2">
        <v>346.0</v>
      </c>
      <c r="C347" s="2">
        <v>346.0</v>
      </c>
      <c r="D347" s="3">
        <v>43989.0</v>
      </c>
      <c r="E347" s="2" t="s">
        <v>2380</v>
      </c>
      <c r="F347" s="2" t="s">
        <v>662</v>
      </c>
      <c r="G347" s="2">
        <v>64.79</v>
      </c>
      <c r="H347" s="2" t="s">
        <v>2381</v>
      </c>
      <c r="I347" s="2" t="s">
        <v>2382</v>
      </c>
      <c r="J347" s="2" t="s">
        <v>2383</v>
      </c>
      <c r="K347" s="2" t="s">
        <v>119</v>
      </c>
      <c r="M347" s="2">
        <v>28.0</v>
      </c>
      <c r="N347" s="2">
        <v>2494.46</v>
      </c>
      <c r="O347" s="2" t="s">
        <v>28</v>
      </c>
      <c r="P347" s="2" t="s">
        <v>424</v>
      </c>
      <c r="Q347" s="2" t="s">
        <v>2384</v>
      </c>
      <c r="T347" s="2" t="s">
        <v>32</v>
      </c>
      <c r="U347" s="2" t="s">
        <v>46</v>
      </c>
    </row>
    <row r="348">
      <c r="A348" s="2">
        <v>347.0</v>
      </c>
      <c r="B348" s="2">
        <v>347.0</v>
      </c>
      <c r="C348" s="2">
        <v>347.0</v>
      </c>
      <c r="D348" s="3">
        <v>44232.0</v>
      </c>
      <c r="E348" s="2" t="s">
        <v>2385</v>
      </c>
      <c r="F348" s="2" t="s">
        <v>501</v>
      </c>
      <c r="G348" s="2">
        <v>522.13</v>
      </c>
      <c r="H348" s="2" t="s">
        <v>2386</v>
      </c>
      <c r="I348" s="2" t="s">
        <v>2387</v>
      </c>
      <c r="J348" s="2" t="s">
        <v>2388</v>
      </c>
      <c r="K348" s="2" t="s">
        <v>77</v>
      </c>
      <c r="M348" s="2">
        <v>65.0</v>
      </c>
      <c r="N348" s="2">
        <v>1053.7</v>
      </c>
      <c r="O348" s="2" t="s">
        <v>28</v>
      </c>
      <c r="P348" s="2" t="s">
        <v>293</v>
      </c>
      <c r="Q348" s="2" t="s">
        <v>2389</v>
      </c>
      <c r="S348" s="2">
        <v>2826.0</v>
      </c>
      <c r="T348" s="2" t="s">
        <v>241</v>
      </c>
      <c r="U348" s="2" t="s">
        <v>71</v>
      </c>
    </row>
    <row r="349">
      <c r="A349" s="2">
        <v>348.0</v>
      </c>
      <c r="B349" s="2">
        <v>348.0</v>
      </c>
      <c r="C349" s="2">
        <v>348.0</v>
      </c>
      <c r="D349" s="3">
        <v>44363.0</v>
      </c>
      <c r="E349" s="2" t="s">
        <v>2390</v>
      </c>
      <c r="F349" s="2" t="s">
        <v>64</v>
      </c>
      <c r="G349" s="2">
        <v>182.83</v>
      </c>
      <c r="H349" s="2" t="s">
        <v>2391</v>
      </c>
      <c r="I349" s="2" t="s">
        <v>2392</v>
      </c>
      <c r="J349" s="2" t="s">
        <v>2393</v>
      </c>
      <c r="K349" s="2" t="s">
        <v>32</v>
      </c>
      <c r="M349" s="2">
        <v>40.0</v>
      </c>
      <c r="N349" s="2">
        <v>7847.78</v>
      </c>
      <c r="O349" s="2" t="s">
        <v>41</v>
      </c>
      <c r="P349" s="2" t="s">
        <v>2394</v>
      </c>
      <c r="Q349" s="2" t="s">
        <v>2395</v>
      </c>
      <c r="S349" s="2" t="s">
        <v>2396</v>
      </c>
      <c r="T349" s="2" t="s">
        <v>26</v>
      </c>
      <c r="U349" s="2" t="s">
        <v>46</v>
      </c>
    </row>
    <row r="350">
      <c r="A350" s="2">
        <v>349.0</v>
      </c>
      <c r="B350" s="2">
        <v>349.0</v>
      </c>
      <c r="C350" s="2">
        <v>349.0</v>
      </c>
      <c r="D350" s="3">
        <v>43975.0</v>
      </c>
      <c r="E350" s="2" t="s">
        <v>2397</v>
      </c>
      <c r="F350" s="2" t="s">
        <v>213</v>
      </c>
      <c r="G350" s="2">
        <v>991.66</v>
      </c>
      <c r="H350" s="2" t="s">
        <v>986</v>
      </c>
      <c r="I350" s="2" t="s">
        <v>2398</v>
      </c>
      <c r="J350" s="2" t="s">
        <v>2399</v>
      </c>
      <c r="K350" s="2" t="s">
        <v>119</v>
      </c>
      <c r="M350" s="2">
        <v>95.0</v>
      </c>
      <c r="N350" s="2">
        <v>1294.66</v>
      </c>
      <c r="O350" s="2" t="s">
        <v>28</v>
      </c>
      <c r="P350" s="2" t="s">
        <v>2400</v>
      </c>
      <c r="Q350" s="2" t="s">
        <v>2401</v>
      </c>
      <c r="T350" s="2" t="s">
        <v>32</v>
      </c>
      <c r="U350" s="2" t="s">
        <v>33</v>
      </c>
    </row>
    <row r="351">
      <c r="A351" s="2">
        <v>350.0</v>
      </c>
      <c r="B351" s="2">
        <v>350.0</v>
      </c>
      <c r="C351" s="2">
        <v>350.0</v>
      </c>
      <c r="D351" s="3">
        <v>43979.0</v>
      </c>
      <c r="E351" s="2" t="s">
        <v>2402</v>
      </c>
      <c r="F351" s="2" t="s">
        <v>310</v>
      </c>
      <c r="G351" s="2">
        <v>175.13</v>
      </c>
      <c r="H351" s="2" t="s">
        <v>2141</v>
      </c>
      <c r="I351" s="2" t="s">
        <v>2403</v>
      </c>
      <c r="J351" s="2" t="s">
        <v>2404</v>
      </c>
      <c r="K351" s="2" t="s">
        <v>241</v>
      </c>
      <c r="L351" s="2">
        <v>5606.0</v>
      </c>
      <c r="M351" s="2">
        <v>75.0</v>
      </c>
      <c r="N351" s="2">
        <v>3974.56</v>
      </c>
      <c r="O351" s="2" t="s">
        <v>41</v>
      </c>
      <c r="P351" s="2" t="s">
        <v>687</v>
      </c>
      <c r="Q351" s="2" t="s">
        <v>2405</v>
      </c>
      <c r="T351" s="2" t="s">
        <v>292</v>
      </c>
      <c r="U351" s="2" t="s">
        <v>46</v>
      </c>
    </row>
    <row r="352">
      <c r="A352" s="2">
        <v>351.0</v>
      </c>
      <c r="B352" s="2">
        <v>351.0</v>
      </c>
      <c r="C352" s="2">
        <v>351.0</v>
      </c>
      <c r="D352" s="3">
        <v>43930.0</v>
      </c>
      <c r="E352" s="2" t="s">
        <v>2406</v>
      </c>
      <c r="F352" s="2" t="s">
        <v>965</v>
      </c>
      <c r="G352" s="2">
        <v>268.44</v>
      </c>
      <c r="H352" s="2" t="s">
        <v>2407</v>
      </c>
      <c r="I352" s="2" t="s">
        <v>2408</v>
      </c>
      <c r="J352" s="2" t="s">
        <v>2409</v>
      </c>
      <c r="K352" s="2" t="s">
        <v>163</v>
      </c>
      <c r="L352" s="2" t="s">
        <v>2410</v>
      </c>
      <c r="M352" s="2">
        <v>49.0</v>
      </c>
      <c r="N352" s="2">
        <v>5323.47</v>
      </c>
      <c r="O352" s="2" t="s">
        <v>52</v>
      </c>
      <c r="P352" s="2" t="s">
        <v>2411</v>
      </c>
      <c r="Q352" s="2" t="s">
        <v>2412</v>
      </c>
      <c r="T352" s="2" t="s">
        <v>119</v>
      </c>
      <c r="U352" s="2" t="s">
        <v>33</v>
      </c>
    </row>
    <row r="353">
      <c r="A353" s="2">
        <v>352.0</v>
      </c>
      <c r="B353" s="2">
        <v>352.0</v>
      </c>
      <c r="C353" s="2">
        <v>352.0</v>
      </c>
      <c r="D353" s="3">
        <v>44280.0</v>
      </c>
      <c r="E353" s="2" t="s">
        <v>2413</v>
      </c>
      <c r="F353" s="2" t="s">
        <v>142</v>
      </c>
      <c r="G353" s="2">
        <v>912.27</v>
      </c>
      <c r="H353" s="2" t="s">
        <v>2414</v>
      </c>
      <c r="I353" s="2" t="s">
        <v>2415</v>
      </c>
      <c r="J353" s="2" t="s">
        <v>2416</v>
      </c>
      <c r="K353" s="2" t="s">
        <v>2417</v>
      </c>
      <c r="L353" s="2">
        <v>3607.0</v>
      </c>
      <c r="M353" s="2">
        <v>78.0</v>
      </c>
      <c r="N353" s="2">
        <v>8938.09</v>
      </c>
      <c r="O353" s="2" t="s">
        <v>41</v>
      </c>
      <c r="P353" s="2" t="s">
        <v>2418</v>
      </c>
      <c r="Q353" s="2" t="s">
        <v>2419</v>
      </c>
      <c r="R353" s="2" t="s">
        <v>2420</v>
      </c>
      <c r="S353" s="2">
        <v>623506.0</v>
      </c>
      <c r="T353" s="2" t="s">
        <v>68</v>
      </c>
      <c r="U353" s="2" t="s">
        <v>71</v>
      </c>
    </row>
    <row r="354">
      <c r="A354" s="2">
        <v>353.0</v>
      </c>
      <c r="B354" s="2">
        <v>353.0</v>
      </c>
      <c r="C354" s="2">
        <v>353.0</v>
      </c>
      <c r="D354" s="3">
        <v>43942.0</v>
      </c>
      <c r="E354" s="2" t="s">
        <v>244</v>
      </c>
      <c r="F354" s="2" t="s">
        <v>245</v>
      </c>
      <c r="G354" s="2">
        <v>292.87</v>
      </c>
      <c r="H354" s="2" t="s">
        <v>2421</v>
      </c>
      <c r="I354" s="2" t="s">
        <v>2422</v>
      </c>
      <c r="J354" s="2" t="s">
        <v>2423</v>
      </c>
      <c r="K354" s="2" t="s">
        <v>2417</v>
      </c>
      <c r="L354" s="2">
        <v>7404.0</v>
      </c>
      <c r="M354" s="2">
        <v>75.0</v>
      </c>
      <c r="N354" s="2">
        <v>2276.35</v>
      </c>
      <c r="O354" s="2" t="s">
        <v>52</v>
      </c>
      <c r="P354" s="2" t="s">
        <v>1929</v>
      </c>
      <c r="Q354" s="2" t="s">
        <v>2424</v>
      </c>
      <c r="R354" s="2" t="s">
        <v>2425</v>
      </c>
      <c r="S354" s="2" t="s">
        <v>2426</v>
      </c>
      <c r="T354" s="2" t="s">
        <v>257</v>
      </c>
      <c r="U354" s="2" t="s">
        <v>33</v>
      </c>
    </row>
    <row r="355">
      <c r="A355" s="2">
        <v>354.0</v>
      </c>
      <c r="B355" s="2">
        <v>354.0</v>
      </c>
      <c r="C355" s="2">
        <v>354.0</v>
      </c>
      <c r="D355" s="3">
        <v>43900.0</v>
      </c>
      <c r="E355" s="2" t="s">
        <v>2427</v>
      </c>
      <c r="F355" s="2" t="s">
        <v>73</v>
      </c>
      <c r="G355" s="2">
        <v>150.68</v>
      </c>
      <c r="H355" s="2" t="s">
        <v>2428</v>
      </c>
      <c r="I355" s="2" t="s">
        <v>2429</v>
      </c>
      <c r="J355" s="2" t="s">
        <v>2430</v>
      </c>
      <c r="K355" s="2" t="s">
        <v>1216</v>
      </c>
      <c r="M355" s="2">
        <v>34.0</v>
      </c>
      <c r="N355" s="2">
        <v>9926.3</v>
      </c>
      <c r="O355" s="2" t="s">
        <v>28</v>
      </c>
      <c r="P355" s="2" t="s">
        <v>643</v>
      </c>
      <c r="Q355" s="2" t="s">
        <v>2431</v>
      </c>
      <c r="T355" s="2" t="s">
        <v>119</v>
      </c>
      <c r="U355" s="2" t="s">
        <v>46</v>
      </c>
    </row>
    <row r="356">
      <c r="A356" s="2">
        <v>355.0</v>
      </c>
      <c r="B356" s="2">
        <v>355.0</v>
      </c>
      <c r="C356" s="2">
        <v>355.0</v>
      </c>
      <c r="D356" s="3">
        <v>44500.0</v>
      </c>
      <c r="E356" s="2" t="s">
        <v>1555</v>
      </c>
      <c r="F356" s="2" t="s">
        <v>1556</v>
      </c>
      <c r="G356" s="2">
        <v>46.73</v>
      </c>
      <c r="H356" s="2" t="s">
        <v>2432</v>
      </c>
      <c r="I356" s="2" t="s">
        <v>2433</v>
      </c>
      <c r="J356" s="2" t="s">
        <v>2434</v>
      </c>
      <c r="K356" s="2" t="s">
        <v>2435</v>
      </c>
      <c r="L356" s="2">
        <v>9488.0</v>
      </c>
      <c r="M356" s="2">
        <v>37.0</v>
      </c>
      <c r="N356" s="2">
        <v>7984.81</v>
      </c>
      <c r="O356" s="2" t="s">
        <v>28</v>
      </c>
      <c r="P356" s="2" t="s">
        <v>2436</v>
      </c>
      <c r="Q356" s="2" t="s">
        <v>2437</v>
      </c>
      <c r="T356" s="2" t="s">
        <v>119</v>
      </c>
      <c r="U356" s="2" t="s">
        <v>33</v>
      </c>
    </row>
    <row r="357">
      <c r="A357" s="2">
        <v>356.0</v>
      </c>
      <c r="B357" s="2">
        <v>356.0</v>
      </c>
      <c r="C357" s="2">
        <v>356.0</v>
      </c>
      <c r="D357" s="3">
        <v>44136.0</v>
      </c>
      <c r="E357" s="2" t="s">
        <v>2438</v>
      </c>
      <c r="F357" s="2" t="s">
        <v>1671</v>
      </c>
      <c r="G357" s="2">
        <v>267.26</v>
      </c>
      <c r="H357" s="2" t="s">
        <v>2439</v>
      </c>
      <c r="I357" s="2" t="s">
        <v>2440</v>
      </c>
      <c r="J357" s="2" t="s">
        <v>2441</v>
      </c>
      <c r="K357" s="2" t="s">
        <v>228</v>
      </c>
      <c r="M357" s="2">
        <v>92.0</v>
      </c>
      <c r="N357" s="2">
        <v>7356.9</v>
      </c>
      <c r="O357" s="2" t="s">
        <v>28</v>
      </c>
      <c r="P357" s="2" t="s">
        <v>2442</v>
      </c>
      <c r="Q357" s="2" t="s">
        <v>2443</v>
      </c>
      <c r="T357" s="2" t="s">
        <v>32</v>
      </c>
      <c r="U357" s="2" t="s">
        <v>33</v>
      </c>
    </row>
    <row r="358">
      <c r="A358" s="2">
        <v>357.0</v>
      </c>
      <c r="B358" s="2">
        <v>357.0</v>
      </c>
      <c r="C358" s="2">
        <v>357.0</v>
      </c>
      <c r="D358" s="3">
        <v>44379.0</v>
      </c>
      <c r="E358" s="2" t="s">
        <v>2444</v>
      </c>
      <c r="F358" s="2" t="s">
        <v>56</v>
      </c>
      <c r="G358" s="2">
        <v>140.33</v>
      </c>
      <c r="H358" s="2" t="s">
        <v>2445</v>
      </c>
      <c r="I358" s="2" t="s">
        <v>2446</v>
      </c>
      <c r="J358" s="2" t="s">
        <v>2447</v>
      </c>
      <c r="K358" s="2" t="s">
        <v>163</v>
      </c>
      <c r="L358" s="2" t="s">
        <v>2448</v>
      </c>
      <c r="M358" s="2">
        <v>71.0</v>
      </c>
      <c r="N358" s="2">
        <v>283.01</v>
      </c>
      <c r="O358" s="2" t="s">
        <v>41</v>
      </c>
      <c r="P358" s="2" t="s">
        <v>2449</v>
      </c>
      <c r="Q358" s="2" t="s">
        <v>2450</v>
      </c>
      <c r="S358" s="2">
        <v>6312.0</v>
      </c>
      <c r="T358" s="2" t="s">
        <v>241</v>
      </c>
      <c r="U358" s="2" t="s">
        <v>46</v>
      </c>
    </row>
    <row r="359">
      <c r="A359" s="2">
        <v>358.0</v>
      </c>
      <c r="B359" s="2">
        <v>358.0</v>
      </c>
      <c r="C359" s="2">
        <v>358.0</v>
      </c>
      <c r="D359" s="3">
        <v>44062.0</v>
      </c>
      <c r="E359" s="2" t="s">
        <v>2451</v>
      </c>
      <c r="F359" s="2" t="s">
        <v>165</v>
      </c>
      <c r="G359" s="2">
        <v>900.09</v>
      </c>
      <c r="H359" s="2" t="s">
        <v>2141</v>
      </c>
      <c r="I359" s="2" t="s">
        <v>2452</v>
      </c>
      <c r="J359" s="2" t="s">
        <v>2453</v>
      </c>
      <c r="K359" s="2" t="s">
        <v>119</v>
      </c>
      <c r="M359" s="2">
        <v>9.0</v>
      </c>
      <c r="N359" s="2">
        <v>6735.42</v>
      </c>
      <c r="O359" s="2" t="s">
        <v>52</v>
      </c>
      <c r="P359" s="2" t="s">
        <v>2454</v>
      </c>
      <c r="Q359" s="2" t="s">
        <v>2455</v>
      </c>
      <c r="S359" s="2" t="s">
        <v>2456</v>
      </c>
      <c r="T359" s="2" t="s">
        <v>163</v>
      </c>
      <c r="U359" s="2" t="s">
        <v>33</v>
      </c>
    </row>
    <row r="360">
      <c r="A360" s="2">
        <v>359.0</v>
      </c>
      <c r="B360" s="2">
        <v>359.0</v>
      </c>
      <c r="C360" s="2">
        <v>359.0</v>
      </c>
      <c r="D360" s="3">
        <v>44101.0</v>
      </c>
      <c r="E360" s="2" t="s">
        <v>2457</v>
      </c>
      <c r="F360" s="2" t="s">
        <v>2458</v>
      </c>
      <c r="G360" s="2">
        <v>60.64</v>
      </c>
      <c r="H360" s="2" t="s">
        <v>2459</v>
      </c>
      <c r="I360" s="2" t="s">
        <v>2460</v>
      </c>
      <c r="J360" s="2" t="s">
        <v>2461</v>
      </c>
      <c r="K360" s="2" t="s">
        <v>137</v>
      </c>
      <c r="M360" s="2">
        <v>35.0</v>
      </c>
      <c r="N360" s="2">
        <v>1792.05</v>
      </c>
      <c r="O360" s="2" t="s">
        <v>52</v>
      </c>
      <c r="P360" s="2" t="s">
        <v>883</v>
      </c>
      <c r="Q360" s="2" t="s">
        <v>2462</v>
      </c>
      <c r="S360" s="2" t="s">
        <v>2463</v>
      </c>
      <c r="T360" s="2" t="s">
        <v>114</v>
      </c>
      <c r="U360" s="2" t="s">
        <v>71</v>
      </c>
    </row>
    <row r="361">
      <c r="A361" s="2">
        <v>360.0</v>
      </c>
      <c r="B361" s="2">
        <v>360.0</v>
      </c>
      <c r="C361" s="2">
        <v>360.0</v>
      </c>
      <c r="D361" s="3">
        <v>44548.0</v>
      </c>
      <c r="E361" s="2" t="s">
        <v>1312</v>
      </c>
      <c r="F361" s="2" t="s">
        <v>567</v>
      </c>
      <c r="G361" s="2">
        <v>813.97</v>
      </c>
      <c r="H361" s="2" t="s">
        <v>2464</v>
      </c>
      <c r="I361" s="2" t="s">
        <v>2465</v>
      </c>
      <c r="J361" s="2" t="s">
        <v>2466</v>
      </c>
      <c r="K361" s="2" t="s">
        <v>119</v>
      </c>
      <c r="M361" s="2">
        <v>42.0</v>
      </c>
      <c r="N361" s="2">
        <v>9257.07</v>
      </c>
      <c r="O361" s="2" t="s">
        <v>52</v>
      </c>
      <c r="P361" s="2" t="s">
        <v>840</v>
      </c>
      <c r="Q361" s="2" t="s">
        <v>2467</v>
      </c>
      <c r="T361" s="2" t="s">
        <v>32</v>
      </c>
      <c r="U361" s="2" t="s">
        <v>33</v>
      </c>
    </row>
    <row r="362">
      <c r="A362" s="2">
        <v>361.0</v>
      </c>
      <c r="B362" s="2">
        <v>361.0</v>
      </c>
      <c r="C362" s="2">
        <v>361.0</v>
      </c>
      <c r="D362" s="3">
        <v>43945.0</v>
      </c>
      <c r="E362" s="2" t="s">
        <v>2468</v>
      </c>
      <c r="F362" s="2" t="s">
        <v>1536</v>
      </c>
      <c r="G362" s="2">
        <v>575.82</v>
      </c>
      <c r="H362" s="2" t="s">
        <v>2469</v>
      </c>
      <c r="I362" s="2" t="s">
        <v>2470</v>
      </c>
      <c r="J362" s="2" t="s">
        <v>2471</v>
      </c>
      <c r="K362" s="2" t="s">
        <v>32</v>
      </c>
      <c r="M362" s="2">
        <v>80.0</v>
      </c>
      <c r="N362" s="2">
        <v>6431.72</v>
      </c>
      <c r="O362" s="2" t="s">
        <v>52</v>
      </c>
      <c r="P362" s="2" t="s">
        <v>613</v>
      </c>
      <c r="Q362" s="2" t="s">
        <v>2472</v>
      </c>
      <c r="T362" s="2" t="s">
        <v>714</v>
      </c>
      <c r="U362" s="2" t="s">
        <v>46</v>
      </c>
    </row>
    <row r="363">
      <c r="A363" s="2">
        <v>362.0</v>
      </c>
      <c r="B363" s="2">
        <v>362.0</v>
      </c>
      <c r="C363" s="2">
        <v>362.0</v>
      </c>
      <c r="D363" s="3">
        <v>44395.0</v>
      </c>
      <c r="E363" s="2" t="s">
        <v>2473</v>
      </c>
      <c r="F363" s="2" t="s">
        <v>64</v>
      </c>
      <c r="G363" s="2">
        <v>778.12</v>
      </c>
      <c r="H363" s="2" t="s">
        <v>2474</v>
      </c>
      <c r="I363" s="2" t="s">
        <v>2475</v>
      </c>
      <c r="J363" s="2" t="s">
        <v>2476</v>
      </c>
      <c r="K363" s="2" t="s">
        <v>137</v>
      </c>
      <c r="M363" s="2">
        <v>73.0</v>
      </c>
      <c r="N363" s="2">
        <v>2977.76</v>
      </c>
      <c r="O363" s="2" t="s">
        <v>41</v>
      </c>
      <c r="P363" s="2" t="s">
        <v>2477</v>
      </c>
      <c r="Q363" s="2" t="s">
        <v>2478</v>
      </c>
      <c r="S363" s="2" t="s">
        <v>2479</v>
      </c>
      <c r="T363" s="2" t="s">
        <v>26</v>
      </c>
      <c r="U363" s="2" t="s">
        <v>71</v>
      </c>
    </row>
    <row r="364">
      <c r="A364" s="2">
        <v>363.0</v>
      </c>
      <c r="B364" s="2">
        <v>363.0</v>
      </c>
      <c r="C364" s="2">
        <v>363.0</v>
      </c>
      <c r="D364" s="3">
        <v>43995.0</v>
      </c>
      <c r="E364" s="2" t="s">
        <v>2480</v>
      </c>
      <c r="F364" s="2" t="s">
        <v>237</v>
      </c>
      <c r="G364" s="2">
        <v>560.97</v>
      </c>
      <c r="H364" s="2" t="s">
        <v>2481</v>
      </c>
      <c r="I364" s="2" t="s">
        <v>2482</v>
      </c>
      <c r="J364" s="2" t="s">
        <v>2483</v>
      </c>
      <c r="K364" s="2" t="s">
        <v>612</v>
      </c>
      <c r="M364" s="2">
        <v>84.0</v>
      </c>
      <c r="N364" s="2">
        <v>2624.04</v>
      </c>
      <c r="O364" s="2" t="s">
        <v>52</v>
      </c>
      <c r="P364" s="2" t="s">
        <v>2484</v>
      </c>
      <c r="Q364" s="2" t="s">
        <v>2485</v>
      </c>
      <c r="S364" s="2">
        <v>27404.0</v>
      </c>
      <c r="T364" s="2" t="s">
        <v>101</v>
      </c>
      <c r="U364" s="2" t="s">
        <v>33</v>
      </c>
    </row>
    <row r="365">
      <c r="A365" s="2">
        <v>364.0</v>
      </c>
      <c r="B365" s="2">
        <v>364.0</v>
      </c>
      <c r="C365" s="2">
        <v>364.0</v>
      </c>
      <c r="D365" s="3">
        <v>44378.0</v>
      </c>
      <c r="E365" s="2" t="s">
        <v>2486</v>
      </c>
      <c r="F365" s="2" t="s">
        <v>567</v>
      </c>
      <c r="G365" s="2">
        <v>289.6</v>
      </c>
      <c r="H365" s="2" t="s">
        <v>2487</v>
      </c>
      <c r="I365" s="2" t="s">
        <v>2488</v>
      </c>
      <c r="J365" s="2" t="s">
        <v>2489</v>
      </c>
      <c r="K365" s="2" t="s">
        <v>32</v>
      </c>
      <c r="M365" s="2">
        <v>45.0</v>
      </c>
      <c r="N365" s="2">
        <v>530.19</v>
      </c>
      <c r="O365" s="2" t="s">
        <v>41</v>
      </c>
      <c r="P365" s="2" t="s">
        <v>2490</v>
      </c>
      <c r="Q365" s="2" t="s">
        <v>2491</v>
      </c>
      <c r="S365" s="2">
        <v>2009.0</v>
      </c>
      <c r="T365" s="2" t="s">
        <v>241</v>
      </c>
      <c r="U365" s="2" t="s">
        <v>71</v>
      </c>
    </row>
    <row r="366">
      <c r="A366" s="2">
        <v>365.0</v>
      </c>
      <c r="B366" s="2">
        <v>365.0</v>
      </c>
      <c r="C366" s="2">
        <v>365.0</v>
      </c>
      <c r="D366" s="3">
        <v>43999.0</v>
      </c>
      <c r="E366" s="2" t="s">
        <v>2492</v>
      </c>
      <c r="F366" s="2" t="s">
        <v>35</v>
      </c>
      <c r="G366" s="2">
        <v>429.09</v>
      </c>
      <c r="H366" s="2" t="s">
        <v>2493</v>
      </c>
      <c r="I366" s="2" t="s">
        <v>2494</v>
      </c>
      <c r="J366" s="2" t="s">
        <v>2495</v>
      </c>
      <c r="K366" s="2" t="s">
        <v>163</v>
      </c>
      <c r="L366" s="2" t="s">
        <v>2496</v>
      </c>
      <c r="M366" s="2">
        <v>40.0</v>
      </c>
      <c r="N366" s="2">
        <v>947.11</v>
      </c>
      <c r="O366" s="2" t="s">
        <v>41</v>
      </c>
      <c r="P366" s="2" t="s">
        <v>2497</v>
      </c>
      <c r="Q366" s="2" t="s">
        <v>2498</v>
      </c>
      <c r="S366" s="2" t="s">
        <v>2499</v>
      </c>
      <c r="T366" s="2" t="s">
        <v>114</v>
      </c>
      <c r="U366" s="2" t="s">
        <v>46</v>
      </c>
    </row>
    <row r="367">
      <c r="A367" s="2">
        <v>366.0</v>
      </c>
      <c r="B367" s="2">
        <v>366.0</v>
      </c>
      <c r="C367" s="2">
        <v>366.0</v>
      </c>
      <c r="D367" s="3">
        <v>43840.0</v>
      </c>
      <c r="E367" s="2" t="s">
        <v>2500</v>
      </c>
      <c r="F367" s="2" t="s">
        <v>413</v>
      </c>
      <c r="G367" s="2">
        <v>69.69</v>
      </c>
      <c r="H367" s="2" t="s">
        <v>2501</v>
      </c>
      <c r="I367" s="2" t="s">
        <v>2502</v>
      </c>
      <c r="J367" s="2" t="s">
        <v>2503</v>
      </c>
      <c r="K367" s="2" t="s">
        <v>885</v>
      </c>
      <c r="L367" s="2">
        <v>21240.0</v>
      </c>
      <c r="M367" s="2">
        <v>83.0</v>
      </c>
      <c r="N367" s="2">
        <v>7358.19</v>
      </c>
      <c r="O367" s="2" t="s">
        <v>28</v>
      </c>
      <c r="P367" s="2" t="s">
        <v>2504</v>
      </c>
      <c r="Q367" s="2" t="s">
        <v>2505</v>
      </c>
      <c r="S367" s="2">
        <v>32010.0</v>
      </c>
      <c r="T367" s="2" t="s">
        <v>217</v>
      </c>
      <c r="U367" s="2" t="s">
        <v>71</v>
      </c>
    </row>
    <row r="368">
      <c r="A368" s="2">
        <v>367.0</v>
      </c>
      <c r="B368" s="2">
        <v>367.0</v>
      </c>
      <c r="C368" s="2">
        <v>367.0</v>
      </c>
      <c r="D368" s="3">
        <v>43838.0</v>
      </c>
      <c r="E368" s="2" t="s">
        <v>2506</v>
      </c>
      <c r="F368" s="2" t="s">
        <v>142</v>
      </c>
      <c r="G368" s="2">
        <v>100.8</v>
      </c>
      <c r="H368" s="2" t="s">
        <v>2507</v>
      </c>
      <c r="I368" s="2" t="s">
        <v>2508</v>
      </c>
      <c r="J368" s="2" t="s">
        <v>2509</v>
      </c>
      <c r="K368" s="2" t="s">
        <v>1826</v>
      </c>
      <c r="M368" s="2">
        <v>24.0</v>
      </c>
      <c r="N368" s="2">
        <v>727.58</v>
      </c>
      <c r="O368" s="2" t="s">
        <v>41</v>
      </c>
      <c r="P368" s="2" t="s">
        <v>2510</v>
      </c>
      <c r="Q368" s="2" t="s">
        <v>2511</v>
      </c>
      <c r="T368" s="2" t="s">
        <v>119</v>
      </c>
      <c r="U368" s="2" t="s">
        <v>33</v>
      </c>
    </row>
    <row r="369">
      <c r="A369" s="2">
        <v>368.0</v>
      </c>
      <c r="B369" s="2">
        <v>368.0</v>
      </c>
      <c r="C369" s="2">
        <v>368.0</v>
      </c>
      <c r="D369" s="3">
        <v>43928.0</v>
      </c>
      <c r="E369" s="2" t="s">
        <v>2512</v>
      </c>
      <c r="F369" s="2" t="s">
        <v>1046</v>
      </c>
      <c r="G369" s="2">
        <v>605.06</v>
      </c>
      <c r="H369" s="2" t="s">
        <v>280</v>
      </c>
      <c r="I369" s="2" t="s">
        <v>2513</v>
      </c>
      <c r="J369" s="2" t="s">
        <v>2514</v>
      </c>
      <c r="K369" s="2" t="s">
        <v>119</v>
      </c>
      <c r="M369" s="2">
        <v>54.0</v>
      </c>
      <c r="N369" s="2">
        <v>9821.03</v>
      </c>
      <c r="O369" s="2" t="s">
        <v>41</v>
      </c>
      <c r="P369" s="2" t="s">
        <v>2515</v>
      </c>
      <c r="Q369" s="2" t="s">
        <v>2516</v>
      </c>
      <c r="S369" s="2" t="s">
        <v>2517</v>
      </c>
      <c r="T369" s="2" t="s">
        <v>39</v>
      </c>
      <c r="U369" s="2" t="s">
        <v>33</v>
      </c>
    </row>
    <row r="370">
      <c r="A370" s="2">
        <v>369.0</v>
      </c>
      <c r="B370" s="2">
        <v>369.0</v>
      </c>
      <c r="C370" s="2">
        <v>369.0</v>
      </c>
      <c r="D370" s="3">
        <v>44119.0</v>
      </c>
      <c r="E370" s="2" t="s">
        <v>2518</v>
      </c>
      <c r="F370" s="2" t="s">
        <v>48</v>
      </c>
      <c r="G370" s="2">
        <v>450.1</v>
      </c>
      <c r="H370" s="2" t="s">
        <v>2519</v>
      </c>
      <c r="I370" s="2" t="s">
        <v>2520</v>
      </c>
      <c r="J370" s="2" t="s">
        <v>2521</v>
      </c>
      <c r="K370" s="2" t="s">
        <v>39</v>
      </c>
      <c r="L370" s="2" t="s">
        <v>2522</v>
      </c>
      <c r="M370" s="2">
        <v>67.0</v>
      </c>
      <c r="N370" s="2">
        <v>9211.94</v>
      </c>
      <c r="O370" s="2" t="s">
        <v>52</v>
      </c>
      <c r="P370" s="2" t="s">
        <v>613</v>
      </c>
      <c r="Q370" s="2" t="s">
        <v>2523</v>
      </c>
      <c r="R370" s="2" t="s">
        <v>753</v>
      </c>
      <c r="T370" s="2" t="s">
        <v>32</v>
      </c>
      <c r="U370" s="2" t="s">
        <v>33</v>
      </c>
    </row>
    <row r="371">
      <c r="A371" s="2">
        <v>370.0</v>
      </c>
      <c r="B371" s="2">
        <v>370.0</v>
      </c>
      <c r="C371" s="2">
        <v>370.0</v>
      </c>
      <c r="D371" s="3">
        <v>44469.0</v>
      </c>
      <c r="E371" s="2" t="s">
        <v>2524</v>
      </c>
      <c r="F371" s="2" t="s">
        <v>237</v>
      </c>
      <c r="G371" s="2">
        <v>88.03</v>
      </c>
      <c r="H371" s="2" t="s">
        <v>2525</v>
      </c>
      <c r="I371" s="2" t="s">
        <v>2526</v>
      </c>
      <c r="J371" s="2" t="s">
        <v>2527</v>
      </c>
      <c r="K371" s="2" t="s">
        <v>714</v>
      </c>
      <c r="M371" s="2">
        <v>39.0</v>
      </c>
      <c r="N371" s="2">
        <v>7373.2</v>
      </c>
      <c r="O371" s="2" t="s">
        <v>52</v>
      </c>
      <c r="P371" s="2" t="s">
        <v>2528</v>
      </c>
      <c r="Q371" s="2" t="s">
        <v>2529</v>
      </c>
      <c r="S371" s="2">
        <v>4507.0</v>
      </c>
      <c r="T371" s="2" t="s">
        <v>241</v>
      </c>
      <c r="U371" s="2" t="s">
        <v>33</v>
      </c>
    </row>
    <row r="372">
      <c r="A372" s="2">
        <v>371.0</v>
      </c>
      <c r="B372" s="2">
        <v>371.0</v>
      </c>
      <c r="C372" s="2">
        <v>371.0</v>
      </c>
      <c r="D372" s="3">
        <v>44283.0</v>
      </c>
      <c r="E372" s="2" t="s">
        <v>1019</v>
      </c>
      <c r="F372" s="2" t="s">
        <v>230</v>
      </c>
      <c r="G372" s="2">
        <v>121.4</v>
      </c>
      <c r="H372" s="2" t="s">
        <v>2530</v>
      </c>
      <c r="I372" s="2" t="s">
        <v>2531</v>
      </c>
      <c r="J372" s="2" t="s">
        <v>2532</v>
      </c>
      <c r="K372" s="2" t="s">
        <v>101</v>
      </c>
      <c r="L372" s="2">
        <v>47732.0</v>
      </c>
      <c r="M372" s="2">
        <v>35.0</v>
      </c>
      <c r="N372" s="2">
        <v>8561.21</v>
      </c>
      <c r="O372" s="2" t="s">
        <v>28</v>
      </c>
      <c r="P372" s="2" t="s">
        <v>613</v>
      </c>
      <c r="Q372" s="2" t="s">
        <v>2533</v>
      </c>
      <c r="R372" s="2" t="s">
        <v>2534</v>
      </c>
      <c r="T372" s="2" t="s">
        <v>32</v>
      </c>
      <c r="U372" s="2" t="s">
        <v>46</v>
      </c>
    </row>
    <row r="373">
      <c r="A373" s="2">
        <v>372.0</v>
      </c>
      <c r="B373" s="2">
        <v>372.0</v>
      </c>
      <c r="C373" s="2">
        <v>372.0</v>
      </c>
      <c r="D373" s="3">
        <v>43973.0</v>
      </c>
      <c r="E373" s="2" t="s">
        <v>2535</v>
      </c>
      <c r="F373" s="2" t="s">
        <v>142</v>
      </c>
      <c r="G373" s="2">
        <v>79.81</v>
      </c>
      <c r="H373" s="2" t="s">
        <v>2536</v>
      </c>
      <c r="I373" s="2" t="s">
        <v>2537</v>
      </c>
      <c r="J373" s="2" t="s">
        <v>2538</v>
      </c>
      <c r="K373" s="2" t="s">
        <v>32</v>
      </c>
      <c r="M373" s="2">
        <v>94.0</v>
      </c>
      <c r="N373" s="2">
        <v>4563.7</v>
      </c>
      <c r="O373" s="2" t="s">
        <v>41</v>
      </c>
      <c r="P373" s="2" t="s">
        <v>2539</v>
      </c>
      <c r="Q373" s="2" t="s">
        <v>2540</v>
      </c>
      <c r="S373" s="2" t="s">
        <v>2541</v>
      </c>
      <c r="T373" s="2" t="s">
        <v>26</v>
      </c>
      <c r="U373" s="2" t="s">
        <v>46</v>
      </c>
    </row>
    <row r="374">
      <c r="A374" s="2">
        <v>373.0</v>
      </c>
      <c r="B374" s="2">
        <v>373.0</v>
      </c>
      <c r="C374" s="2">
        <v>373.0</v>
      </c>
      <c r="D374" s="3">
        <v>44176.0</v>
      </c>
      <c r="E374" s="2" t="s">
        <v>2542</v>
      </c>
      <c r="F374" s="2" t="s">
        <v>332</v>
      </c>
      <c r="G374" s="2">
        <v>313.92</v>
      </c>
      <c r="H374" s="2" t="s">
        <v>2543</v>
      </c>
      <c r="I374" s="2" t="s">
        <v>2544</v>
      </c>
      <c r="J374" s="2" t="s">
        <v>2545</v>
      </c>
      <c r="K374" s="2" t="s">
        <v>119</v>
      </c>
      <c r="M374" s="2">
        <v>58.0</v>
      </c>
      <c r="N374" s="2">
        <v>6537.7</v>
      </c>
      <c r="O374" s="2" t="s">
        <v>28</v>
      </c>
      <c r="P374" s="2" t="s">
        <v>2546</v>
      </c>
      <c r="Q374" s="2" t="s">
        <v>2547</v>
      </c>
      <c r="S374" s="2" t="s">
        <v>2548</v>
      </c>
      <c r="T374" s="2" t="s">
        <v>114</v>
      </c>
      <c r="U374" s="2" t="s">
        <v>46</v>
      </c>
    </row>
    <row r="375">
      <c r="A375" s="2">
        <v>374.0</v>
      </c>
      <c r="B375" s="2">
        <v>374.0</v>
      </c>
      <c r="C375" s="2">
        <v>374.0</v>
      </c>
      <c r="D375" s="3">
        <v>44382.0</v>
      </c>
      <c r="E375" s="2" t="s">
        <v>2549</v>
      </c>
      <c r="F375" s="2" t="s">
        <v>73</v>
      </c>
      <c r="G375" s="2">
        <v>83.78</v>
      </c>
      <c r="H375" s="2" t="s">
        <v>2550</v>
      </c>
      <c r="I375" s="2" t="s">
        <v>2551</v>
      </c>
      <c r="J375" s="2" t="s">
        <v>2552</v>
      </c>
      <c r="K375" s="2" t="s">
        <v>68</v>
      </c>
      <c r="L375" s="2">
        <v>368562.0</v>
      </c>
      <c r="M375" s="2">
        <v>44.0</v>
      </c>
      <c r="N375" s="2">
        <v>9806.38</v>
      </c>
      <c r="O375" s="2" t="s">
        <v>52</v>
      </c>
      <c r="P375" s="2" t="s">
        <v>454</v>
      </c>
      <c r="Q375" s="2" t="s">
        <v>2553</v>
      </c>
      <c r="T375" s="2" t="s">
        <v>119</v>
      </c>
      <c r="U375" s="2" t="s">
        <v>33</v>
      </c>
    </row>
    <row r="376">
      <c r="A376" s="2">
        <v>375.0</v>
      </c>
      <c r="B376" s="2">
        <v>375.0</v>
      </c>
      <c r="C376" s="2">
        <v>375.0</v>
      </c>
      <c r="D376" s="3">
        <v>44409.0</v>
      </c>
      <c r="E376" s="2" t="s">
        <v>2554</v>
      </c>
      <c r="F376" s="2" t="s">
        <v>2555</v>
      </c>
      <c r="G376" s="2">
        <v>692.6</v>
      </c>
      <c r="H376" s="2" t="s">
        <v>2556</v>
      </c>
      <c r="I376" s="2" t="s">
        <v>2557</v>
      </c>
      <c r="J376" s="2" t="s">
        <v>2558</v>
      </c>
      <c r="K376" s="2" t="s">
        <v>32</v>
      </c>
      <c r="M376" s="2">
        <v>77.0</v>
      </c>
      <c r="N376" s="2">
        <v>4197.41</v>
      </c>
      <c r="O376" s="2" t="s">
        <v>52</v>
      </c>
      <c r="P376" s="2" t="s">
        <v>2559</v>
      </c>
      <c r="Q376" s="2" t="s">
        <v>2560</v>
      </c>
      <c r="T376" s="2" t="s">
        <v>119</v>
      </c>
      <c r="U376" s="2" t="s">
        <v>33</v>
      </c>
    </row>
    <row r="377">
      <c r="A377" s="2">
        <v>376.0</v>
      </c>
      <c r="B377" s="2">
        <v>376.0</v>
      </c>
      <c r="C377" s="2">
        <v>376.0</v>
      </c>
      <c r="D377" s="3">
        <v>43877.0</v>
      </c>
      <c r="E377" s="2" t="s">
        <v>2561</v>
      </c>
      <c r="F377" s="2" t="s">
        <v>436</v>
      </c>
      <c r="G377" s="2">
        <v>872.34</v>
      </c>
      <c r="H377" s="2" t="s">
        <v>2562</v>
      </c>
      <c r="I377" s="2" t="s">
        <v>2563</v>
      </c>
      <c r="J377" s="2" t="s">
        <v>2564</v>
      </c>
      <c r="K377" s="2" t="s">
        <v>1180</v>
      </c>
      <c r="M377" s="2">
        <v>74.0</v>
      </c>
      <c r="N377" s="2">
        <v>756.39</v>
      </c>
      <c r="O377" s="2" t="s">
        <v>52</v>
      </c>
      <c r="P377" s="2" t="s">
        <v>2565</v>
      </c>
      <c r="Q377" s="2" t="s">
        <v>2566</v>
      </c>
      <c r="T377" s="2" t="s">
        <v>32</v>
      </c>
      <c r="U377" s="2" t="s">
        <v>46</v>
      </c>
    </row>
    <row r="378">
      <c r="A378" s="2">
        <v>377.0</v>
      </c>
      <c r="B378" s="2">
        <v>377.0</v>
      </c>
      <c r="C378" s="2">
        <v>377.0</v>
      </c>
      <c r="D378" s="3">
        <v>44294.0</v>
      </c>
      <c r="E378" s="2" t="s">
        <v>2567</v>
      </c>
      <c r="F378" s="2" t="s">
        <v>56</v>
      </c>
      <c r="G378" s="2">
        <v>542.74</v>
      </c>
      <c r="H378" s="2" t="s">
        <v>2568</v>
      </c>
      <c r="I378" s="2" t="s">
        <v>2569</v>
      </c>
      <c r="J378" s="2" t="s">
        <v>2570</v>
      </c>
      <c r="K378" s="2" t="s">
        <v>32</v>
      </c>
      <c r="M378" s="2">
        <v>58.0</v>
      </c>
      <c r="N378" s="2">
        <v>360.07</v>
      </c>
      <c r="O378" s="2" t="s">
        <v>28</v>
      </c>
      <c r="P378" s="2" t="s">
        <v>2571</v>
      </c>
      <c r="Q378" s="2" t="s">
        <v>2572</v>
      </c>
      <c r="T378" s="2" t="s">
        <v>119</v>
      </c>
      <c r="U378" s="2" t="s">
        <v>46</v>
      </c>
    </row>
    <row r="379">
      <c r="A379" s="2">
        <v>378.0</v>
      </c>
      <c r="B379" s="2">
        <v>378.0</v>
      </c>
      <c r="C379" s="2">
        <v>378.0</v>
      </c>
      <c r="D379" s="3">
        <v>43931.0</v>
      </c>
      <c r="E379" s="2" t="s">
        <v>2573</v>
      </c>
      <c r="F379" s="2" t="s">
        <v>567</v>
      </c>
      <c r="G379" s="2">
        <v>988.43</v>
      </c>
      <c r="H379" s="2" t="s">
        <v>2574</v>
      </c>
      <c r="I379" s="2" t="s">
        <v>2575</v>
      </c>
      <c r="J379" s="2" t="s">
        <v>2576</v>
      </c>
      <c r="K379" s="2" t="s">
        <v>257</v>
      </c>
      <c r="L379" s="2" t="s">
        <v>2577</v>
      </c>
      <c r="M379" s="2">
        <v>99.0</v>
      </c>
      <c r="N379" s="2">
        <v>6407.41</v>
      </c>
      <c r="O379" s="2" t="s">
        <v>41</v>
      </c>
      <c r="P379" s="2" t="s">
        <v>2578</v>
      </c>
      <c r="Q379" s="2" t="s">
        <v>2579</v>
      </c>
      <c r="R379" s="2" t="s">
        <v>2580</v>
      </c>
      <c r="S379" s="2">
        <v>8711.0</v>
      </c>
      <c r="T379" s="2" t="s">
        <v>241</v>
      </c>
      <c r="U379" s="2" t="s">
        <v>33</v>
      </c>
    </row>
    <row r="380">
      <c r="A380" s="2">
        <v>379.0</v>
      </c>
      <c r="B380" s="2">
        <v>379.0</v>
      </c>
      <c r="C380" s="2">
        <v>379.0</v>
      </c>
      <c r="D380" s="3">
        <v>44080.0</v>
      </c>
      <c r="E380" s="2" t="s">
        <v>2581</v>
      </c>
      <c r="F380" s="2" t="s">
        <v>501</v>
      </c>
      <c r="G380" s="2">
        <v>170.53</v>
      </c>
      <c r="H380" s="2" t="s">
        <v>2582</v>
      </c>
      <c r="I380" s="2" t="s">
        <v>2583</v>
      </c>
      <c r="J380" s="2" t="s">
        <v>2584</v>
      </c>
      <c r="K380" s="2" t="s">
        <v>68</v>
      </c>
      <c r="L380" s="2">
        <v>175100.0</v>
      </c>
      <c r="M380" s="2">
        <v>1.0</v>
      </c>
      <c r="N380" s="2">
        <v>9685.7</v>
      </c>
      <c r="O380" s="2" t="s">
        <v>52</v>
      </c>
      <c r="P380" s="2" t="s">
        <v>2585</v>
      </c>
      <c r="Q380" s="2" t="s">
        <v>2586</v>
      </c>
      <c r="S380" s="2">
        <v>2356.0</v>
      </c>
      <c r="T380" s="2" t="s">
        <v>327</v>
      </c>
      <c r="U380" s="2" t="s">
        <v>46</v>
      </c>
    </row>
    <row r="381">
      <c r="A381" s="2">
        <v>380.0</v>
      </c>
      <c r="B381" s="2">
        <v>380.0</v>
      </c>
      <c r="C381" s="2">
        <v>380.0</v>
      </c>
      <c r="D381" s="3">
        <v>44532.0</v>
      </c>
      <c r="E381" s="2" t="s">
        <v>2587</v>
      </c>
      <c r="F381" s="2" t="s">
        <v>413</v>
      </c>
      <c r="G381" s="2">
        <v>718.37</v>
      </c>
      <c r="H381" s="2" t="s">
        <v>2588</v>
      </c>
      <c r="I381" s="2" t="s">
        <v>2589</v>
      </c>
      <c r="J381" s="2" t="s">
        <v>2590</v>
      </c>
      <c r="K381" s="2" t="s">
        <v>32</v>
      </c>
      <c r="M381" s="2">
        <v>14.0</v>
      </c>
      <c r="N381" s="2">
        <v>4460.3</v>
      </c>
      <c r="O381" s="2" t="s">
        <v>28</v>
      </c>
      <c r="P381" s="2" t="s">
        <v>2366</v>
      </c>
      <c r="Q381" s="2" t="s">
        <v>2591</v>
      </c>
      <c r="T381" s="2" t="s">
        <v>32</v>
      </c>
      <c r="U381" s="2" t="s">
        <v>71</v>
      </c>
    </row>
    <row r="382">
      <c r="A382" s="2">
        <v>381.0</v>
      </c>
      <c r="B382" s="2">
        <v>381.0</v>
      </c>
      <c r="C382" s="2">
        <v>381.0</v>
      </c>
      <c r="D382" s="3">
        <v>44237.0</v>
      </c>
      <c r="E382" s="2" t="s">
        <v>2592</v>
      </c>
      <c r="F382" s="2" t="s">
        <v>822</v>
      </c>
      <c r="G382" s="2">
        <v>575.99</v>
      </c>
      <c r="H382" s="2" t="s">
        <v>2593</v>
      </c>
      <c r="I382" s="2" t="s">
        <v>2594</v>
      </c>
      <c r="J382" s="2" t="s">
        <v>2595</v>
      </c>
      <c r="K382" s="2" t="s">
        <v>119</v>
      </c>
      <c r="M382" s="2">
        <v>26.0</v>
      </c>
      <c r="N382" s="2">
        <v>8193.2</v>
      </c>
      <c r="O382" s="2" t="s">
        <v>41</v>
      </c>
      <c r="P382" s="2" t="s">
        <v>2596</v>
      </c>
      <c r="Q382" s="2" t="s">
        <v>2597</v>
      </c>
      <c r="T382" s="2" t="s">
        <v>1826</v>
      </c>
      <c r="U382" s="2" t="s">
        <v>71</v>
      </c>
    </row>
    <row r="383">
      <c r="A383" s="2">
        <v>382.0</v>
      </c>
      <c r="B383" s="2">
        <v>382.0</v>
      </c>
      <c r="C383" s="2">
        <v>382.0</v>
      </c>
      <c r="D383" s="3">
        <v>43884.0</v>
      </c>
      <c r="E383" s="2" t="s">
        <v>1103</v>
      </c>
      <c r="F383" s="2" t="s">
        <v>22</v>
      </c>
      <c r="G383" s="2">
        <v>748.71</v>
      </c>
      <c r="H383" s="2" t="s">
        <v>2598</v>
      </c>
      <c r="I383" s="2" t="s">
        <v>2599</v>
      </c>
      <c r="J383" s="2" t="s">
        <v>2600</v>
      </c>
      <c r="K383" s="2" t="s">
        <v>241</v>
      </c>
      <c r="L383" s="2">
        <v>2600.0</v>
      </c>
      <c r="M383" s="2">
        <v>12.0</v>
      </c>
      <c r="N383" s="2">
        <v>3863.74</v>
      </c>
      <c r="O383" s="2" t="s">
        <v>52</v>
      </c>
      <c r="P383" s="2" t="s">
        <v>2601</v>
      </c>
      <c r="Q383" s="2" t="s">
        <v>2602</v>
      </c>
      <c r="T383" s="2" t="s">
        <v>92</v>
      </c>
      <c r="U383" s="2" t="s">
        <v>33</v>
      </c>
    </row>
    <row r="384">
      <c r="A384" s="2">
        <v>383.0</v>
      </c>
      <c r="B384" s="2">
        <v>383.0</v>
      </c>
      <c r="C384" s="2">
        <v>383.0</v>
      </c>
      <c r="D384" s="3">
        <v>44208.0</v>
      </c>
      <c r="E384" s="2" t="s">
        <v>456</v>
      </c>
      <c r="F384" s="2" t="s">
        <v>35</v>
      </c>
      <c r="G384" s="2">
        <v>838.56</v>
      </c>
      <c r="H384" s="2" t="s">
        <v>2603</v>
      </c>
      <c r="I384" s="2" t="s">
        <v>2604</v>
      </c>
      <c r="J384" s="2" t="s">
        <v>2605</v>
      </c>
      <c r="K384" s="2" t="s">
        <v>101</v>
      </c>
      <c r="L384" s="2">
        <v>44105.0</v>
      </c>
      <c r="M384" s="2">
        <v>17.0</v>
      </c>
      <c r="N384" s="2">
        <v>5266.91</v>
      </c>
      <c r="O384" s="2" t="s">
        <v>41</v>
      </c>
      <c r="P384" s="2" t="s">
        <v>2606</v>
      </c>
      <c r="Q384" s="2" t="s">
        <v>2607</v>
      </c>
      <c r="R384" s="2" t="s">
        <v>1726</v>
      </c>
      <c r="S384" s="2" t="s">
        <v>2608</v>
      </c>
      <c r="T384" s="2" t="s">
        <v>39</v>
      </c>
      <c r="U384" s="2" t="s">
        <v>71</v>
      </c>
    </row>
    <row r="385">
      <c r="A385" s="2">
        <v>384.0</v>
      </c>
      <c r="B385" s="2">
        <v>384.0</v>
      </c>
      <c r="C385" s="2">
        <v>384.0</v>
      </c>
      <c r="D385" s="3">
        <v>44175.0</v>
      </c>
      <c r="E385" s="2" t="s">
        <v>2609</v>
      </c>
      <c r="F385" s="2" t="s">
        <v>73</v>
      </c>
      <c r="G385" s="2">
        <v>635.06</v>
      </c>
      <c r="H385" s="2" t="s">
        <v>2610</v>
      </c>
      <c r="I385" s="2" t="s">
        <v>2611</v>
      </c>
      <c r="J385" s="2" t="s">
        <v>2612</v>
      </c>
      <c r="K385" s="2" t="s">
        <v>1008</v>
      </c>
      <c r="M385" s="2">
        <v>68.0</v>
      </c>
      <c r="N385" s="2">
        <v>1014.73</v>
      </c>
      <c r="O385" s="2" t="s">
        <v>52</v>
      </c>
      <c r="P385" s="2" t="s">
        <v>2613</v>
      </c>
      <c r="Q385" s="2" t="s">
        <v>2614</v>
      </c>
      <c r="T385" s="2" t="s">
        <v>2615</v>
      </c>
      <c r="U385" s="2" t="s">
        <v>71</v>
      </c>
    </row>
    <row r="386">
      <c r="A386" s="2">
        <v>385.0</v>
      </c>
      <c r="B386" s="2">
        <v>385.0</v>
      </c>
      <c r="C386" s="2">
        <v>385.0</v>
      </c>
      <c r="D386" s="3">
        <v>44521.0</v>
      </c>
      <c r="E386" s="2" t="s">
        <v>2616</v>
      </c>
      <c r="F386" s="2" t="s">
        <v>272</v>
      </c>
      <c r="G386" s="2">
        <v>21.24</v>
      </c>
      <c r="H386" s="2" t="s">
        <v>2617</v>
      </c>
      <c r="I386" s="2" t="s">
        <v>2618</v>
      </c>
      <c r="J386" s="2" t="s">
        <v>2619</v>
      </c>
      <c r="K386" s="2" t="s">
        <v>45</v>
      </c>
      <c r="L386" s="2">
        <v>67410.0</v>
      </c>
      <c r="M386" s="2">
        <v>7.0</v>
      </c>
      <c r="N386" s="2">
        <v>3557.27</v>
      </c>
      <c r="O386" s="2" t="s">
        <v>41</v>
      </c>
      <c r="P386" s="2" t="s">
        <v>2620</v>
      </c>
      <c r="Q386" s="2" t="s">
        <v>2621</v>
      </c>
      <c r="T386" s="2" t="s">
        <v>32</v>
      </c>
      <c r="U386" s="2" t="s">
        <v>71</v>
      </c>
    </row>
    <row r="387">
      <c r="A387" s="2">
        <v>386.0</v>
      </c>
      <c r="B387" s="2">
        <v>386.0</v>
      </c>
      <c r="C387" s="2">
        <v>386.0</v>
      </c>
      <c r="D387" s="3">
        <v>44558.0</v>
      </c>
      <c r="E387" s="2" t="s">
        <v>2622</v>
      </c>
      <c r="F387" s="2" t="s">
        <v>2623</v>
      </c>
      <c r="G387" s="2">
        <v>787.25</v>
      </c>
      <c r="H387" s="2" t="s">
        <v>2624</v>
      </c>
      <c r="I387" s="2" t="s">
        <v>2625</v>
      </c>
      <c r="J387" s="2" t="s">
        <v>2626</v>
      </c>
      <c r="K387" s="2" t="s">
        <v>1840</v>
      </c>
      <c r="M387" s="2">
        <v>16.0</v>
      </c>
      <c r="N387" s="2">
        <v>3765.78</v>
      </c>
      <c r="O387" s="2" t="s">
        <v>28</v>
      </c>
      <c r="P387" s="2" t="s">
        <v>259</v>
      </c>
      <c r="Q387" s="2" t="s">
        <v>2627</v>
      </c>
      <c r="T387" s="2" t="s">
        <v>32</v>
      </c>
      <c r="U387" s="2" t="s">
        <v>71</v>
      </c>
    </row>
    <row r="388">
      <c r="A388" s="2">
        <v>387.0</v>
      </c>
      <c r="B388" s="2">
        <v>387.0</v>
      </c>
      <c r="C388" s="2">
        <v>387.0</v>
      </c>
      <c r="D388" s="3">
        <v>44030.0</v>
      </c>
      <c r="E388" s="2" t="s">
        <v>2457</v>
      </c>
      <c r="F388" s="2" t="s">
        <v>2458</v>
      </c>
      <c r="G388" s="2">
        <v>110.99</v>
      </c>
      <c r="H388" s="2" t="s">
        <v>2628</v>
      </c>
      <c r="I388" s="2" t="s">
        <v>2629</v>
      </c>
      <c r="J388" s="2" t="s">
        <v>2630</v>
      </c>
      <c r="K388" s="2" t="s">
        <v>1399</v>
      </c>
      <c r="M388" s="2">
        <v>7.0</v>
      </c>
      <c r="N388" s="2">
        <v>1135.09</v>
      </c>
      <c r="O388" s="2" t="s">
        <v>41</v>
      </c>
      <c r="P388" s="2" t="s">
        <v>2631</v>
      </c>
      <c r="Q388" s="2" t="s">
        <v>2632</v>
      </c>
      <c r="S388" s="2">
        <v>353673.0</v>
      </c>
      <c r="T388" s="2" t="s">
        <v>68</v>
      </c>
      <c r="U388" s="2" t="s">
        <v>46</v>
      </c>
    </row>
    <row r="389">
      <c r="A389" s="2">
        <v>388.0</v>
      </c>
      <c r="B389" s="2">
        <v>388.0</v>
      </c>
      <c r="C389" s="2">
        <v>388.0</v>
      </c>
      <c r="D389" s="3">
        <v>44305.0</v>
      </c>
      <c r="E389" s="2" t="s">
        <v>2633</v>
      </c>
      <c r="F389" s="2" t="s">
        <v>413</v>
      </c>
      <c r="G389" s="2">
        <v>644.73</v>
      </c>
      <c r="H389" s="2" t="s">
        <v>2634</v>
      </c>
      <c r="I389" s="2" t="s">
        <v>2635</v>
      </c>
      <c r="J389" s="2" t="s">
        <v>2636</v>
      </c>
      <c r="K389" s="2" t="s">
        <v>363</v>
      </c>
      <c r="M389" s="2">
        <v>25.0</v>
      </c>
      <c r="N389" s="2">
        <v>7364.18</v>
      </c>
      <c r="O389" s="2" t="s">
        <v>41</v>
      </c>
      <c r="P389" s="2" t="s">
        <v>2637</v>
      </c>
      <c r="Q389" s="2" t="s">
        <v>2638</v>
      </c>
      <c r="T389" s="2" t="s">
        <v>32</v>
      </c>
      <c r="U389" s="2" t="s">
        <v>33</v>
      </c>
    </row>
    <row r="390">
      <c r="A390" s="2">
        <v>389.0</v>
      </c>
      <c r="B390" s="2">
        <v>389.0</v>
      </c>
      <c r="C390" s="2">
        <v>389.0</v>
      </c>
      <c r="D390" s="3">
        <v>43968.0</v>
      </c>
      <c r="E390" s="2" t="s">
        <v>2639</v>
      </c>
      <c r="F390" s="2" t="s">
        <v>73</v>
      </c>
      <c r="G390" s="2">
        <v>939.83</v>
      </c>
      <c r="H390" s="2" t="s">
        <v>2640</v>
      </c>
      <c r="I390" s="2" t="s">
        <v>2641</v>
      </c>
      <c r="J390" s="2" t="s">
        <v>2642</v>
      </c>
      <c r="K390" s="2" t="s">
        <v>32</v>
      </c>
      <c r="M390" s="2">
        <v>71.0</v>
      </c>
      <c r="N390" s="2">
        <v>2872.28</v>
      </c>
      <c r="O390" s="2" t="s">
        <v>28</v>
      </c>
      <c r="P390" s="2" t="s">
        <v>2515</v>
      </c>
      <c r="Q390" s="2" t="s">
        <v>2643</v>
      </c>
      <c r="S390" s="2">
        <v>32127.0</v>
      </c>
      <c r="T390" s="2" t="s">
        <v>529</v>
      </c>
      <c r="U390" s="2" t="s">
        <v>33</v>
      </c>
    </row>
    <row r="391">
      <c r="A391" s="2">
        <v>390.0</v>
      </c>
      <c r="B391" s="2">
        <v>390.0</v>
      </c>
      <c r="C391" s="2">
        <v>390.0</v>
      </c>
      <c r="D391" s="3">
        <v>44256.0</v>
      </c>
      <c r="E391" s="2" t="s">
        <v>2644</v>
      </c>
      <c r="F391" s="2" t="s">
        <v>332</v>
      </c>
      <c r="G391" s="2">
        <v>58.82</v>
      </c>
      <c r="H391" s="2" t="s">
        <v>2645</v>
      </c>
      <c r="I391" s="2" t="s">
        <v>2646</v>
      </c>
      <c r="J391" s="2" t="s">
        <v>2647</v>
      </c>
      <c r="K391" s="2" t="s">
        <v>241</v>
      </c>
      <c r="L391" s="2">
        <v>2701.0</v>
      </c>
      <c r="M391" s="2">
        <v>49.0</v>
      </c>
      <c r="N391" s="2">
        <v>4565.21</v>
      </c>
      <c r="O391" s="2" t="s">
        <v>41</v>
      </c>
      <c r="P391" s="2" t="s">
        <v>2648</v>
      </c>
      <c r="Q391" s="2" t="s">
        <v>2202</v>
      </c>
      <c r="S391" s="2" t="s">
        <v>2649</v>
      </c>
      <c r="T391" s="2" t="s">
        <v>163</v>
      </c>
      <c r="U391" s="2" t="s">
        <v>71</v>
      </c>
    </row>
    <row r="392">
      <c r="A392" s="2">
        <v>391.0</v>
      </c>
      <c r="B392" s="2">
        <v>391.0</v>
      </c>
      <c r="C392" s="2">
        <v>391.0</v>
      </c>
      <c r="D392" s="3">
        <v>43950.0</v>
      </c>
      <c r="E392" s="2" t="s">
        <v>2650</v>
      </c>
      <c r="F392" s="2" t="s">
        <v>288</v>
      </c>
      <c r="G392" s="2">
        <v>591.63</v>
      </c>
      <c r="H392" s="2" t="s">
        <v>2651</v>
      </c>
      <c r="I392" s="2" t="s">
        <v>2652</v>
      </c>
      <c r="J392" s="2" t="s">
        <v>2653</v>
      </c>
      <c r="K392" s="2" t="s">
        <v>267</v>
      </c>
      <c r="M392" s="2">
        <v>58.0</v>
      </c>
      <c r="N392" s="2">
        <v>5810.46</v>
      </c>
      <c r="O392" s="2" t="s">
        <v>28</v>
      </c>
      <c r="P392" s="2" t="s">
        <v>2654</v>
      </c>
      <c r="Q392" s="2" t="s">
        <v>2655</v>
      </c>
      <c r="T392" s="2" t="s">
        <v>225</v>
      </c>
      <c r="U392" s="2" t="s">
        <v>46</v>
      </c>
    </row>
    <row r="393">
      <c r="A393" s="2">
        <v>392.0</v>
      </c>
      <c r="B393" s="2">
        <v>392.0</v>
      </c>
      <c r="C393" s="2">
        <v>392.0</v>
      </c>
      <c r="D393" s="3">
        <v>44255.0</v>
      </c>
      <c r="E393" s="2" t="s">
        <v>2656</v>
      </c>
      <c r="F393" s="2" t="s">
        <v>2225</v>
      </c>
      <c r="G393" s="2">
        <v>816.42</v>
      </c>
      <c r="H393" s="2" t="s">
        <v>2657</v>
      </c>
      <c r="I393" s="2" t="s">
        <v>2658</v>
      </c>
      <c r="J393" s="2" t="s">
        <v>2659</v>
      </c>
      <c r="K393" s="2" t="s">
        <v>119</v>
      </c>
      <c r="M393" s="2">
        <v>93.0</v>
      </c>
      <c r="N393" s="2">
        <v>3465.81</v>
      </c>
      <c r="O393" s="2" t="s">
        <v>41</v>
      </c>
      <c r="P393" s="2" t="s">
        <v>2660</v>
      </c>
      <c r="Q393" s="2" t="s">
        <v>2661</v>
      </c>
      <c r="S393" s="2" t="s">
        <v>2662</v>
      </c>
      <c r="T393" s="2" t="s">
        <v>379</v>
      </c>
      <c r="U393" s="2" t="s">
        <v>46</v>
      </c>
    </row>
    <row r="394">
      <c r="A394" s="2">
        <v>393.0</v>
      </c>
      <c r="B394" s="2">
        <v>393.0</v>
      </c>
      <c r="C394" s="2">
        <v>393.0</v>
      </c>
      <c r="D394" s="3">
        <v>43846.0</v>
      </c>
      <c r="E394" s="2" t="s">
        <v>1371</v>
      </c>
      <c r="F394" s="2" t="s">
        <v>35</v>
      </c>
      <c r="G394" s="2">
        <v>206.37</v>
      </c>
      <c r="H394" s="2" t="s">
        <v>2663</v>
      </c>
      <c r="I394" s="2" t="s">
        <v>2664</v>
      </c>
      <c r="J394" s="2" t="s">
        <v>2665</v>
      </c>
      <c r="K394" s="2" t="s">
        <v>119</v>
      </c>
      <c r="M394" s="2">
        <v>71.0</v>
      </c>
      <c r="N394" s="2">
        <v>6738.94</v>
      </c>
      <c r="O394" s="2" t="s">
        <v>41</v>
      </c>
      <c r="P394" s="2" t="s">
        <v>2666</v>
      </c>
      <c r="Q394" s="2" t="s">
        <v>2667</v>
      </c>
      <c r="S394" s="2" t="s">
        <v>2668</v>
      </c>
      <c r="T394" s="2" t="s">
        <v>26</v>
      </c>
      <c r="U394" s="2" t="s">
        <v>71</v>
      </c>
    </row>
    <row r="395">
      <c r="A395" s="2">
        <v>394.0</v>
      </c>
      <c r="B395" s="2">
        <v>394.0</v>
      </c>
      <c r="C395" s="2">
        <v>394.0</v>
      </c>
      <c r="D395" s="3">
        <v>43997.0</v>
      </c>
      <c r="E395" s="2" t="s">
        <v>2669</v>
      </c>
      <c r="F395" s="2" t="s">
        <v>142</v>
      </c>
      <c r="G395" s="2">
        <v>908.95</v>
      </c>
      <c r="H395" s="2" t="s">
        <v>2670</v>
      </c>
      <c r="I395" s="2" t="s">
        <v>2671</v>
      </c>
      <c r="J395" s="2" t="s">
        <v>2672</v>
      </c>
      <c r="K395" s="2" t="s">
        <v>26</v>
      </c>
      <c r="L395" s="2" t="s">
        <v>2673</v>
      </c>
      <c r="M395" s="2">
        <v>35.0</v>
      </c>
      <c r="N395" s="2">
        <v>4051.6</v>
      </c>
      <c r="O395" s="2" t="s">
        <v>28</v>
      </c>
      <c r="P395" s="2" t="s">
        <v>2674</v>
      </c>
      <c r="Q395" s="2" t="s">
        <v>2675</v>
      </c>
      <c r="R395" s="2" t="s">
        <v>2676</v>
      </c>
      <c r="T395" s="2" t="s">
        <v>32</v>
      </c>
      <c r="U395" s="2" t="s">
        <v>33</v>
      </c>
    </row>
    <row r="396">
      <c r="A396" s="2">
        <v>395.0</v>
      </c>
      <c r="B396" s="2">
        <v>395.0</v>
      </c>
      <c r="C396" s="2">
        <v>395.0</v>
      </c>
      <c r="D396" s="3">
        <v>44520.0</v>
      </c>
      <c r="E396" s="2" t="s">
        <v>2677</v>
      </c>
      <c r="F396" s="2" t="s">
        <v>567</v>
      </c>
      <c r="G396" s="2">
        <v>596.06</v>
      </c>
      <c r="H396" s="2" t="s">
        <v>2678</v>
      </c>
      <c r="I396" s="2" t="s">
        <v>2679</v>
      </c>
      <c r="J396" s="2" t="s">
        <v>2680</v>
      </c>
      <c r="K396" s="2" t="s">
        <v>1492</v>
      </c>
      <c r="L396" s="2" t="s">
        <v>2681</v>
      </c>
      <c r="M396" s="2">
        <v>33.0</v>
      </c>
      <c r="N396" s="2">
        <v>9224.07</v>
      </c>
      <c r="O396" s="2" t="s">
        <v>41</v>
      </c>
      <c r="P396" s="2" t="s">
        <v>2682</v>
      </c>
      <c r="Q396" s="2" t="s">
        <v>2683</v>
      </c>
      <c r="T396" s="2" t="s">
        <v>2684</v>
      </c>
      <c r="U396" s="2" t="s">
        <v>33</v>
      </c>
    </row>
    <row r="397">
      <c r="A397" s="2">
        <v>396.0</v>
      </c>
      <c r="B397" s="2">
        <v>396.0</v>
      </c>
      <c r="C397" s="2">
        <v>396.0</v>
      </c>
      <c r="D397" s="3">
        <v>44407.0</v>
      </c>
      <c r="E397" s="2" t="s">
        <v>2685</v>
      </c>
      <c r="F397" s="2" t="s">
        <v>2686</v>
      </c>
      <c r="G397" s="2">
        <v>882.24</v>
      </c>
      <c r="H397" s="2" t="s">
        <v>2687</v>
      </c>
      <c r="I397" s="2" t="s">
        <v>2688</v>
      </c>
      <c r="J397" s="2" t="s">
        <v>2689</v>
      </c>
      <c r="K397" s="2" t="s">
        <v>249</v>
      </c>
      <c r="M397" s="2">
        <v>39.0</v>
      </c>
      <c r="N397" s="2">
        <v>2616.86</v>
      </c>
      <c r="O397" s="2" t="s">
        <v>41</v>
      </c>
      <c r="P397" s="2" t="s">
        <v>2690</v>
      </c>
      <c r="Q397" s="2" t="s">
        <v>2691</v>
      </c>
      <c r="T397" s="2" t="s">
        <v>32</v>
      </c>
      <c r="U397" s="2" t="s">
        <v>33</v>
      </c>
    </row>
    <row r="398">
      <c r="A398" s="2">
        <v>397.0</v>
      </c>
      <c r="B398" s="2">
        <v>397.0</v>
      </c>
      <c r="C398" s="2">
        <v>397.0</v>
      </c>
      <c r="D398" s="3">
        <v>43919.0</v>
      </c>
      <c r="E398" s="2" t="s">
        <v>2692</v>
      </c>
      <c r="F398" s="2" t="s">
        <v>342</v>
      </c>
      <c r="G398" s="2">
        <v>217.67</v>
      </c>
      <c r="H398" s="2" t="s">
        <v>2693</v>
      </c>
      <c r="I398" s="2" t="s">
        <v>2694</v>
      </c>
      <c r="J398" s="2" t="s">
        <v>2695</v>
      </c>
      <c r="K398" s="2" t="s">
        <v>241</v>
      </c>
      <c r="L398" s="2">
        <v>7104.0</v>
      </c>
      <c r="M398" s="2">
        <v>91.0</v>
      </c>
      <c r="N398" s="2">
        <v>3894.5</v>
      </c>
      <c r="O398" s="2" t="s">
        <v>41</v>
      </c>
      <c r="P398" s="2" t="s">
        <v>2696</v>
      </c>
      <c r="Q398" s="2" t="s">
        <v>2697</v>
      </c>
      <c r="T398" s="2" t="s">
        <v>119</v>
      </c>
      <c r="U398" s="2" t="s">
        <v>46</v>
      </c>
    </row>
    <row r="399">
      <c r="A399" s="2">
        <v>398.0</v>
      </c>
      <c r="B399" s="2">
        <v>398.0</v>
      </c>
      <c r="C399" s="2">
        <v>398.0</v>
      </c>
      <c r="D399" s="3">
        <v>44169.0</v>
      </c>
      <c r="E399" s="2" t="s">
        <v>2698</v>
      </c>
      <c r="F399" s="2" t="s">
        <v>142</v>
      </c>
      <c r="G399" s="2">
        <v>475.55</v>
      </c>
      <c r="H399" s="2" t="s">
        <v>2699</v>
      </c>
      <c r="I399" s="2" t="s">
        <v>2700</v>
      </c>
      <c r="J399" s="2" t="s">
        <v>2701</v>
      </c>
      <c r="K399" s="2" t="s">
        <v>460</v>
      </c>
      <c r="L399" s="2">
        <v>1309.0</v>
      </c>
      <c r="M399" s="2">
        <v>98.0</v>
      </c>
      <c r="N399" s="2">
        <v>5550.27</v>
      </c>
      <c r="O399" s="2" t="s">
        <v>28</v>
      </c>
      <c r="P399" s="2" t="s">
        <v>2702</v>
      </c>
      <c r="Q399" s="2" t="s">
        <v>2703</v>
      </c>
      <c r="S399" s="2">
        <v>6337.0</v>
      </c>
      <c r="T399" s="2" t="s">
        <v>796</v>
      </c>
      <c r="U399" s="2" t="s">
        <v>71</v>
      </c>
    </row>
    <row r="400">
      <c r="A400" s="2">
        <v>399.0</v>
      </c>
      <c r="B400" s="2">
        <v>399.0</v>
      </c>
      <c r="C400" s="2">
        <v>399.0</v>
      </c>
      <c r="D400" s="3">
        <v>44405.0</v>
      </c>
      <c r="E400" s="2" t="s">
        <v>2704</v>
      </c>
      <c r="F400" s="2" t="s">
        <v>662</v>
      </c>
      <c r="G400" s="2">
        <v>131.99</v>
      </c>
      <c r="H400" s="2" t="s">
        <v>2705</v>
      </c>
      <c r="I400" s="2" t="s">
        <v>2706</v>
      </c>
      <c r="J400" s="2" t="s">
        <v>2707</v>
      </c>
      <c r="K400" s="2" t="s">
        <v>189</v>
      </c>
      <c r="M400" s="2">
        <v>14.0</v>
      </c>
      <c r="N400" s="2">
        <v>2873.48</v>
      </c>
      <c r="O400" s="2" t="s">
        <v>52</v>
      </c>
      <c r="P400" s="2" t="s">
        <v>355</v>
      </c>
      <c r="Q400" s="2" t="s">
        <v>2708</v>
      </c>
      <c r="T400" s="2" t="s">
        <v>32</v>
      </c>
      <c r="U400" s="2" t="s">
        <v>71</v>
      </c>
    </row>
    <row r="401">
      <c r="A401" s="2">
        <v>400.0</v>
      </c>
      <c r="B401" s="2">
        <v>400.0</v>
      </c>
      <c r="C401" s="2">
        <v>400.0</v>
      </c>
      <c r="D401" s="3">
        <v>44173.0</v>
      </c>
      <c r="E401" s="2" t="s">
        <v>2468</v>
      </c>
      <c r="F401" s="2" t="s">
        <v>1536</v>
      </c>
      <c r="G401" s="2">
        <v>521.06</v>
      </c>
      <c r="H401" s="2" t="s">
        <v>2709</v>
      </c>
      <c r="I401" s="2" t="s">
        <v>2710</v>
      </c>
      <c r="J401" s="2" t="s">
        <v>2711</v>
      </c>
      <c r="K401" s="2" t="s">
        <v>573</v>
      </c>
      <c r="M401" s="2">
        <v>17.0</v>
      </c>
      <c r="N401" s="2">
        <v>8745.68</v>
      </c>
      <c r="O401" s="2" t="s">
        <v>41</v>
      </c>
      <c r="P401" s="2" t="s">
        <v>2712</v>
      </c>
      <c r="Q401" s="2" t="s">
        <v>2713</v>
      </c>
      <c r="S401" s="2">
        <v>354392.0</v>
      </c>
      <c r="T401" s="2" t="s">
        <v>68</v>
      </c>
      <c r="U401" s="2" t="s">
        <v>71</v>
      </c>
    </row>
    <row r="402">
      <c r="A402" s="2">
        <v>401.0</v>
      </c>
      <c r="B402" s="2">
        <v>401.0</v>
      </c>
      <c r="C402" s="2">
        <v>401.0</v>
      </c>
      <c r="D402" s="3">
        <v>44062.0</v>
      </c>
      <c r="E402" s="2" t="s">
        <v>2714</v>
      </c>
      <c r="F402" s="2" t="s">
        <v>237</v>
      </c>
      <c r="G402" s="2">
        <v>776.14</v>
      </c>
      <c r="H402" s="2" t="s">
        <v>2715</v>
      </c>
      <c r="I402" s="2" t="s">
        <v>2716</v>
      </c>
      <c r="J402" s="2" t="s">
        <v>2717</v>
      </c>
      <c r="K402" s="2" t="s">
        <v>241</v>
      </c>
      <c r="L402" s="2">
        <v>8421.0</v>
      </c>
      <c r="M402" s="2">
        <v>9.0</v>
      </c>
      <c r="N402" s="2">
        <v>3265.34</v>
      </c>
      <c r="O402" s="2" t="s">
        <v>52</v>
      </c>
      <c r="P402" s="2" t="s">
        <v>2718</v>
      </c>
      <c r="Q402" s="2" t="s">
        <v>2719</v>
      </c>
      <c r="T402" s="2" t="s">
        <v>32</v>
      </c>
      <c r="U402" s="2" t="s">
        <v>46</v>
      </c>
    </row>
    <row r="403">
      <c r="A403" s="2">
        <v>402.0</v>
      </c>
      <c r="B403" s="2">
        <v>402.0</v>
      </c>
      <c r="C403" s="2">
        <v>402.0</v>
      </c>
      <c r="D403" s="3">
        <v>44027.0</v>
      </c>
      <c r="E403" s="2" t="s">
        <v>2438</v>
      </c>
      <c r="F403" s="2" t="s">
        <v>1671</v>
      </c>
      <c r="G403" s="2">
        <v>928.07</v>
      </c>
      <c r="H403" s="2" t="s">
        <v>2720</v>
      </c>
      <c r="I403" s="2" t="s">
        <v>2721</v>
      </c>
      <c r="J403" s="2" t="s">
        <v>2722</v>
      </c>
      <c r="K403" s="2" t="s">
        <v>26</v>
      </c>
      <c r="L403" s="2" t="s">
        <v>2723</v>
      </c>
      <c r="M403" s="2">
        <v>48.0</v>
      </c>
      <c r="N403" s="2">
        <v>8314.4</v>
      </c>
      <c r="O403" s="2" t="s">
        <v>41</v>
      </c>
      <c r="P403" s="2" t="s">
        <v>1155</v>
      </c>
      <c r="Q403" s="2" t="s">
        <v>2724</v>
      </c>
      <c r="R403" s="2" t="s">
        <v>433</v>
      </c>
      <c r="S403" s="2" t="s">
        <v>2725</v>
      </c>
      <c r="T403" s="2" t="s">
        <v>39</v>
      </c>
      <c r="U403" s="2" t="s">
        <v>33</v>
      </c>
    </row>
    <row r="404">
      <c r="A404" s="2">
        <v>403.0</v>
      </c>
      <c r="B404" s="2">
        <v>403.0</v>
      </c>
      <c r="C404" s="2">
        <v>403.0</v>
      </c>
      <c r="D404" s="3">
        <v>43993.0</v>
      </c>
      <c r="E404" s="2" t="s">
        <v>2726</v>
      </c>
      <c r="F404" s="2" t="s">
        <v>48</v>
      </c>
      <c r="G404" s="2">
        <v>804.4</v>
      </c>
      <c r="H404" s="2" t="s">
        <v>2727</v>
      </c>
      <c r="I404" s="2" t="s">
        <v>2728</v>
      </c>
      <c r="J404" s="2" t="s">
        <v>2729</v>
      </c>
      <c r="K404" s="2" t="s">
        <v>32</v>
      </c>
      <c r="M404" s="2">
        <v>93.0</v>
      </c>
      <c r="N404" s="2">
        <v>9057.15</v>
      </c>
      <c r="O404" s="2" t="s">
        <v>41</v>
      </c>
      <c r="P404" s="2" t="s">
        <v>2221</v>
      </c>
      <c r="Q404" s="2" t="s">
        <v>2730</v>
      </c>
      <c r="S404" s="2">
        <v>31407.0</v>
      </c>
      <c r="T404" s="2" t="s">
        <v>905</v>
      </c>
      <c r="U404" s="2" t="s">
        <v>46</v>
      </c>
    </row>
    <row r="405">
      <c r="A405" s="2">
        <v>404.0</v>
      </c>
      <c r="B405" s="2">
        <v>404.0</v>
      </c>
      <c r="C405" s="2">
        <v>404.0</v>
      </c>
      <c r="D405" s="3">
        <v>44009.0</v>
      </c>
      <c r="E405" s="2" t="s">
        <v>1248</v>
      </c>
      <c r="F405" s="2" t="s">
        <v>97</v>
      </c>
      <c r="G405" s="2">
        <v>464.3</v>
      </c>
      <c r="H405" s="2" t="s">
        <v>2731</v>
      </c>
      <c r="I405" s="2" t="s">
        <v>2732</v>
      </c>
      <c r="J405" s="2" t="s">
        <v>2733</v>
      </c>
      <c r="K405" s="2" t="s">
        <v>249</v>
      </c>
      <c r="M405" s="2">
        <v>75.0</v>
      </c>
      <c r="N405" s="2">
        <v>4921.06</v>
      </c>
      <c r="O405" s="2" t="s">
        <v>41</v>
      </c>
      <c r="P405" s="2" t="s">
        <v>2734</v>
      </c>
      <c r="Q405" s="2" t="s">
        <v>2735</v>
      </c>
      <c r="T405" s="2" t="s">
        <v>32</v>
      </c>
      <c r="U405" s="2" t="s">
        <v>71</v>
      </c>
    </row>
    <row r="406">
      <c r="A406" s="2">
        <v>405.0</v>
      </c>
      <c r="B406" s="2">
        <v>405.0</v>
      </c>
      <c r="C406" s="2">
        <v>405.0</v>
      </c>
      <c r="D406" s="3">
        <v>44203.0</v>
      </c>
      <c r="E406" s="2" t="s">
        <v>2736</v>
      </c>
      <c r="F406" s="2" t="s">
        <v>413</v>
      </c>
      <c r="G406" s="2">
        <v>355.12</v>
      </c>
      <c r="H406" s="2" t="s">
        <v>2737</v>
      </c>
      <c r="I406" s="2" t="s">
        <v>2738</v>
      </c>
      <c r="J406" s="2" t="s">
        <v>2739</v>
      </c>
      <c r="K406" s="2" t="s">
        <v>32</v>
      </c>
      <c r="M406" s="2">
        <v>99.0</v>
      </c>
      <c r="N406" s="2">
        <v>2651.04</v>
      </c>
      <c r="O406" s="2" t="s">
        <v>28</v>
      </c>
      <c r="P406" s="2" t="s">
        <v>2740</v>
      </c>
      <c r="Q406" s="2" t="s">
        <v>2741</v>
      </c>
      <c r="S406" s="2" t="s">
        <v>2742</v>
      </c>
      <c r="T406" s="2" t="s">
        <v>106</v>
      </c>
      <c r="U406" s="2" t="s">
        <v>33</v>
      </c>
    </row>
    <row r="407">
      <c r="A407" s="2">
        <v>406.0</v>
      </c>
      <c r="B407" s="2">
        <v>406.0</v>
      </c>
      <c r="C407" s="2">
        <v>406.0</v>
      </c>
      <c r="D407" s="3">
        <v>44081.0</v>
      </c>
      <c r="E407" s="2" t="s">
        <v>2743</v>
      </c>
      <c r="F407" s="2" t="s">
        <v>123</v>
      </c>
      <c r="G407" s="2">
        <v>863.61</v>
      </c>
      <c r="H407" s="2" t="s">
        <v>2744</v>
      </c>
      <c r="I407" s="2" t="s">
        <v>2745</v>
      </c>
      <c r="J407" s="2" t="s">
        <v>2746</v>
      </c>
      <c r="K407" s="2" t="s">
        <v>32</v>
      </c>
      <c r="M407" s="2">
        <v>27.0</v>
      </c>
      <c r="N407" s="2">
        <v>6475.0</v>
      </c>
      <c r="O407" s="2" t="s">
        <v>52</v>
      </c>
      <c r="P407" s="2" t="s">
        <v>2747</v>
      </c>
      <c r="Q407" s="2" t="s">
        <v>2748</v>
      </c>
      <c r="S407" s="2" t="s">
        <v>2749</v>
      </c>
      <c r="T407" s="2" t="s">
        <v>257</v>
      </c>
      <c r="U407" s="2" t="s">
        <v>71</v>
      </c>
    </row>
    <row r="408">
      <c r="A408" s="2">
        <v>407.0</v>
      </c>
      <c r="B408" s="2">
        <v>407.0</v>
      </c>
      <c r="C408" s="2">
        <v>407.0</v>
      </c>
      <c r="D408" s="3">
        <v>43949.0</v>
      </c>
      <c r="E408" s="2" t="s">
        <v>1829</v>
      </c>
      <c r="F408" s="2" t="s">
        <v>800</v>
      </c>
      <c r="G408" s="2">
        <v>81.34</v>
      </c>
      <c r="H408" s="2" t="s">
        <v>2750</v>
      </c>
      <c r="I408" s="2" t="s">
        <v>2751</v>
      </c>
      <c r="J408" s="2" t="s">
        <v>2752</v>
      </c>
      <c r="K408" s="2" t="s">
        <v>1663</v>
      </c>
      <c r="M408" s="2">
        <v>76.0</v>
      </c>
      <c r="N408" s="2">
        <v>6927.83</v>
      </c>
      <c r="O408" s="2" t="s">
        <v>52</v>
      </c>
      <c r="P408" s="2" t="s">
        <v>2753</v>
      </c>
      <c r="Q408" s="2" t="s">
        <v>2754</v>
      </c>
      <c r="T408" s="2" t="s">
        <v>1180</v>
      </c>
      <c r="U408" s="2" t="s">
        <v>33</v>
      </c>
    </row>
    <row r="409">
      <c r="A409" s="2">
        <v>408.0</v>
      </c>
      <c r="B409" s="2">
        <v>408.0</v>
      </c>
      <c r="C409" s="2">
        <v>408.0</v>
      </c>
      <c r="D409" s="3">
        <v>44495.0</v>
      </c>
      <c r="E409" s="2" t="s">
        <v>2755</v>
      </c>
      <c r="F409" s="2" t="s">
        <v>887</v>
      </c>
      <c r="G409" s="2">
        <v>130.21</v>
      </c>
      <c r="H409" s="2" t="s">
        <v>2756</v>
      </c>
      <c r="I409" s="2" t="s">
        <v>2757</v>
      </c>
      <c r="J409" s="2" t="s">
        <v>2758</v>
      </c>
      <c r="K409" s="2" t="s">
        <v>257</v>
      </c>
      <c r="L409" s="2" t="s">
        <v>2759</v>
      </c>
      <c r="M409" s="2">
        <v>24.0</v>
      </c>
      <c r="N409" s="2">
        <v>4519.62</v>
      </c>
      <c r="O409" s="2" t="s">
        <v>28</v>
      </c>
      <c r="P409" s="2" t="s">
        <v>2760</v>
      </c>
      <c r="Q409" s="2" t="s">
        <v>2761</v>
      </c>
      <c r="R409" s="2" t="s">
        <v>2762</v>
      </c>
      <c r="S409" s="2">
        <v>94297.0</v>
      </c>
      <c r="T409" s="2" t="s">
        <v>101</v>
      </c>
      <c r="U409" s="2" t="s">
        <v>46</v>
      </c>
    </row>
    <row r="410">
      <c r="A410" s="2">
        <v>409.0</v>
      </c>
      <c r="B410" s="2">
        <v>409.0</v>
      </c>
      <c r="C410" s="2">
        <v>409.0</v>
      </c>
      <c r="D410" s="3">
        <v>44519.0</v>
      </c>
      <c r="E410" s="2" t="s">
        <v>1242</v>
      </c>
      <c r="F410" s="2" t="s">
        <v>501</v>
      </c>
      <c r="G410" s="2">
        <v>810.79</v>
      </c>
      <c r="H410" s="2" t="s">
        <v>2763</v>
      </c>
      <c r="I410" s="2" t="s">
        <v>2764</v>
      </c>
      <c r="J410" s="2" t="s">
        <v>2765</v>
      </c>
      <c r="K410" s="2" t="s">
        <v>137</v>
      </c>
      <c r="M410" s="2">
        <v>59.0</v>
      </c>
      <c r="N410" s="2">
        <v>1040.67</v>
      </c>
      <c r="O410" s="2" t="s">
        <v>52</v>
      </c>
      <c r="P410" s="2" t="s">
        <v>2766</v>
      </c>
      <c r="Q410" s="2" t="s">
        <v>970</v>
      </c>
      <c r="S410" s="2">
        <v>89066.0</v>
      </c>
      <c r="T410" s="2" t="s">
        <v>2767</v>
      </c>
      <c r="U410" s="2" t="s">
        <v>46</v>
      </c>
    </row>
    <row r="411">
      <c r="A411" s="2">
        <v>410.0</v>
      </c>
      <c r="B411" s="2">
        <v>410.0</v>
      </c>
      <c r="C411" s="2">
        <v>410.0</v>
      </c>
      <c r="D411" s="3">
        <v>44089.0</v>
      </c>
      <c r="E411" s="2" t="s">
        <v>2768</v>
      </c>
      <c r="F411" s="2" t="s">
        <v>73</v>
      </c>
      <c r="G411" s="2">
        <v>554.89</v>
      </c>
      <c r="H411" s="2" t="s">
        <v>2769</v>
      </c>
      <c r="I411" s="2" t="s">
        <v>2770</v>
      </c>
      <c r="J411" s="2" t="s">
        <v>2771</v>
      </c>
      <c r="K411" s="2" t="s">
        <v>32</v>
      </c>
      <c r="M411" s="2">
        <v>24.0</v>
      </c>
      <c r="N411" s="2">
        <v>9599.95</v>
      </c>
      <c r="O411" s="2" t="s">
        <v>52</v>
      </c>
      <c r="P411" s="2" t="s">
        <v>2772</v>
      </c>
      <c r="Q411" s="2" t="s">
        <v>2773</v>
      </c>
      <c r="S411" s="2">
        <v>7407.0</v>
      </c>
      <c r="T411" s="2" t="s">
        <v>241</v>
      </c>
      <c r="U411" s="2" t="s">
        <v>33</v>
      </c>
    </row>
    <row r="412">
      <c r="A412" s="2">
        <v>411.0</v>
      </c>
      <c r="B412" s="2">
        <v>411.0</v>
      </c>
      <c r="C412" s="2">
        <v>411.0</v>
      </c>
      <c r="D412" s="3">
        <v>43911.0</v>
      </c>
      <c r="E412" s="2" t="s">
        <v>2774</v>
      </c>
      <c r="F412" s="2" t="s">
        <v>133</v>
      </c>
      <c r="G412" s="2">
        <v>982.36</v>
      </c>
      <c r="H412" s="2" t="s">
        <v>2775</v>
      </c>
      <c r="I412" s="2" t="s">
        <v>2776</v>
      </c>
      <c r="J412" s="2" t="s">
        <v>2777</v>
      </c>
      <c r="K412" s="2" t="s">
        <v>119</v>
      </c>
      <c r="M412" s="2">
        <v>56.0</v>
      </c>
      <c r="N412" s="2">
        <v>5580.39</v>
      </c>
      <c r="O412" s="2" t="s">
        <v>41</v>
      </c>
      <c r="P412" s="2" t="s">
        <v>2778</v>
      </c>
      <c r="Q412" s="2" t="s">
        <v>2779</v>
      </c>
      <c r="T412" s="2" t="s">
        <v>267</v>
      </c>
      <c r="U412" s="2" t="s">
        <v>46</v>
      </c>
    </row>
    <row r="413">
      <c r="A413" s="2">
        <v>412.0</v>
      </c>
      <c r="B413" s="2">
        <v>412.0</v>
      </c>
      <c r="C413" s="2">
        <v>412.0</v>
      </c>
      <c r="D413" s="3">
        <v>44248.0</v>
      </c>
      <c r="E413" s="2" t="s">
        <v>2780</v>
      </c>
      <c r="F413" s="2" t="s">
        <v>133</v>
      </c>
      <c r="G413" s="2">
        <v>779.75</v>
      </c>
      <c r="H413" s="2" t="s">
        <v>2781</v>
      </c>
      <c r="I413" s="2" t="s">
        <v>2782</v>
      </c>
      <c r="J413" s="2" t="s">
        <v>2783</v>
      </c>
      <c r="K413" s="2" t="s">
        <v>68</v>
      </c>
      <c r="L413" s="2">
        <v>366101.0</v>
      </c>
      <c r="M413" s="2">
        <v>71.0</v>
      </c>
      <c r="N413" s="2">
        <v>4564.71</v>
      </c>
      <c r="O413" s="2" t="s">
        <v>28</v>
      </c>
      <c r="P413" s="2" t="s">
        <v>293</v>
      </c>
      <c r="Q413" s="2" t="s">
        <v>940</v>
      </c>
      <c r="T413" s="2" t="s">
        <v>292</v>
      </c>
      <c r="U413" s="2" t="s">
        <v>71</v>
      </c>
    </row>
    <row r="414">
      <c r="A414" s="2">
        <v>413.0</v>
      </c>
      <c r="B414" s="2">
        <v>413.0</v>
      </c>
      <c r="C414" s="2">
        <v>413.0</v>
      </c>
      <c r="D414" s="3">
        <v>43920.0</v>
      </c>
      <c r="E414" s="2" t="s">
        <v>2784</v>
      </c>
      <c r="F414" s="2" t="s">
        <v>413</v>
      </c>
      <c r="G414" s="2">
        <v>458.88</v>
      </c>
      <c r="H414" s="2" t="s">
        <v>2785</v>
      </c>
      <c r="I414" s="2" t="s">
        <v>2786</v>
      </c>
      <c r="J414" s="2" t="s">
        <v>2787</v>
      </c>
      <c r="K414" s="2" t="s">
        <v>1328</v>
      </c>
      <c r="M414" s="2">
        <v>62.0</v>
      </c>
      <c r="N414" s="2">
        <v>8867.45</v>
      </c>
      <c r="O414" s="2" t="s">
        <v>28</v>
      </c>
      <c r="P414" s="2" t="s">
        <v>2788</v>
      </c>
      <c r="Q414" s="2" t="s">
        <v>2789</v>
      </c>
      <c r="S414" s="2">
        <v>1018.0</v>
      </c>
      <c r="T414" s="2" t="s">
        <v>241</v>
      </c>
      <c r="U414" s="2" t="s">
        <v>71</v>
      </c>
    </row>
    <row r="415">
      <c r="A415" s="2">
        <v>414.0</v>
      </c>
      <c r="B415" s="2">
        <v>414.0</v>
      </c>
      <c r="C415" s="2">
        <v>414.0</v>
      </c>
      <c r="D415" s="3">
        <v>44521.0</v>
      </c>
      <c r="E415" s="2" t="s">
        <v>2790</v>
      </c>
      <c r="F415" s="2" t="s">
        <v>738</v>
      </c>
      <c r="G415" s="2">
        <v>56.9</v>
      </c>
      <c r="H415" s="2" t="s">
        <v>2791</v>
      </c>
      <c r="I415" s="2" t="s">
        <v>2792</v>
      </c>
      <c r="J415" s="2" t="s">
        <v>2793</v>
      </c>
      <c r="K415" s="2" t="s">
        <v>32</v>
      </c>
      <c r="M415" s="2">
        <v>57.0</v>
      </c>
      <c r="N415" s="2">
        <v>1623.13</v>
      </c>
      <c r="O415" s="2" t="s">
        <v>41</v>
      </c>
      <c r="P415" s="2" t="s">
        <v>543</v>
      </c>
      <c r="Q415" s="2" t="s">
        <v>2794</v>
      </c>
      <c r="S415" s="2" t="s">
        <v>2795</v>
      </c>
      <c r="T415" s="2" t="s">
        <v>26</v>
      </c>
      <c r="U415" s="2" t="s">
        <v>46</v>
      </c>
    </row>
    <row r="416">
      <c r="A416" s="2">
        <v>415.0</v>
      </c>
      <c r="B416" s="2">
        <v>415.0</v>
      </c>
      <c r="C416" s="2">
        <v>415.0</v>
      </c>
      <c r="D416" s="3">
        <v>44494.0</v>
      </c>
      <c r="E416" s="2" t="s">
        <v>1709</v>
      </c>
      <c r="F416" s="2" t="s">
        <v>567</v>
      </c>
      <c r="G416" s="2">
        <v>516.42</v>
      </c>
      <c r="H416" s="2" t="s">
        <v>2796</v>
      </c>
      <c r="I416" s="2" t="s">
        <v>2797</v>
      </c>
      <c r="J416" s="2" t="s">
        <v>2798</v>
      </c>
      <c r="K416" s="2" t="s">
        <v>217</v>
      </c>
      <c r="L416" s="2">
        <v>31500.0</v>
      </c>
      <c r="M416" s="2">
        <v>45.0</v>
      </c>
      <c r="N416" s="2">
        <v>8655.67</v>
      </c>
      <c r="O416" s="2" t="s">
        <v>41</v>
      </c>
      <c r="P416" s="2" t="s">
        <v>2196</v>
      </c>
      <c r="Q416" s="2" t="s">
        <v>2799</v>
      </c>
      <c r="T416" s="2" t="s">
        <v>32</v>
      </c>
      <c r="U416" s="2" t="s">
        <v>46</v>
      </c>
    </row>
    <row r="417">
      <c r="A417" s="2">
        <v>416.0</v>
      </c>
      <c r="B417" s="2">
        <v>416.0</v>
      </c>
      <c r="C417" s="2">
        <v>416.0</v>
      </c>
      <c r="D417" s="3">
        <v>44230.0</v>
      </c>
      <c r="E417" s="2" t="s">
        <v>1741</v>
      </c>
      <c r="F417" s="2" t="s">
        <v>1046</v>
      </c>
      <c r="G417" s="2">
        <v>335.02</v>
      </c>
      <c r="H417" s="2" t="s">
        <v>2800</v>
      </c>
      <c r="I417" s="2" t="s">
        <v>2801</v>
      </c>
      <c r="J417" s="2" t="s">
        <v>2802</v>
      </c>
      <c r="K417" s="2" t="s">
        <v>32</v>
      </c>
      <c r="M417" s="2">
        <v>63.0</v>
      </c>
      <c r="N417" s="2">
        <v>256.45</v>
      </c>
      <c r="O417" s="2" t="s">
        <v>28</v>
      </c>
      <c r="P417" s="2" t="s">
        <v>2803</v>
      </c>
      <c r="Q417" s="2" t="s">
        <v>2804</v>
      </c>
      <c r="T417" s="2" t="s">
        <v>119</v>
      </c>
      <c r="U417" s="2" t="s">
        <v>33</v>
      </c>
    </row>
    <row r="418">
      <c r="A418" s="2">
        <v>417.0</v>
      </c>
      <c r="B418" s="2">
        <v>417.0</v>
      </c>
      <c r="C418" s="2">
        <v>417.0</v>
      </c>
      <c r="D418" s="3">
        <v>44217.0</v>
      </c>
      <c r="E418" s="2" t="s">
        <v>2805</v>
      </c>
      <c r="F418" s="2" t="s">
        <v>73</v>
      </c>
      <c r="G418" s="2">
        <v>13.34</v>
      </c>
      <c r="H418" s="2" t="s">
        <v>2806</v>
      </c>
      <c r="I418" s="2" t="s">
        <v>2807</v>
      </c>
      <c r="J418" s="2" t="s">
        <v>2808</v>
      </c>
      <c r="K418" s="2" t="s">
        <v>2042</v>
      </c>
      <c r="M418" s="2">
        <v>28.0</v>
      </c>
      <c r="N418" s="2">
        <v>6029.79</v>
      </c>
      <c r="O418" s="2" t="s">
        <v>52</v>
      </c>
      <c r="P418" s="2" t="s">
        <v>2809</v>
      </c>
      <c r="Q418" s="2" t="s">
        <v>2810</v>
      </c>
      <c r="T418" s="2" t="s">
        <v>146</v>
      </c>
      <c r="U418" s="2" t="s">
        <v>33</v>
      </c>
    </row>
    <row r="419">
      <c r="A419" s="2">
        <v>418.0</v>
      </c>
      <c r="B419" s="2">
        <v>418.0</v>
      </c>
      <c r="C419" s="2">
        <v>418.0</v>
      </c>
      <c r="D419" s="3">
        <v>44398.0</v>
      </c>
      <c r="E419" s="2" t="s">
        <v>1555</v>
      </c>
      <c r="F419" s="2" t="s">
        <v>1556</v>
      </c>
      <c r="G419" s="2">
        <v>714.61</v>
      </c>
      <c r="H419" s="2" t="s">
        <v>2811</v>
      </c>
      <c r="I419" s="2" t="s">
        <v>2812</v>
      </c>
      <c r="J419" s="2" t="s">
        <v>2813</v>
      </c>
      <c r="K419" s="2" t="s">
        <v>379</v>
      </c>
      <c r="L419" s="2" t="s">
        <v>2814</v>
      </c>
      <c r="M419" s="2">
        <v>85.0</v>
      </c>
      <c r="N419" s="2">
        <v>7450.59</v>
      </c>
      <c r="O419" s="2" t="s">
        <v>28</v>
      </c>
      <c r="P419" s="2" t="s">
        <v>2815</v>
      </c>
      <c r="Q419" s="2" t="s">
        <v>2816</v>
      </c>
      <c r="R419" s="2" t="s">
        <v>2817</v>
      </c>
      <c r="S419" s="2">
        <v>36408.0</v>
      </c>
      <c r="T419" s="2" t="s">
        <v>529</v>
      </c>
      <c r="U419" s="2" t="s">
        <v>71</v>
      </c>
    </row>
    <row r="420">
      <c r="A420" s="2">
        <v>419.0</v>
      </c>
      <c r="B420" s="2">
        <v>419.0</v>
      </c>
      <c r="C420" s="2">
        <v>419.0</v>
      </c>
      <c r="D420" s="3">
        <v>44231.0</v>
      </c>
      <c r="E420" s="2" t="s">
        <v>1815</v>
      </c>
      <c r="F420" s="2" t="s">
        <v>191</v>
      </c>
      <c r="G420" s="2">
        <v>173.7</v>
      </c>
      <c r="H420" s="2" t="s">
        <v>2818</v>
      </c>
      <c r="I420" s="2" t="s">
        <v>2819</v>
      </c>
      <c r="J420" s="2" t="s">
        <v>2820</v>
      </c>
      <c r="K420" s="2" t="s">
        <v>330</v>
      </c>
      <c r="M420" s="2">
        <v>32.0</v>
      </c>
      <c r="N420" s="2">
        <v>9436.32</v>
      </c>
      <c r="O420" s="2" t="s">
        <v>28</v>
      </c>
      <c r="P420" s="2" t="s">
        <v>2821</v>
      </c>
      <c r="Q420" s="2" t="s">
        <v>2822</v>
      </c>
      <c r="S420" s="2">
        <v>6549.0</v>
      </c>
      <c r="T420" s="2" t="s">
        <v>241</v>
      </c>
      <c r="U420" s="2" t="s">
        <v>71</v>
      </c>
    </row>
    <row r="421">
      <c r="A421" s="2">
        <v>420.0</v>
      </c>
      <c r="B421" s="2">
        <v>420.0</v>
      </c>
      <c r="C421" s="2">
        <v>420.0</v>
      </c>
      <c r="D421" s="3">
        <v>44078.0</v>
      </c>
      <c r="E421" s="2" t="s">
        <v>2038</v>
      </c>
      <c r="F421" s="2" t="s">
        <v>1199</v>
      </c>
      <c r="G421" s="2">
        <v>844.93</v>
      </c>
      <c r="H421" s="2" t="s">
        <v>2823</v>
      </c>
      <c r="I421" s="2" t="s">
        <v>2824</v>
      </c>
      <c r="J421" s="2" t="s">
        <v>2825</v>
      </c>
      <c r="K421" s="2" t="s">
        <v>114</v>
      </c>
      <c r="L421" s="2" t="s">
        <v>2826</v>
      </c>
      <c r="M421" s="2">
        <v>73.0</v>
      </c>
      <c r="N421" s="2">
        <v>9808.28</v>
      </c>
      <c r="O421" s="2" t="s">
        <v>52</v>
      </c>
      <c r="P421" s="2" t="s">
        <v>2827</v>
      </c>
      <c r="Q421" s="2" t="s">
        <v>2828</v>
      </c>
      <c r="S421" s="2" t="s">
        <v>2829</v>
      </c>
      <c r="T421" s="2" t="s">
        <v>114</v>
      </c>
      <c r="U421" s="2" t="s">
        <v>33</v>
      </c>
    </row>
    <row r="422">
      <c r="A422" s="2">
        <v>421.0</v>
      </c>
      <c r="B422" s="2">
        <v>421.0</v>
      </c>
      <c r="C422" s="2">
        <v>421.0</v>
      </c>
      <c r="D422" s="3">
        <v>44435.0</v>
      </c>
      <c r="E422" s="2" t="s">
        <v>2254</v>
      </c>
      <c r="F422" s="2" t="s">
        <v>237</v>
      </c>
      <c r="G422" s="2">
        <v>545.64</v>
      </c>
      <c r="H422" s="2" t="s">
        <v>2830</v>
      </c>
      <c r="I422" s="2" t="s">
        <v>2831</v>
      </c>
      <c r="J422" s="2" t="s">
        <v>2832</v>
      </c>
      <c r="K422" s="2" t="s">
        <v>32</v>
      </c>
      <c r="M422" s="2">
        <v>54.0</v>
      </c>
      <c r="N422" s="2">
        <v>846.46</v>
      </c>
      <c r="O422" s="2" t="s">
        <v>28</v>
      </c>
      <c r="P422" s="2" t="s">
        <v>2833</v>
      </c>
      <c r="Q422" s="2" t="s">
        <v>2834</v>
      </c>
      <c r="S422" s="2">
        <v>2500.0</v>
      </c>
      <c r="T422" s="2" t="s">
        <v>178</v>
      </c>
      <c r="U422" s="2" t="s">
        <v>33</v>
      </c>
    </row>
    <row r="423">
      <c r="A423" s="2">
        <v>422.0</v>
      </c>
      <c r="B423" s="2">
        <v>422.0</v>
      </c>
      <c r="C423" s="2">
        <v>422.0</v>
      </c>
      <c r="D423" s="3">
        <v>43974.0</v>
      </c>
      <c r="E423" s="2" t="s">
        <v>2835</v>
      </c>
      <c r="F423" s="2" t="s">
        <v>992</v>
      </c>
      <c r="G423" s="2">
        <v>274.22</v>
      </c>
      <c r="H423" s="2" t="s">
        <v>2836</v>
      </c>
      <c r="I423" s="2" t="s">
        <v>2837</v>
      </c>
      <c r="J423" s="2" t="s">
        <v>2838</v>
      </c>
      <c r="K423" s="2" t="s">
        <v>119</v>
      </c>
      <c r="M423" s="2">
        <v>74.0</v>
      </c>
      <c r="N423" s="2">
        <v>6704.76</v>
      </c>
      <c r="O423" s="2" t="s">
        <v>52</v>
      </c>
      <c r="P423" s="2" t="s">
        <v>550</v>
      </c>
      <c r="Q423" s="2" t="s">
        <v>2839</v>
      </c>
      <c r="T423" s="2" t="s">
        <v>32</v>
      </c>
      <c r="U423" s="2" t="s">
        <v>33</v>
      </c>
    </row>
    <row r="424">
      <c r="A424" s="2">
        <v>423.0</v>
      </c>
      <c r="B424" s="2">
        <v>423.0</v>
      </c>
      <c r="C424" s="2">
        <v>423.0</v>
      </c>
      <c r="D424" s="3">
        <v>44070.0</v>
      </c>
      <c r="E424" s="2" t="s">
        <v>2840</v>
      </c>
      <c r="F424" s="2" t="s">
        <v>822</v>
      </c>
      <c r="G424" s="2">
        <v>23.94</v>
      </c>
      <c r="H424" s="2" t="s">
        <v>2841</v>
      </c>
      <c r="I424" s="2" t="s">
        <v>2842</v>
      </c>
      <c r="J424" s="2" t="s">
        <v>2843</v>
      </c>
      <c r="K424" s="2" t="s">
        <v>32</v>
      </c>
      <c r="M424" s="2">
        <v>83.0</v>
      </c>
      <c r="N424" s="2">
        <v>6147.31</v>
      </c>
      <c r="O424" s="2" t="s">
        <v>28</v>
      </c>
      <c r="P424" s="2" t="s">
        <v>2844</v>
      </c>
      <c r="Q424" s="2" t="s">
        <v>2845</v>
      </c>
      <c r="S424" s="2" t="s">
        <v>2846</v>
      </c>
      <c r="T424" s="2" t="s">
        <v>26</v>
      </c>
      <c r="U424" s="2" t="s">
        <v>46</v>
      </c>
    </row>
    <row r="425">
      <c r="A425" s="2">
        <v>424.0</v>
      </c>
      <c r="B425" s="2">
        <v>424.0</v>
      </c>
      <c r="C425" s="2">
        <v>424.0</v>
      </c>
      <c r="D425" s="3">
        <v>44024.0</v>
      </c>
      <c r="E425" s="2" t="s">
        <v>1254</v>
      </c>
      <c r="F425" s="2" t="s">
        <v>88</v>
      </c>
      <c r="G425" s="2">
        <v>531.7</v>
      </c>
      <c r="H425" s="2" t="s">
        <v>2847</v>
      </c>
      <c r="I425" s="2" t="s">
        <v>2848</v>
      </c>
      <c r="J425" s="2" t="s">
        <v>2849</v>
      </c>
      <c r="K425" s="2" t="s">
        <v>137</v>
      </c>
      <c r="M425" s="2">
        <v>90.0</v>
      </c>
      <c r="N425" s="2">
        <v>6587.34</v>
      </c>
      <c r="O425" s="2" t="s">
        <v>52</v>
      </c>
      <c r="P425" s="2" t="s">
        <v>2850</v>
      </c>
      <c r="Q425" s="2" t="s">
        <v>2851</v>
      </c>
      <c r="S425" s="2" t="s">
        <v>2852</v>
      </c>
      <c r="T425" s="2" t="s">
        <v>163</v>
      </c>
      <c r="U425" s="2" t="s">
        <v>71</v>
      </c>
    </row>
    <row r="426">
      <c r="A426" s="2">
        <v>425.0</v>
      </c>
      <c r="B426" s="2">
        <v>425.0</v>
      </c>
      <c r="C426" s="2">
        <v>425.0</v>
      </c>
      <c r="D426" s="3">
        <v>44057.0</v>
      </c>
      <c r="E426" s="2" t="s">
        <v>2390</v>
      </c>
      <c r="F426" s="2" t="s">
        <v>64</v>
      </c>
      <c r="G426" s="2">
        <v>74.68</v>
      </c>
      <c r="H426" s="2" t="s">
        <v>2853</v>
      </c>
      <c r="I426" s="2" t="s">
        <v>2854</v>
      </c>
      <c r="J426" s="2" t="s">
        <v>2855</v>
      </c>
      <c r="K426" s="2" t="s">
        <v>163</v>
      </c>
      <c r="L426" s="2" t="s">
        <v>2856</v>
      </c>
      <c r="M426" s="2">
        <v>63.0</v>
      </c>
      <c r="N426" s="2">
        <v>2479.6</v>
      </c>
      <c r="O426" s="2" t="s">
        <v>28</v>
      </c>
      <c r="P426" s="2" t="s">
        <v>2857</v>
      </c>
      <c r="Q426" s="2" t="s">
        <v>2858</v>
      </c>
      <c r="T426" s="2" t="s">
        <v>1008</v>
      </c>
      <c r="U426" s="2" t="s">
        <v>46</v>
      </c>
    </row>
    <row r="427">
      <c r="A427" s="2">
        <v>426.0</v>
      </c>
      <c r="B427" s="2">
        <v>426.0</v>
      </c>
      <c r="C427" s="2">
        <v>426.0</v>
      </c>
      <c r="D427" s="3">
        <v>44470.0</v>
      </c>
      <c r="E427" s="2" t="s">
        <v>2859</v>
      </c>
      <c r="F427" s="2" t="s">
        <v>1438</v>
      </c>
      <c r="G427" s="2">
        <v>959.66</v>
      </c>
      <c r="H427" s="2" t="s">
        <v>2860</v>
      </c>
      <c r="I427" s="2" t="s">
        <v>2861</v>
      </c>
      <c r="J427" s="2" t="s">
        <v>2862</v>
      </c>
      <c r="K427" s="2" t="s">
        <v>905</v>
      </c>
      <c r="L427" s="2">
        <v>88768.0</v>
      </c>
      <c r="M427" s="2">
        <v>96.0</v>
      </c>
      <c r="N427" s="2">
        <v>2368.6</v>
      </c>
      <c r="O427" s="2" t="s">
        <v>28</v>
      </c>
      <c r="P427" s="2" t="s">
        <v>883</v>
      </c>
      <c r="Q427" s="2" t="s">
        <v>2863</v>
      </c>
      <c r="R427" s="2" t="s">
        <v>2864</v>
      </c>
      <c r="S427" s="2" t="s">
        <v>2865</v>
      </c>
      <c r="T427" s="2" t="s">
        <v>379</v>
      </c>
      <c r="U427" s="2" t="s">
        <v>33</v>
      </c>
    </row>
    <row r="428">
      <c r="A428" s="2">
        <v>427.0</v>
      </c>
      <c r="B428" s="2">
        <v>427.0</v>
      </c>
      <c r="C428" s="2">
        <v>427.0</v>
      </c>
      <c r="D428" s="3">
        <v>44422.0</v>
      </c>
      <c r="E428" s="2" t="s">
        <v>2866</v>
      </c>
      <c r="F428" s="2" t="s">
        <v>198</v>
      </c>
      <c r="G428" s="2">
        <v>455.84</v>
      </c>
      <c r="H428" s="2" t="s">
        <v>2867</v>
      </c>
      <c r="I428" s="2" t="s">
        <v>2868</v>
      </c>
      <c r="J428" s="2" t="s">
        <v>2869</v>
      </c>
      <c r="K428" s="2" t="s">
        <v>119</v>
      </c>
      <c r="M428" s="2">
        <v>8.0</v>
      </c>
      <c r="N428" s="2">
        <v>4271.63</v>
      </c>
      <c r="O428" s="2" t="s">
        <v>41</v>
      </c>
      <c r="P428" s="2" t="s">
        <v>2870</v>
      </c>
      <c r="Q428" s="2" t="s">
        <v>2871</v>
      </c>
      <c r="T428" s="2" t="s">
        <v>32</v>
      </c>
      <c r="U428" s="2" t="s">
        <v>33</v>
      </c>
    </row>
    <row r="429">
      <c r="A429" s="2">
        <v>428.0</v>
      </c>
      <c r="B429" s="2">
        <v>428.0</v>
      </c>
      <c r="C429" s="2">
        <v>428.0</v>
      </c>
      <c r="D429" s="3">
        <v>43949.0</v>
      </c>
      <c r="E429" s="2" t="s">
        <v>2872</v>
      </c>
      <c r="F429" s="2" t="s">
        <v>2088</v>
      </c>
      <c r="G429" s="2">
        <v>957.81</v>
      </c>
      <c r="H429" s="2" t="s">
        <v>2873</v>
      </c>
      <c r="I429" s="2" t="s">
        <v>2874</v>
      </c>
      <c r="J429" s="2" t="s">
        <v>2875</v>
      </c>
      <c r="K429" s="2" t="s">
        <v>32</v>
      </c>
      <c r="M429" s="2">
        <v>7.0</v>
      </c>
      <c r="N429" s="2">
        <v>1542.19</v>
      </c>
      <c r="O429" s="2" t="s">
        <v>28</v>
      </c>
      <c r="P429" s="2" t="s">
        <v>2876</v>
      </c>
      <c r="Q429" s="2" t="s">
        <v>2877</v>
      </c>
      <c r="S429" s="2">
        <v>1480.0</v>
      </c>
      <c r="T429" s="2" t="s">
        <v>796</v>
      </c>
      <c r="U429" s="2" t="s">
        <v>46</v>
      </c>
    </row>
    <row r="430">
      <c r="A430" s="2">
        <v>429.0</v>
      </c>
      <c r="B430" s="2">
        <v>429.0</v>
      </c>
      <c r="C430" s="2">
        <v>429.0</v>
      </c>
      <c r="D430" s="3">
        <v>44089.0</v>
      </c>
      <c r="E430" s="2" t="s">
        <v>2878</v>
      </c>
      <c r="F430" s="2" t="s">
        <v>73</v>
      </c>
      <c r="G430" s="2">
        <v>182.28</v>
      </c>
      <c r="H430" s="2" t="s">
        <v>1185</v>
      </c>
      <c r="I430" s="2" t="s">
        <v>2879</v>
      </c>
      <c r="J430" s="2" t="s">
        <v>2880</v>
      </c>
      <c r="K430" s="2" t="s">
        <v>114</v>
      </c>
      <c r="L430" s="2" t="s">
        <v>2881</v>
      </c>
      <c r="M430" s="2">
        <v>64.0</v>
      </c>
      <c r="N430" s="2">
        <v>4108.93</v>
      </c>
      <c r="O430" s="2" t="s">
        <v>41</v>
      </c>
      <c r="P430" s="2" t="s">
        <v>2882</v>
      </c>
      <c r="Q430" s="2" t="s">
        <v>2883</v>
      </c>
      <c r="T430" s="2" t="s">
        <v>2884</v>
      </c>
      <c r="U430" s="2" t="s">
        <v>33</v>
      </c>
    </row>
    <row r="431">
      <c r="A431" s="2">
        <v>430.0</v>
      </c>
      <c r="B431" s="2">
        <v>430.0</v>
      </c>
      <c r="C431" s="2">
        <v>430.0</v>
      </c>
      <c r="D431" s="3">
        <v>44122.0</v>
      </c>
      <c r="E431" s="2" t="s">
        <v>2885</v>
      </c>
      <c r="F431" s="2" t="s">
        <v>567</v>
      </c>
      <c r="G431" s="2">
        <v>104.42</v>
      </c>
      <c r="H431" s="2" t="s">
        <v>2886</v>
      </c>
      <c r="I431" s="2" t="s">
        <v>2887</v>
      </c>
      <c r="J431" s="2" t="s">
        <v>2888</v>
      </c>
      <c r="K431" s="2" t="s">
        <v>241</v>
      </c>
      <c r="L431" s="2">
        <v>5615.0</v>
      </c>
      <c r="M431" s="2">
        <v>96.0</v>
      </c>
      <c r="N431" s="2">
        <v>4760.96</v>
      </c>
      <c r="O431" s="2" t="s">
        <v>52</v>
      </c>
      <c r="P431" s="2" t="s">
        <v>1889</v>
      </c>
      <c r="Q431" s="2" t="s">
        <v>2889</v>
      </c>
      <c r="T431" s="2" t="s">
        <v>267</v>
      </c>
      <c r="U431" s="2" t="s">
        <v>46</v>
      </c>
    </row>
    <row r="432">
      <c r="A432" s="2">
        <v>431.0</v>
      </c>
      <c r="B432" s="2">
        <v>431.0</v>
      </c>
      <c r="C432" s="2">
        <v>431.0</v>
      </c>
      <c r="D432" s="3">
        <v>44282.0</v>
      </c>
      <c r="E432" s="2" t="s">
        <v>2890</v>
      </c>
      <c r="F432" s="2" t="s">
        <v>501</v>
      </c>
      <c r="G432" s="2">
        <v>303.51</v>
      </c>
      <c r="H432" s="2" t="s">
        <v>2891</v>
      </c>
      <c r="I432" s="2" t="s">
        <v>2892</v>
      </c>
      <c r="J432" s="2" t="s">
        <v>2893</v>
      </c>
      <c r="K432" s="2" t="s">
        <v>1663</v>
      </c>
      <c r="M432" s="2">
        <v>87.0</v>
      </c>
      <c r="N432" s="2">
        <v>9990.5</v>
      </c>
      <c r="O432" s="2" t="s">
        <v>52</v>
      </c>
      <c r="P432" s="2" t="s">
        <v>2894</v>
      </c>
      <c r="Q432" s="2" t="s">
        <v>2895</v>
      </c>
      <c r="T432" s="2" t="s">
        <v>137</v>
      </c>
      <c r="U432" s="2" t="s">
        <v>33</v>
      </c>
    </row>
    <row r="433">
      <c r="A433" s="2">
        <v>432.0</v>
      </c>
      <c r="B433" s="2">
        <v>432.0</v>
      </c>
      <c r="C433" s="2">
        <v>432.0</v>
      </c>
      <c r="D433" s="3">
        <v>44217.0</v>
      </c>
      <c r="E433" s="2" t="s">
        <v>2896</v>
      </c>
      <c r="F433" s="2" t="s">
        <v>501</v>
      </c>
      <c r="G433" s="2">
        <v>744.35</v>
      </c>
      <c r="H433" s="2" t="s">
        <v>2897</v>
      </c>
      <c r="I433" s="2" t="s">
        <v>2898</v>
      </c>
      <c r="J433" s="2" t="s">
        <v>2899</v>
      </c>
      <c r="K433" s="2" t="s">
        <v>1895</v>
      </c>
      <c r="L433" s="2">
        <v>2235.0</v>
      </c>
      <c r="M433" s="2">
        <v>58.0</v>
      </c>
      <c r="N433" s="2">
        <v>4494.12</v>
      </c>
      <c r="O433" s="2" t="s">
        <v>52</v>
      </c>
      <c r="P433" s="2" t="s">
        <v>1641</v>
      </c>
      <c r="Q433" s="2" t="s">
        <v>2900</v>
      </c>
      <c r="T433" s="2" t="s">
        <v>32</v>
      </c>
      <c r="U433" s="2" t="s">
        <v>71</v>
      </c>
    </row>
    <row r="434">
      <c r="A434" s="2">
        <v>433.0</v>
      </c>
      <c r="B434" s="2">
        <v>433.0</v>
      </c>
      <c r="C434" s="2">
        <v>433.0</v>
      </c>
      <c r="D434" s="3">
        <v>44399.0</v>
      </c>
      <c r="E434" s="2" t="s">
        <v>2901</v>
      </c>
      <c r="F434" s="2" t="s">
        <v>237</v>
      </c>
      <c r="G434" s="2">
        <v>823.52</v>
      </c>
      <c r="H434" s="2" t="s">
        <v>2902</v>
      </c>
      <c r="I434" s="2" t="s">
        <v>2903</v>
      </c>
      <c r="J434" s="2" t="s">
        <v>2904</v>
      </c>
      <c r="K434" s="2" t="s">
        <v>32</v>
      </c>
      <c r="M434" s="2">
        <v>86.0</v>
      </c>
      <c r="N434" s="2">
        <v>3613.78</v>
      </c>
      <c r="O434" s="2" t="s">
        <v>41</v>
      </c>
      <c r="P434" s="2" t="s">
        <v>2905</v>
      </c>
      <c r="Q434" s="2" t="s">
        <v>2906</v>
      </c>
      <c r="S434" s="2">
        <v>64130.0</v>
      </c>
      <c r="T434" s="2" t="s">
        <v>627</v>
      </c>
      <c r="U434" s="2" t="s">
        <v>71</v>
      </c>
    </row>
    <row r="435">
      <c r="A435" s="2">
        <v>434.0</v>
      </c>
      <c r="B435" s="2">
        <v>434.0</v>
      </c>
      <c r="C435" s="2">
        <v>434.0</v>
      </c>
      <c r="D435" s="3">
        <v>44248.0</v>
      </c>
      <c r="E435" s="2" t="s">
        <v>2907</v>
      </c>
      <c r="F435" s="2" t="s">
        <v>310</v>
      </c>
      <c r="G435" s="2">
        <v>923.12</v>
      </c>
      <c r="H435" s="2" t="s">
        <v>2908</v>
      </c>
      <c r="I435" s="2" t="s">
        <v>1250</v>
      </c>
      <c r="J435" s="2" t="s">
        <v>2909</v>
      </c>
      <c r="K435" s="2" t="s">
        <v>32</v>
      </c>
      <c r="M435" s="2">
        <v>8.0</v>
      </c>
      <c r="N435" s="2">
        <v>142.21</v>
      </c>
      <c r="O435" s="2" t="s">
        <v>28</v>
      </c>
      <c r="P435" s="2" t="s">
        <v>2910</v>
      </c>
      <c r="Q435" s="2" t="s">
        <v>2911</v>
      </c>
      <c r="S435" s="2" t="s">
        <v>2912</v>
      </c>
      <c r="T435" s="2" t="s">
        <v>114</v>
      </c>
      <c r="U435" s="2" t="s">
        <v>71</v>
      </c>
    </row>
    <row r="436">
      <c r="A436" s="2">
        <v>435.0</v>
      </c>
      <c r="B436" s="2">
        <v>435.0</v>
      </c>
      <c r="C436" s="2">
        <v>435.0</v>
      </c>
      <c r="D436" s="3">
        <v>44140.0</v>
      </c>
      <c r="E436" s="2" t="s">
        <v>2913</v>
      </c>
      <c r="F436" s="2" t="s">
        <v>822</v>
      </c>
      <c r="G436" s="2">
        <v>512.38</v>
      </c>
      <c r="H436" s="2" t="s">
        <v>2914</v>
      </c>
      <c r="I436" s="2" t="s">
        <v>2915</v>
      </c>
      <c r="J436" s="2" t="s">
        <v>2916</v>
      </c>
      <c r="K436" s="2" t="s">
        <v>32</v>
      </c>
      <c r="M436" s="2">
        <v>38.0</v>
      </c>
      <c r="N436" s="2">
        <v>9748.73</v>
      </c>
      <c r="O436" s="2" t="s">
        <v>28</v>
      </c>
      <c r="P436" s="2" t="s">
        <v>2917</v>
      </c>
      <c r="Q436" s="2" t="s">
        <v>2918</v>
      </c>
      <c r="T436" s="2" t="s">
        <v>137</v>
      </c>
      <c r="U436" s="2" t="s">
        <v>71</v>
      </c>
    </row>
    <row r="437">
      <c r="A437" s="2">
        <v>436.0</v>
      </c>
      <c r="B437" s="2">
        <v>436.0</v>
      </c>
      <c r="C437" s="2">
        <v>436.0</v>
      </c>
      <c r="D437" s="3">
        <v>43842.0</v>
      </c>
      <c r="E437" s="2" t="s">
        <v>2919</v>
      </c>
      <c r="F437" s="2" t="s">
        <v>965</v>
      </c>
      <c r="G437" s="2">
        <v>836.95</v>
      </c>
      <c r="H437" s="2" t="s">
        <v>2920</v>
      </c>
      <c r="I437" s="2" t="s">
        <v>2921</v>
      </c>
      <c r="J437" s="2" t="s">
        <v>2922</v>
      </c>
      <c r="K437" s="2" t="s">
        <v>257</v>
      </c>
      <c r="L437" s="2" t="s">
        <v>990</v>
      </c>
      <c r="M437" s="2">
        <v>41.0</v>
      </c>
      <c r="N437" s="2">
        <v>7217.83</v>
      </c>
      <c r="O437" s="2" t="s">
        <v>28</v>
      </c>
      <c r="P437" s="2" t="s">
        <v>2923</v>
      </c>
      <c r="Q437" s="2" t="s">
        <v>2924</v>
      </c>
      <c r="R437" s="2" t="s">
        <v>2925</v>
      </c>
      <c r="T437" s="2" t="s">
        <v>363</v>
      </c>
      <c r="U437" s="2" t="s">
        <v>46</v>
      </c>
    </row>
    <row r="438">
      <c r="A438" s="2">
        <v>437.0</v>
      </c>
      <c r="B438" s="2">
        <v>437.0</v>
      </c>
      <c r="C438" s="2">
        <v>437.0</v>
      </c>
      <c r="D438" s="3">
        <v>43994.0</v>
      </c>
      <c r="E438" s="2" t="s">
        <v>2926</v>
      </c>
      <c r="F438" s="2" t="s">
        <v>413</v>
      </c>
      <c r="G438" s="2">
        <v>553.83</v>
      </c>
      <c r="H438" s="2" t="s">
        <v>2927</v>
      </c>
      <c r="I438" s="2" t="s">
        <v>2928</v>
      </c>
      <c r="J438" s="2" t="s">
        <v>2929</v>
      </c>
      <c r="K438" s="2" t="s">
        <v>32</v>
      </c>
      <c r="M438" s="2">
        <v>81.0</v>
      </c>
      <c r="N438" s="2">
        <v>1534.58</v>
      </c>
      <c r="O438" s="2" t="s">
        <v>28</v>
      </c>
      <c r="P438" s="2" t="s">
        <v>2930</v>
      </c>
      <c r="Q438" s="2" t="s">
        <v>2931</v>
      </c>
      <c r="S438" s="2" t="s">
        <v>2932</v>
      </c>
      <c r="T438" s="2" t="s">
        <v>127</v>
      </c>
      <c r="U438" s="2" t="s">
        <v>71</v>
      </c>
    </row>
    <row r="439">
      <c r="A439" s="2">
        <v>438.0</v>
      </c>
      <c r="B439" s="2">
        <v>438.0</v>
      </c>
      <c r="C439" s="2">
        <v>438.0</v>
      </c>
      <c r="D439" s="3">
        <v>44115.0</v>
      </c>
      <c r="E439" s="2" t="s">
        <v>107</v>
      </c>
      <c r="F439" s="2" t="s">
        <v>73</v>
      </c>
      <c r="G439" s="2">
        <v>886.54</v>
      </c>
      <c r="H439" s="2" t="s">
        <v>2933</v>
      </c>
      <c r="I439" s="2" t="s">
        <v>2934</v>
      </c>
      <c r="J439" s="2" t="s">
        <v>2935</v>
      </c>
      <c r="K439" s="2" t="s">
        <v>2936</v>
      </c>
      <c r="M439" s="2">
        <v>3.0</v>
      </c>
      <c r="N439" s="2">
        <v>3063.33</v>
      </c>
      <c r="O439" s="2" t="s">
        <v>28</v>
      </c>
      <c r="P439" s="2" t="s">
        <v>2937</v>
      </c>
      <c r="Q439" s="2" t="s">
        <v>2938</v>
      </c>
      <c r="T439" s="2" t="s">
        <v>32</v>
      </c>
      <c r="U439" s="2" t="s">
        <v>71</v>
      </c>
    </row>
    <row r="440">
      <c r="A440" s="2">
        <v>439.0</v>
      </c>
      <c r="B440" s="2">
        <v>439.0</v>
      </c>
      <c r="C440" s="2">
        <v>439.0</v>
      </c>
      <c r="D440" s="3">
        <v>44440.0</v>
      </c>
      <c r="E440" s="2" t="s">
        <v>2939</v>
      </c>
      <c r="F440" s="2" t="s">
        <v>310</v>
      </c>
      <c r="G440" s="2">
        <v>468.81</v>
      </c>
      <c r="H440" s="2" t="s">
        <v>2940</v>
      </c>
      <c r="I440" s="2" t="s">
        <v>2941</v>
      </c>
      <c r="J440" s="2" t="s">
        <v>2942</v>
      </c>
      <c r="K440" s="2" t="s">
        <v>62</v>
      </c>
      <c r="M440" s="2">
        <v>77.0</v>
      </c>
      <c r="N440" s="2">
        <v>8578.82</v>
      </c>
      <c r="O440" s="2" t="s">
        <v>28</v>
      </c>
      <c r="P440" s="2" t="s">
        <v>613</v>
      </c>
      <c r="Q440" s="2" t="s">
        <v>2943</v>
      </c>
      <c r="S440" s="2">
        <v>684517.0</v>
      </c>
      <c r="T440" s="2" t="s">
        <v>819</v>
      </c>
      <c r="U440" s="2" t="s">
        <v>71</v>
      </c>
    </row>
    <row r="441">
      <c r="A441" s="2">
        <v>440.0</v>
      </c>
      <c r="B441" s="2">
        <v>440.0</v>
      </c>
      <c r="C441" s="2">
        <v>440.0</v>
      </c>
      <c r="D441" s="3">
        <v>44315.0</v>
      </c>
      <c r="E441" s="2" t="s">
        <v>2944</v>
      </c>
      <c r="F441" s="2" t="s">
        <v>2945</v>
      </c>
      <c r="G441" s="2">
        <v>280.13</v>
      </c>
      <c r="H441" s="2" t="s">
        <v>2946</v>
      </c>
      <c r="I441" s="2" t="s">
        <v>2947</v>
      </c>
      <c r="J441" s="2" t="s">
        <v>2948</v>
      </c>
      <c r="K441" s="2" t="s">
        <v>2949</v>
      </c>
      <c r="M441" s="2">
        <v>56.0</v>
      </c>
      <c r="N441" s="2">
        <v>5812.56</v>
      </c>
      <c r="O441" s="2" t="s">
        <v>52</v>
      </c>
      <c r="P441" s="2" t="s">
        <v>2172</v>
      </c>
      <c r="Q441" s="2" t="s">
        <v>2950</v>
      </c>
      <c r="T441" s="2" t="s">
        <v>32</v>
      </c>
      <c r="U441" s="2" t="s">
        <v>46</v>
      </c>
    </row>
    <row r="442">
      <c r="A442" s="2">
        <v>441.0</v>
      </c>
      <c r="B442" s="2">
        <v>441.0</v>
      </c>
      <c r="C442" s="2">
        <v>441.0</v>
      </c>
      <c r="D442" s="3">
        <v>44130.0</v>
      </c>
      <c r="E442" s="2" t="s">
        <v>2951</v>
      </c>
      <c r="F442" s="2" t="s">
        <v>191</v>
      </c>
      <c r="G442" s="2">
        <v>123.3</v>
      </c>
      <c r="H442" s="2" t="s">
        <v>2952</v>
      </c>
      <c r="I442" s="2" t="s">
        <v>2953</v>
      </c>
      <c r="J442" s="2" t="s">
        <v>2954</v>
      </c>
      <c r="K442" s="2" t="s">
        <v>2955</v>
      </c>
      <c r="L442" s="2">
        <v>16146.0</v>
      </c>
      <c r="M442" s="2">
        <v>8.0</v>
      </c>
      <c r="N442" s="2">
        <v>2874.93</v>
      </c>
      <c r="O442" s="2" t="s">
        <v>52</v>
      </c>
      <c r="P442" s="2" t="s">
        <v>2956</v>
      </c>
      <c r="Q442" s="2" t="s">
        <v>2957</v>
      </c>
      <c r="R442" s="2" t="s">
        <v>2958</v>
      </c>
      <c r="S442" s="2">
        <v>4380.0</v>
      </c>
      <c r="T442" s="2" t="s">
        <v>885</v>
      </c>
      <c r="U442" s="2" t="s">
        <v>46</v>
      </c>
    </row>
    <row r="443">
      <c r="A443" s="2">
        <v>442.0</v>
      </c>
      <c r="B443" s="2">
        <v>442.0</v>
      </c>
      <c r="C443" s="2">
        <v>442.0</v>
      </c>
      <c r="D443" s="3">
        <v>44254.0</v>
      </c>
      <c r="E443" s="2" t="s">
        <v>2959</v>
      </c>
      <c r="F443" s="2" t="s">
        <v>97</v>
      </c>
      <c r="G443" s="2">
        <v>309.95</v>
      </c>
      <c r="H443" s="2" t="s">
        <v>2960</v>
      </c>
      <c r="I443" s="2" t="s">
        <v>2961</v>
      </c>
      <c r="J443" s="2" t="s">
        <v>2962</v>
      </c>
      <c r="K443" s="2" t="s">
        <v>2963</v>
      </c>
      <c r="M443" s="2">
        <v>24.0</v>
      </c>
      <c r="N443" s="2">
        <v>6552.88</v>
      </c>
      <c r="O443" s="2" t="s">
        <v>41</v>
      </c>
      <c r="P443" s="2" t="s">
        <v>2964</v>
      </c>
      <c r="Q443" s="2" t="s">
        <v>2965</v>
      </c>
      <c r="S443" s="2" t="s">
        <v>2966</v>
      </c>
      <c r="T443" s="2" t="s">
        <v>39</v>
      </c>
      <c r="U443" s="2" t="s">
        <v>71</v>
      </c>
    </row>
    <row r="444">
      <c r="A444" s="2">
        <v>443.0</v>
      </c>
      <c r="B444" s="2">
        <v>443.0</v>
      </c>
      <c r="C444" s="2">
        <v>443.0</v>
      </c>
      <c r="D444" s="3">
        <v>44518.0</v>
      </c>
      <c r="E444" s="2" t="s">
        <v>2967</v>
      </c>
      <c r="F444" s="2" t="s">
        <v>73</v>
      </c>
      <c r="G444" s="2">
        <v>5.57</v>
      </c>
      <c r="H444" s="2" t="s">
        <v>2968</v>
      </c>
      <c r="I444" s="2" t="s">
        <v>2969</v>
      </c>
      <c r="J444" s="2" t="s">
        <v>2970</v>
      </c>
      <c r="K444" s="2" t="s">
        <v>119</v>
      </c>
      <c r="M444" s="2">
        <v>46.0</v>
      </c>
      <c r="N444" s="2">
        <v>1658.1</v>
      </c>
      <c r="O444" s="2" t="s">
        <v>52</v>
      </c>
      <c r="P444" s="2" t="s">
        <v>2971</v>
      </c>
      <c r="Q444" s="2" t="s">
        <v>2972</v>
      </c>
      <c r="T444" s="2" t="s">
        <v>225</v>
      </c>
      <c r="U444" s="2" t="s">
        <v>46</v>
      </c>
    </row>
    <row r="445">
      <c r="A445" s="2">
        <v>444.0</v>
      </c>
      <c r="B445" s="2">
        <v>444.0</v>
      </c>
      <c r="C445" s="2">
        <v>444.0</v>
      </c>
      <c r="D445" s="3">
        <v>44487.0</v>
      </c>
      <c r="E445" s="2" t="s">
        <v>2973</v>
      </c>
      <c r="F445" s="2" t="s">
        <v>332</v>
      </c>
      <c r="G445" s="2">
        <v>689.53</v>
      </c>
      <c r="H445" s="2" t="s">
        <v>2974</v>
      </c>
      <c r="I445" s="2" t="s">
        <v>2975</v>
      </c>
      <c r="J445" s="2" t="s">
        <v>2976</v>
      </c>
      <c r="K445" s="2" t="s">
        <v>257</v>
      </c>
      <c r="L445" s="2" t="s">
        <v>2977</v>
      </c>
      <c r="M445" s="2">
        <v>52.0</v>
      </c>
      <c r="N445" s="2">
        <v>7896.73</v>
      </c>
      <c r="O445" s="2" t="s">
        <v>41</v>
      </c>
      <c r="P445" s="2" t="s">
        <v>2978</v>
      </c>
      <c r="Q445" s="2" t="s">
        <v>2979</v>
      </c>
      <c r="R445" s="2" t="s">
        <v>349</v>
      </c>
      <c r="S445" s="2">
        <v>413824.0</v>
      </c>
      <c r="T445" s="2" t="s">
        <v>68</v>
      </c>
      <c r="U445" s="2" t="s">
        <v>46</v>
      </c>
    </row>
    <row r="446">
      <c r="A446" s="2">
        <v>445.0</v>
      </c>
      <c r="B446" s="2">
        <v>445.0</v>
      </c>
      <c r="C446" s="2">
        <v>445.0</v>
      </c>
      <c r="D446" s="3">
        <v>44439.0</v>
      </c>
      <c r="E446" s="2" t="s">
        <v>2980</v>
      </c>
      <c r="F446" s="2" t="s">
        <v>48</v>
      </c>
      <c r="G446" s="2">
        <v>37.99</v>
      </c>
      <c r="H446" s="2" t="s">
        <v>2981</v>
      </c>
      <c r="I446" s="2" t="s">
        <v>2982</v>
      </c>
      <c r="J446" s="2" t="s">
        <v>2983</v>
      </c>
      <c r="K446" s="2" t="s">
        <v>32</v>
      </c>
      <c r="M446" s="2">
        <v>83.0</v>
      </c>
      <c r="N446" s="2">
        <v>4940.81</v>
      </c>
      <c r="O446" s="2" t="s">
        <v>52</v>
      </c>
      <c r="P446" s="2" t="s">
        <v>600</v>
      </c>
      <c r="Q446" s="2" t="s">
        <v>2984</v>
      </c>
      <c r="S446" s="2">
        <v>141662.0</v>
      </c>
      <c r="T446" s="2" t="s">
        <v>68</v>
      </c>
      <c r="U446" s="2" t="s">
        <v>46</v>
      </c>
    </row>
    <row r="447">
      <c r="A447" s="2">
        <v>446.0</v>
      </c>
      <c r="B447" s="2">
        <v>446.0</v>
      </c>
      <c r="C447" s="2">
        <v>446.0</v>
      </c>
      <c r="D447" s="3">
        <v>44123.0</v>
      </c>
      <c r="E447" s="2" t="s">
        <v>2985</v>
      </c>
      <c r="F447" s="2" t="s">
        <v>1046</v>
      </c>
      <c r="G447" s="2">
        <v>621.09</v>
      </c>
      <c r="H447" s="2" t="s">
        <v>2986</v>
      </c>
      <c r="I447" s="2" t="s">
        <v>2987</v>
      </c>
      <c r="J447" s="2" t="s">
        <v>2988</v>
      </c>
      <c r="K447" s="2" t="s">
        <v>225</v>
      </c>
      <c r="M447" s="2">
        <v>18.0</v>
      </c>
      <c r="N447" s="2">
        <v>4684.6</v>
      </c>
      <c r="O447" s="2" t="s">
        <v>28</v>
      </c>
      <c r="P447" s="2" t="s">
        <v>277</v>
      </c>
      <c r="Q447" s="2" t="s">
        <v>2989</v>
      </c>
      <c r="S447" s="2">
        <v>48966.0</v>
      </c>
      <c r="T447" s="2" t="s">
        <v>529</v>
      </c>
      <c r="U447" s="2" t="s">
        <v>46</v>
      </c>
    </row>
    <row r="448">
      <c r="A448" s="2">
        <v>447.0</v>
      </c>
      <c r="B448" s="2">
        <v>447.0</v>
      </c>
      <c r="C448" s="2">
        <v>447.0</v>
      </c>
      <c r="D448" s="3">
        <v>44229.0</v>
      </c>
      <c r="E448" s="2" t="s">
        <v>768</v>
      </c>
      <c r="F448" s="2" t="s">
        <v>35</v>
      </c>
      <c r="G448" s="2">
        <v>71.98</v>
      </c>
      <c r="H448" s="2" t="s">
        <v>2990</v>
      </c>
      <c r="I448" s="2" t="s">
        <v>2991</v>
      </c>
      <c r="J448" s="2" t="s">
        <v>2992</v>
      </c>
      <c r="K448" s="2" t="s">
        <v>2993</v>
      </c>
      <c r="L448" s="2">
        <v>245.0</v>
      </c>
      <c r="M448" s="2">
        <v>85.0</v>
      </c>
      <c r="N448" s="2">
        <v>5596.89</v>
      </c>
      <c r="O448" s="2" t="s">
        <v>41</v>
      </c>
      <c r="P448" s="2" t="s">
        <v>2850</v>
      </c>
      <c r="Q448" s="2" t="s">
        <v>2994</v>
      </c>
      <c r="T448" s="2" t="s">
        <v>32</v>
      </c>
      <c r="U448" s="2" t="s">
        <v>46</v>
      </c>
    </row>
    <row r="449">
      <c r="A449" s="2">
        <v>448.0</v>
      </c>
      <c r="B449" s="2">
        <v>448.0</v>
      </c>
      <c r="C449" s="2">
        <v>448.0</v>
      </c>
      <c r="D449" s="3">
        <v>43913.0</v>
      </c>
      <c r="E449" s="2" t="s">
        <v>55</v>
      </c>
      <c r="F449" s="2" t="s">
        <v>56</v>
      </c>
      <c r="G449" s="2">
        <v>511.32</v>
      </c>
      <c r="H449" s="2" t="s">
        <v>2995</v>
      </c>
      <c r="I449" s="2" t="s">
        <v>2996</v>
      </c>
      <c r="J449" s="2" t="s">
        <v>2997</v>
      </c>
      <c r="K449" s="2" t="s">
        <v>119</v>
      </c>
      <c r="M449" s="2">
        <v>53.0</v>
      </c>
      <c r="N449" s="2">
        <v>5025.03</v>
      </c>
      <c r="O449" s="2" t="s">
        <v>41</v>
      </c>
      <c r="P449" s="2" t="s">
        <v>2998</v>
      </c>
      <c r="Q449" s="2" t="s">
        <v>2999</v>
      </c>
      <c r="T449" s="2" t="s">
        <v>1180</v>
      </c>
      <c r="U449" s="2" t="s">
        <v>46</v>
      </c>
    </row>
    <row r="450">
      <c r="A450" s="2">
        <v>449.0</v>
      </c>
      <c r="B450" s="2">
        <v>449.0</v>
      </c>
      <c r="C450" s="2">
        <v>449.0</v>
      </c>
      <c r="D450" s="3">
        <v>44457.0</v>
      </c>
      <c r="E450" s="2" t="s">
        <v>3000</v>
      </c>
      <c r="F450" s="2" t="s">
        <v>1626</v>
      </c>
      <c r="G450" s="2">
        <v>579.46</v>
      </c>
      <c r="H450" s="2" t="s">
        <v>3001</v>
      </c>
      <c r="I450" s="2" t="s">
        <v>3002</v>
      </c>
      <c r="J450" s="2" t="s">
        <v>3003</v>
      </c>
      <c r="K450" s="2" t="s">
        <v>257</v>
      </c>
      <c r="L450" s="2" t="s">
        <v>3004</v>
      </c>
      <c r="M450" s="2">
        <v>84.0</v>
      </c>
      <c r="N450" s="2">
        <v>641.61</v>
      </c>
      <c r="O450" s="2" t="s">
        <v>28</v>
      </c>
      <c r="P450" s="2" t="s">
        <v>3005</v>
      </c>
      <c r="Q450" s="2" t="s">
        <v>3006</v>
      </c>
      <c r="R450" s="2" t="s">
        <v>371</v>
      </c>
      <c r="T450" s="2" t="s">
        <v>363</v>
      </c>
      <c r="U450" s="2" t="s">
        <v>71</v>
      </c>
    </row>
    <row r="451">
      <c r="A451" s="2">
        <v>450.0</v>
      </c>
      <c r="B451" s="2">
        <v>450.0</v>
      </c>
      <c r="C451" s="2">
        <v>450.0</v>
      </c>
      <c r="D451" s="3">
        <v>44471.0</v>
      </c>
      <c r="E451" s="2" t="s">
        <v>3007</v>
      </c>
      <c r="F451" s="2" t="s">
        <v>73</v>
      </c>
      <c r="G451" s="2">
        <v>226.05</v>
      </c>
      <c r="H451" s="2" t="s">
        <v>3008</v>
      </c>
      <c r="I451" s="2" t="s">
        <v>3009</v>
      </c>
      <c r="J451" s="2" t="s">
        <v>3010</v>
      </c>
      <c r="K451" s="2" t="s">
        <v>228</v>
      </c>
      <c r="M451" s="2">
        <v>5.0</v>
      </c>
      <c r="N451" s="2">
        <v>3002.4</v>
      </c>
      <c r="O451" s="2" t="s">
        <v>41</v>
      </c>
      <c r="P451" s="2" t="s">
        <v>3011</v>
      </c>
      <c r="Q451" s="2" t="s">
        <v>3012</v>
      </c>
      <c r="S451" s="2" t="s">
        <v>3013</v>
      </c>
      <c r="T451" s="2" t="s">
        <v>26</v>
      </c>
      <c r="U451" s="2" t="s">
        <v>33</v>
      </c>
    </row>
    <row r="452">
      <c r="A452" s="2">
        <v>451.0</v>
      </c>
      <c r="B452" s="2">
        <v>451.0</v>
      </c>
      <c r="C452" s="2">
        <v>451.0</v>
      </c>
      <c r="D452" s="3">
        <v>44413.0</v>
      </c>
      <c r="E452" s="2" t="s">
        <v>3014</v>
      </c>
      <c r="F452" s="2" t="s">
        <v>3015</v>
      </c>
      <c r="G452" s="2">
        <v>181.94</v>
      </c>
      <c r="H452" s="2" t="s">
        <v>3016</v>
      </c>
      <c r="I452" s="2" t="s">
        <v>3017</v>
      </c>
      <c r="J452" s="2" t="s">
        <v>3018</v>
      </c>
      <c r="K452" s="2" t="s">
        <v>1492</v>
      </c>
      <c r="L452" s="2" t="s">
        <v>3019</v>
      </c>
      <c r="M452" s="2">
        <v>57.0</v>
      </c>
      <c r="N452" s="2">
        <v>5911.63</v>
      </c>
      <c r="O452" s="2" t="s">
        <v>41</v>
      </c>
      <c r="P452" s="2" t="s">
        <v>3020</v>
      </c>
      <c r="Q452" s="2" t="s">
        <v>3021</v>
      </c>
      <c r="S452" s="2">
        <v>5924.0</v>
      </c>
      <c r="T452" s="2" t="s">
        <v>131</v>
      </c>
      <c r="U452" s="2" t="s">
        <v>71</v>
      </c>
    </row>
    <row r="453">
      <c r="A453" s="2">
        <v>452.0</v>
      </c>
      <c r="B453" s="2">
        <v>452.0</v>
      </c>
      <c r="C453" s="2">
        <v>452.0</v>
      </c>
      <c r="D453" s="3">
        <v>44379.0</v>
      </c>
      <c r="E453" s="2" t="s">
        <v>3022</v>
      </c>
      <c r="F453" s="2" t="s">
        <v>230</v>
      </c>
      <c r="G453" s="2">
        <v>464.57</v>
      </c>
      <c r="H453" s="2" t="s">
        <v>3023</v>
      </c>
      <c r="I453" s="2" t="s">
        <v>3024</v>
      </c>
      <c r="J453" s="2" t="s">
        <v>3025</v>
      </c>
      <c r="K453" s="2" t="s">
        <v>32</v>
      </c>
      <c r="M453" s="2">
        <v>68.0</v>
      </c>
      <c r="N453" s="2">
        <v>4424.3</v>
      </c>
      <c r="O453" s="2" t="s">
        <v>52</v>
      </c>
      <c r="P453" s="2" t="s">
        <v>3026</v>
      </c>
      <c r="Q453" s="2" t="s">
        <v>3027</v>
      </c>
      <c r="S453" s="2" t="s">
        <v>3028</v>
      </c>
      <c r="T453" s="2" t="s">
        <v>257</v>
      </c>
      <c r="U453" s="2" t="s">
        <v>33</v>
      </c>
    </row>
    <row r="454">
      <c r="A454" s="2">
        <v>453.0</v>
      </c>
      <c r="B454" s="2">
        <v>453.0</v>
      </c>
      <c r="C454" s="2">
        <v>453.0</v>
      </c>
      <c r="D454" s="3">
        <v>43871.0</v>
      </c>
      <c r="E454" s="2" t="s">
        <v>1198</v>
      </c>
      <c r="F454" s="2" t="s">
        <v>1199</v>
      </c>
      <c r="G454" s="2">
        <v>448.11</v>
      </c>
      <c r="H454" s="2" t="s">
        <v>3029</v>
      </c>
      <c r="I454" s="2" t="s">
        <v>3030</v>
      </c>
      <c r="J454" s="2" t="s">
        <v>3031</v>
      </c>
      <c r="K454" s="2" t="s">
        <v>32</v>
      </c>
      <c r="M454" s="2">
        <v>80.0</v>
      </c>
      <c r="N454" s="2">
        <v>9582.89</v>
      </c>
      <c r="O454" s="2" t="s">
        <v>28</v>
      </c>
      <c r="P454" s="2" t="s">
        <v>3032</v>
      </c>
      <c r="Q454" s="2" t="s">
        <v>3033</v>
      </c>
      <c r="T454" s="2" t="s">
        <v>1297</v>
      </c>
      <c r="U454" s="2" t="s">
        <v>33</v>
      </c>
    </row>
    <row r="455">
      <c r="A455" s="2">
        <v>454.0</v>
      </c>
      <c r="B455" s="2">
        <v>454.0</v>
      </c>
      <c r="C455" s="2">
        <v>454.0</v>
      </c>
      <c r="D455" s="3">
        <v>44400.0</v>
      </c>
      <c r="E455" s="2" t="s">
        <v>3034</v>
      </c>
      <c r="F455" s="2" t="s">
        <v>97</v>
      </c>
      <c r="G455" s="2">
        <v>110.33</v>
      </c>
      <c r="H455" s="2" t="s">
        <v>3035</v>
      </c>
      <c r="I455" s="2" t="s">
        <v>3036</v>
      </c>
      <c r="J455" s="2" t="s">
        <v>3037</v>
      </c>
      <c r="K455" s="2" t="s">
        <v>1328</v>
      </c>
      <c r="M455" s="2">
        <v>91.0</v>
      </c>
      <c r="N455" s="2">
        <v>4341.91</v>
      </c>
      <c r="O455" s="2" t="s">
        <v>41</v>
      </c>
      <c r="P455" s="2" t="s">
        <v>2221</v>
      </c>
      <c r="Q455" s="2" t="s">
        <v>3038</v>
      </c>
      <c r="S455" s="2">
        <v>143818.0</v>
      </c>
      <c r="T455" s="2" t="s">
        <v>68</v>
      </c>
      <c r="U455" s="2" t="s">
        <v>33</v>
      </c>
    </row>
    <row r="456">
      <c r="A456" s="2">
        <v>455.0</v>
      </c>
      <c r="B456" s="2">
        <v>455.0</v>
      </c>
      <c r="C456" s="2">
        <v>455.0</v>
      </c>
      <c r="D456" s="3">
        <v>43883.0</v>
      </c>
      <c r="E456" s="2" t="s">
        <v>3039</v>
      </c>
      <c r="F456" s="2" t="s">
        <v>2120</v>
      </c>
      <c r="G456" s="2">
        <v>723.82</v>
      </c>
      <c r="H456" s="2" t="s">
        <v>3040</v>
      </c>
      <c r="I456" s="2" t="s">
        <v>3041</v>
      </c>
      <c r="J456" s="2" t="s">
        <v>3042</v>
      </c>
      <c r="K456" s="2" t="s">
        <v>32</v>
      </c>
      <c r="M456" s="2">
        <v>93.0</v>
      </c>
      <c r="N456" s="2">
        <v>1368.94</v>
      </c>
      <c r="O456" s="2" t="s">
        <v>28</v>
      </c>
      <c r="P456" s="2" t="s">
        <v>3043</v>
      </c>
      <c r="Q456" s="2" t="s">
        <v>3044</v>
      </c>
      <c r="T456" s="2" t="s">
        <v>3045</v>
      </c>
      <c r="U456" s="2" t="s">
        <v>46</v>
      </c>
    </row>
    <row r="457">
      <c r="A457" s="2">
        <v>456.0</v>
      </c>
      <c r="B457" s="2">
        <v>456.0</v>
      </c>
      <c r="C457" s="2">
        <v>456.0</v>
      </c>
      <c r="D457" s="3">
        <v>44100.0</v>
      </c>
      <c r="E457" s="2" t="s">
        <v>3046</v>
      </c>
      <c r="F457" s="2" t="s">
        <v>35</v>
      </c>
      <c r="G457" s="2">
        <v>926.0</v>
      </c>
      <c r="H457" s="2" t="s">
        <v>3047</v>
      </c>
      <c r="I457" s="2" t="s">
        <v>3048</v>
      </c>
      <c r="J457" s="2" t="s">
        <v>3049</v>
      </c>
      <c r="K457" s="2" t="s">
        <v>225</v>
      </c>
      <c r="M457" s="2">
        <v>42.0</v>
      </c>
      <c r="N457" s="2">
        <v>5096.17</v>
      </c>
      <c r="O457" s="2" t="s">
        <v>52</v>
      </c>
      <c r="P457" s="2" t="s">
        <v>3050</v>
      </c>
      <c r="Q457" s="2" t="s">
        <v>3051</v>
      </c>
      <c r="T457" s="2" t="s">
        <v>1826</v>
      </c>
      <c r="U457" s="2" t="s">
        <v>71</v>
      </c>
    </row>
    <row r="458">
      <c r="A458" s="2">
        <v>457.0</v>
      </c>
      <c r="B458" s="2">
        <v>457.0</v>
      </c>
      <c r="C458" s="2">
        <v>457.0</v>
      </c>
      <c r="D458" s="3">
        <v>44515.0</v>
      </c>
      <c r="E458" s="2" t="s">
        <v>3052</v>
      </c>
      <c r="F458" s="2" t="s">
        <v>191</v>
      </c>
      <c r="G458" s="2">
        <v>509.03</v>
      </c>
      <c r="H458" s="2" t="s">
        <v>3053</v>
      </c>
      <c r="I458" s="2" t="s">
        <v>3054</v>
      </c>
      <c r="J458" s="2" t="s">
        <v>3055</v>
      </c>
      <c r="K458" s="2" t="s">
        <v>627</v>
      </c>
      <c r="L458" s="2">
        <v>76150.0</v>
      </c>
      <c r="M458" s="2">
        <v>27.0</v>
      </c>
      <c r="N458" s="2">
        <v>5861.37</v>
      </c>
      <c r="O458" s="2" t="s">
        <v>28</v>
      </c>
      <c r="P458" s="2" t="s">
        <v>3056</v>
      </c>
      <c r="Q458" s="2" t="s">
        <v>3057</v>
      </c>
      <c r="S458" s="2">
        <v>249192.0</v>
      </c>
      <c r="T458" s="2" t="s">
        <v>68</v>
      </c>
      <c r="U458" s="2" t="s">
        <v>33</v>
      </c>
    </row>
    <row r="459">
      <c r="A459" s="2">
        <v>458.0</v>
      </c>
      <c r="B459" s="2">
        <v>458.0</v>
      </c>
      <c r="C459" s="2">
        <v>458.0</v>
      </c>
      <c r="D459" s="3">
        <v>44340.0</v>
      </c>
      <c r="E459" s="2" t="s">
        <v>3058</v>
      </c>
      <c r="F459" s="2" t="s">
        <v>237</v>
      </c>
      <c r="G459" s="2">
        <v>787.44</v>
      </c>
      <c r="H459" s="2" t="s">
        <v>3059</v>
      </c>
      <c r="I459" s="2" t="s">
        <v>3060</v>
      </c>
      <c r="J459" s="2" t="s">
        <v>3061</v>
      </c>
      <c r="K459" s="2" t="s">
        <v>92</v>
      </c>
      <c r="M459" s="2">
        <v>77.0</v>
      </c>
      <c r="N459" s="2">
        <v>8582.82</v>
      </c>
      <c r="O459" s="2" t="s">
        <v>28</v>
      </c>
      <c r="P459" s="2" t="s">
        <v>3062</v>
      </c>
      <c r="Q459" s="2" t="s">
        <v>3063</v>
      </c>
      <c r="S459" s="2" t="s">
        <v>3064</v>
      </c>
      <c r="T459" s="2" t="s">
        <v>163</v>
      </c>
      <c r="U459" s="2" t="s">
        <v>71</v>
      </c>
    </row>
    <row r="460">
      <c r="A460" s="2">
        <v>459.0</v>
      </c>
      <c r="B460" s="2">
        <v>459.0</v>
      </c>
      <c r="C460" s="2">
        <v>459.0</v>
      </c>
      <c r="D460" s="3">
        <v>44223.0</v>
      </c>
      <c r="E460" s="2" t="s">
        <v>615</v>
      </c>
      <c r="F460" s="2" t="s">
        <v>342</v>
      </c>
      <c r="G460" s="2">
        <v>475.8</v>
      </c>
      <c r="H460" s="2" t="s">
        <v>3065</v>
      </c>
      <c r="I460" s="2" t="s">
        <v>3066</v>
      </c>
      <c r="J460" s="2" t="s">
        <v>3067</v>
      </c>
      <c r="K460" s="2" t="s">
        <v>393</v>
      </c>
      <c r="M460" s="2">
        <v>49.0</v>
      </c>
      <c r="N460" s="2">
        <v>2382.15</v>
      </c>
      <c r="O460" s="2" t="s">
        <v>28</v>
      </c>
      <c r="P460" s="2" t="s">
        <v>3068</v>
      </c>
      <c r="Q460" s="2" t="s">
        <v>3069</v>
      </c>
      <c r="S460" s="2">
        <v>6821.0</v>
      </c>
      <c r="T460" s="2" t="s">
        <v>241</v>
      </c>
      <c r="U460" s="2" t="s">
        <v>33</v>
      </c>
    </row>
    <row r="461">
      <c r="A461" s="2">
        <v>460.0</v>
      </c>
      <c r="B461" s="2">
        <v>460.0</v>
      </c>
      <c r="C461" s="2">
        <v>460.0</v>
      </c>
      <c r="D461" s="3">
        <v>44381.0</v>
      </c>
      <c r="E461" s="2" t="s">
        <v>3070</v>
      </c>
      <c r="F461" s="2" t="s">
        <v>567</v>
      </c>
      <c r="G461" s="2">
        <v>226.43</v>
      </c>
      <c r="H461" s="2" t="s">
        <v>3071</v>
      </c>
      <c r="I461" s="2" t="s">
        <v>3072</v>
      </c>
      <c r="J461" s="2" t="s">
        <v>3073</v>
      </c>
      <c r="K461" s="2" t="s">
        <v>32</v>
      </c>
      <c r="M461" s="2">
        <v>37.0</v>
      </c>
      <c r="N461" s="2">
        <v>1714.33</v>
      </c>
      <c r="O461" s="2" t="s">
        <v>41</v>
      </c>
      <c r="P461" s="2" t="s">
        <v>3074</v>
      </c>
      <c r="Q461" s="2" t="s">
        <v>3075</v>
      </c>
      <c r="T461" s="2" t="s">
        <v>119</v>
      </c>
      <c r="U461" s="2" t="s">
        <v>46</v>
      </c>
    </row>
    <row r="462">
      <c r="A462" s="2">
        <v>461.0</v>
      </c>
      <c r="B462" s="2">
        <v>461.0</v>
      </c>
      <c r="C462" s="2">
        <v>461.0</v>
      </c>
      <c r="D462" s="3">
        <v>44501.0</v>
      </c>
      <c r="E462" s="2" t="s">
        <v>1418</v>
      </c>
      <c r="F462" s="2" t="s">
        <v>887</v>
      </c>
      <c r="G462" s="2">
        <v>769.93</v>
      </c>
      <c r="H462" s="2" t="s">
        <v>3076</v>
      </c>
      <c r="I462" s="2" t="s">
        <v>3077</v>
      </c>
      <c r="J462" s="2" t="s">
        <v>3078</v>
      </c>
      <c r="K462" s="2" t="s">
        <v>114</v>
      </c>
      <c r="L462" s="2" t="s">
        <v>3079</v>
      </c>
      <c r="M462" s="2">
        <v>94.0</v>
      </c>
      <c r="N462" s="2">
        <v>8674.65</v>
      </c>
      <c r="O462" s="2" t="s">
        <v>28</v>
      </c>
      <c r="P462" s="2" t="s">
        <v>1368</v>
      </c>
      <c r="Q462" s="2" t="s">
        <v>3080</v>
      </c>
      <c r="S462" s="2" t="s">
        <v>3081</v>
      </c>
      <c r="T462" s="2" t="s">
        <v>127</v>
      </c>
      <c r="U462" s="2" t="s">
        <v>46</v>
      </c>
    </row>
    <row r="463">
      <c r="A463" s="2">
        <v>462.0</v>
      </c>
      <c r="B463" s="2">
        <v>462.0</v>
      </c>
      <c r="C463" s="2">
        <v>462.0</v>
      </c>
      <c r="D463" s="3">
        <v>44079.0</v>
      </c>
      <c r="E463" s="2" t="s">
        <v>3082</v>
      </c>
      <c r="F463" s="2" t="s">
        <v>381</v>
      </c>
      <c r="G463" s="2">
        <v>981.64</v>
      </c>
      <c r="H463" s="2" t="s">
        <v>3083</v>
      </c>
      <c r="I463" s="2" t="s">
        <v>3084</v>
      </c>
      <c r="J463" s="2" t="s">
        <v>3085</v>
      </c>
      <c r="K463" s="2" t="s">
        <v>379</v>
      </c>
      <c r="L463" s="2" t="s">
        <v>3086</v>
      </c>
      <c r="M463" s="2">
        <v>67.0</v>
      </c>
      <c r="N463" s="2">
        <v>8069.09</v>
      </c>
      <c r="O463" s="2" t="s">
        <v>28</v>
      </c>
      <c r="P463" s="2" t="s">
        <v>3087</v>
      </c>
      <c r="Q463" s="2" t="s">
        <v>3088</v>
      </c>
      <c r="R463" s="2" t="s">
        <v>3089</v>
      </c>
      <c r="S463" s="2">
        <v>628146.0</v>
      </c>
      <c r="T463" s="2" t="s">
        <v>68</v>
      </c>
      <c r="U463" s="2" t="s">
        <v>46</v>
      </c>
    </row>
    <row r="464">
      <c r="A464" s="2">
        <v>463.0</v>
      </c>
      <c r="B464" s="2">
        <v>463.0</v>
      </c>
      <c r="C464" s="2">
        <v>463.0</v>
      </c>
      <c r="D464" s="3">
        <v>44028.0</v>
      </c>
      <c r="E464" s="2" t="s">
        <v>3046</v>
      </c>
      <c r="F464" s="2" t="s">
        <v>35</v>
      </c>
      <c r="G464" s="2">
        <v>277.53</v>
      </c>
      <c r="H464" s="2" t="s">
        <v>3090</v>
      </c>
      <c r="I464" s="2" t="s">
        <v>3091</v>
      </c>
      <c r="J464" s="2" t="s">
        <v>3092</v>
      </c>
      <c r="K464" s="2" t="s">
        <v>32</v>
      </c>
      <c r="M464" s="2">
        <v>36.0</v>
      </c>
      <c r="N464" s="2">
        <v>9444.99</v>
      </c>
      <c r="O464" s="2" t="s">
        <v>28</v>
      </c>
      <c r="P464" s="2" t="s">
        <v>3093</v>
      </c>
      <c r="Q464" s="2" t="s">
        <v>3094</v>
      </c>
      <c r="S464" s="2">
        <v>56057.0</v>
      </c>
      <c r="T464" s="2" t="s">
        <v>819</v>
      </c>
      <c r="U464" s="2" t="s">
        <v>33</v>
      </c>
    </row>
    <row r="465">
      <c r="A465" s="2">
        <v>464.0</v>
      </c>
      <c r="B465" s="2">
        <v>464.0</v>
      </c>
      <c r="C465" s="2">
        <v>464.0</v>
      </c>
      <c r="D465" s="3">
        <v>44180.0</v>
      </c>
      <c r="E465" s="2" t="s">
        <v>1891</v>
      </c>
      <c r="F465" s="2" t="s">
        <v>142</v>
      </c>
      <c r="G465" s="2">
        <v>352.56</v>
      </c>
      <c r="H465" s="2" t="s">
        <v>3095</v>
      </c>
      <c r="I465" s="2" t="s">
        <v>3096</v>
      </c>
      <c r="J465" s="2" t="s">
        <v>3097</v>
      </c>
      <c r="K465" s="2" t="s">
        <v>32</v>
      </c>
      <c r="M465" s="2">
        <v>95.0</v>
      </c>
      <c r="N465" s="2">
        <v>3756.99</v>
      </c>
      <c r="O465" s="2" t="s">
        <v>41</v>
      </c>
      <c r="P465" s="2" t="s">
        <v>3098</v>
      </c>
      <c r="Q465" s="2" t="s">
        <v>3099</v>
      </c>
      <c r="S465" s="2">
        <v>689400.0</v>
      </c>
      <c r="T465" s="2" t="s">
        <v>68</v>
      </c>
      <c r="U465" s="2" t="s">
        <v>46</v>
      </c>
    </row>
    <row r="466">
      <c r="A466" s="2">
        <v>465.0</v>
      </c>
      <c r="B466" s="2">
        <v>465.0</v>
      </c>
      <c r="C466" s="2">
        <v>465.0</v>
      </c>
      <c r="D466" s="3">
        <v>44505.0</v>
      </c>
      <c r="E466" s="2" t="s">
        <v>3100</v>
      </c>
      <c r="F466" s="2" t="s">
        <v>133</v>
      </c>
      <c r="G466" s="2">
        <v>272.04</v>
      </c>
      <c r="H466" s="2" t="s">
        <v>3101</v>
      </c>
      <c r="I466" s="2" t="s">
        <v>3102</v>
      </c>
      <c r="J466" s="2" t="s">
        <v>3103</v>
      </c>
      <c r="K466" s="2" t="s">
        <v>68</v>
      </c>
      <c r="L466" s="2">
        <v>404436.0</v>
      </c>
      <c r="M466" s="2">
        <v>53.0</v>
      </c>
      <c r="N466" s="2">
        <v>2300.08</v>
      </c>
      <c r="O466" s="2" t="s">
        <v>41</v>
      </c>
      <c r="P466" s="2" t="s">
        <v>3104</v>
      </c>
      <c r="Q466" s="2" t="s">
        <v>3105</v>
      </c>
      <c r="T466" s="2" t="s">
        <v>3106</v>
      </c>
      <c r="U466" s="2" t="s">
        <v>46</v>
      </c>
    </row>
    <row r="467">
      <c r="A467" s="2">
        <v>466.0</v>
      </c>
      <c r="B467" s="2">
        <v>466.0</v>
      </c>
      <c r="C467" s="2">
        <v>466.0</v>
      </c>
      <c r="D467" s="3">
        <v>44113.0</v>
      </c>
      <c r="E467" s="2" t="s">
        <v>3107</v>
      </c>
      <c r="F467" s="2" t="s">
        <v>3108</v>
      </c>
      <c r="G467" s="2">
        <v>350.92</v>
      </c>
      <c r="H467" s="2" t="s">
        <v>3109</v>
      </c>
      <c r="I467" s="2" t="s">
        <v>3110</v>
      </c>
      <c r="J467" s="2" t="s">
        <v>3111</v>
      </c>
      <c r="K467" s="2" t="s">
        <v>241</v>
      </c>
      <c r="L467" s="2">
        <v>6116.0</v>
      </c>
      <c r="M467" s="2">
        <v>19.0</v>
      </c>
      <c r="N467" s="2">
        <v>3262.65</v>
      </c>
      <c r="O467" s="2" t="s">
        <v>28</v>
      </c>
      <c r="P467" s="2" t="s">
        <v>3112</v>
      </c>
      <c r="Q467" s="2" t="s">
        <v>3113</v>
      </c>
      <c r="S467" s="2" t="s">
        <v>3114</v>
      </c>
      <c r="T467" s="2" t="s">
        <v>114</v>
      </c>
      <c r="U467" s="2" t="s">
        <v>33</v>
      </c>
    </row>
    <row r="468">
      <c r="A468" s="2">
        <v>467.0</v>
      </c>
      <c r="B468" s="2">
        <v>467.0</v>
      </c>
      <c r="C468" s="2">
        <v>467.0</v>
      </c>
      <c r="D468" s="3">
        <v>43941.0</v>
      </c>
      <c r="E468" s="2" t="s">
        <v>2581</v>
      </c>
      <c r="F468" s="2" t="s">
        <v>501</v>
      </c>
      <c r="G468" s="2">
        <v>554.19</v>
      </c>
      <c r="H468" s="2" t="s">
        <v>3115</v>
      </c>
      <c r="I468" s="2" t="s">
        <v>3116</v>
      </c>
      <c r="J468" s="2" t="s">
        <v>3117</v>
      </c>
      <c r="K468" s="2" t="s">
        <v>267</v>
      </c>
      <c r="M468" s="2">
        <v>65.0</v>
      </c>
      <c r="N468" s="2">
        <v>5874.4</v>
      </c>
      <c r="O468" s="2" t="s">
        <v>28</v>
      </c>
      <c r="P468" s="2" t="s">
        <v>3118</v>
      </c>
      <c r="Q468" s="2" t="s">
        <v>3119</v>
      </c>
      <c r="S468" s="2">
        <v>1444.0</v>
      </c>
      <c r="T468" s="2" t="s">
        <v>241</v>
      </c>
      <c r="U468" s="2" t="s">
        <v>46</v>
      </c>
    </row>
    <row r="469">
      <c r="A469" s="2">
        <v>468.0</v>
      </c>
      <c r="B469" s="2">
        <v>468.0</v>
      </c>
      <c r="C469" s="2">
        <v>468.0</v>
      </c>
      <c r="D469" s="3">
        <v>44108.0</v>
      </c>
      <c r="E469" s="2" t="s">
        <v>3120</v>
      </c>
      <c r="F469" s="2" t="s">
        <v>3121</v>
      </c>
      <c r="G469" s="2">
        <v>441.38</v>
      </c>
      <c r="H469" s="2" t="s">
        <v>3122</v>
      </c>
      <c r="I469" s="2" t="s">
        <v>3123</v>
      </c>
      <c r="J469" s="2" t="s">
        <v>3124</v>
      </c>
      <c r="K469" s="2" t="s">
        <v>32</v>
      </c>
      <c r="M469" s="2">
        <v>86.0</v>
      </c>
      <c r="N469" s="2">
        <v>7092.27</v>
      </c>
      <c r="O469" s="2" t="s">
        <v>52</v>
      </c>
      <c r="P469" s="2" t="s">
        <v>300</v>
      </c>
      <c r="Q469" s="2" t="s">
        <v>3125</v>
      </c>
      <c r="T469" s="2" t="s">
        <v>1260</v>
      </c>
      <c r="U469" s="2" t="s">
        <v>46</v>
      </c>
    </row>
    <row r="470">
      <c r="A470" s="2">
        <v>469.0</v>
      </c>
      <c r="B470" s="2">
        <v>469.0</v>
      </c>
      <c r="C470" s="2">
        <v>469.0</v>
      </c>
      <c r="D470" s="3">
        <v>44304.0</v>
      </c>
      <c r="E470" s="2" t="s">
        <v>3126</v>
      </c>
      <c r="F470" s="2" t="s">
        <v>1671</v>
      </c>
      <c r="G470" s="2">
        <v>937.61</v>
      </c>
      <c r="H470" s="2" t="s">
        <v>3127</v>
      </c>
      <c r="I470" s="2" t="s">
        <v>3128</v>
      </c>
      <c r="J470" s="2" t="s">
        <v>3129</v>
      </c>
      <c r="K470" s="2" t="s">
        <v>819</v>
      </c>
      <c r="L470" s="2">
        <v>186018.0</v>
      </c>
      <c r="M470" s="2">
        <v>18.0</v>
      </c>
      <c r="N470" s="2">
        <v>7531.36</v>
      </c>
      <c r="O470" s="2" t="s">
        <v>41</v>
      </c>
      <c r="P470" s="2" t="s">
        <v>2066</v>
      </c>
      <c r="Q470" s="2" t="s">
        <v>3130</v>
      </c>
      <c r="S470" s="2" t="s">
        <v>3131</v>
      </c>
      <c r="T470" s="2" t="s">
        <v>26</v>
      </c>
      <c r="U470" s="2" t="s">
        <v>33</v>
      </c>
    </row>
    <row r="471">
      <c r="A471" s="2">
        <v>470.0</v>
      </c>
      <c r="B471" s="2">
        <v>470.0</v>
      </c>
      <c r="C471" s="2">
        <v>470.0</v>
      </c>
      <c r="D471" s="3">
        <v>44261.0</v>
      </c>
      <c r="E471" s="2" t="s">
        <v>3132</v>
      </c>
      <c r="F471" s="2" t="s">
        <v>3133</v>
      </c>
      <c r="G471" s="2">
        <v>247.97</v>
      </c>
      <c r="H471" s="2" t="s">
        <v>3134</v>
      </c>
      <c r="I471" s="2" t="s">
        <v>3135</v>
      </c>
      <c r="J471" s="2" t="s">
        <v>3136</v>
      </c>
      <c r="K471" s="2" t="s">
        <v>68</v>
      </c>
      <c r="L471" s="2">
        <v>646400.0</v>
      </c>
      <c r="M471" s="2">
        <v>37.0</v>
      </c>
      <c r="N471" s="2">
        <v>6037.8</v>
      </c>
      <c r="O471" s="2" t="s">
        <v>41</v>
      </c>
      <c r="P471" s="2" t="s">
        <v>3137</v>
      </c>
      <c r="Q471" s="2" t="s">
        <v>3138</v>
      </c>
      <c r="S471" s="2" t="s">
        <v>3139</v>
      </c>
      <c r="T471" s="2" t="s">
        <v>163</v>
      </c>
      <c r="U471" s="2" t="s">
        <v>46</v>
      </c>
    </row>
    <row r="472">
      <c r="A472" s="2">
        <v>471.0</v>
      </c>
      <c r="B472" s="2">
        <v>471.0</v>
      </c>
      <c r="C472" s="2">
        <v>471.0</v>
      </c>
      <c r="D472" s="3">
        <v>43933.0</v>
      </c>
      <c r="E472" s="2" t="s">
        <v>3140</v>
      </c>
      <c r="F472" s="2" t="s">
        <v>198</v>
      </c>
      <c r="G472" s="2">
        <v>494.3</v>
      </c>
      <c r="H472" s="2" t="s">
        <v>3141</v>
      </c>
      <c r="I472" s="2" t="s">
        <v>3142</v>
      </c>
      <c r="J472" s="2" t="s">
        <v>3143</v>
      </c>
      <c r="K472" s="2" t="s">
        <v>39</v>
      </c>
      <c r="L472" s="2" t="s">
        <v>3144</v>
      </c>
      <c r="M472" s="2">
        <v>70.0</v>
      </c>
      <c r="N472" s="2">
        <v>8894.3</v>
      </c>
      <c r="O472" s="2" t="s">
        <v>52</v>
      </c>
      <c r="P472" s="2" t="s">
        <v>3145</v>
      </c>
      <c r="Q472" s="2" t="s">
        <v>3146</v>
      </c>
      <c r="R472" s="2" t="s">
        <v>3147</v>
      </c>
      <c r="S472" s="2">
        <v>188.0</v>
      </c>
      <c r="T472" s="2" t="s">
        <v>453</v>
      </c>
      <c r="U472" s="2" t="s">
        <v>33</v>
      </c>
    </row>
    <row r="473">
      <c r="A473" s="2">
        <v>472.0</v>
      </c>
      <c r="B473" s="2">
        <v>472.0</v>
      </c>
      <c r="C473" s="2">
        <v>472.0</v>
      </c>
      <c r="D473" s="3">
        <v>44293.0</v>
      </c>
      <c r="E473" s="2" t="s">
        <v>3148</v>
      </c>
      <c r="F473" s="2" t="s">
        <v>1562</v>
      </c>
      <c r="G473" s="2">
        <v>384.89</v>
      </c>
      <c r="H473" s="2" t="s">
        <v>3149</v>
      </c>
      <c r="I473" s="2" t="s">
        <v>3150</v>
      </c>
      <c r="J473" s="2" t="s">
        <v>3151</v>
      </c>
      <c r="K473" s="2" t="s">
        <v>137</v>
      </c>
      <c r="M473" s="2">
        <v>78.0</v>
      </c>
      <c r="N473" s="2">
        <v>614.94</v>
      </c>
      <c r="O473" s="2" t="s">
        <v>41</v>
      </c>
      <c r="P473" s="2" t="s">
        <v>3152</v>
      </c>
      <c r="Q473" s="2" t="s">
        <v>3153</v>
      </c>
      <c r="T473" s="2" t="s">
        <v>1260</v>
      </c>
      <c r="U473" s="2" t="s">
        <v>33</v>
      </c>
    </row>
    <row r="474">
      <c r="A474" s="2">
        <v>473.0</v>
      </c>
      <c r="B474" s="2">
        <v>473.0</v>
      </c>
      <c r="C474" s="2">
        <v>473.0</v>
      </c>
      <c r="D474" s="3">
        <v>43875.0</v>
      </c>
      <c r="E474" s="2" t="s">
        <v>3154</v>
      </c>
      <c r="F474" s="2" t="s">
        <v>501</v>
      </c>
      <c r="G474" s="2">
        <v>72.32</v>
      </c>
      <c r="H474" s="2" t="s">
        <v>3155</v>
      </c>
      <c r="I474" s="2" t="s">
        <v>3156</v>
      </c>
      <c r="J474" s="2" t="s">
        <v>3157</v>
      </c>
      <c r="K474" s="2" t="s">
        <v>1959</v>
      </c>
      <c r="M474" s="2">
        <v>45.0</v>
      </c>
      <c r="N474" s="2">
        <v>9881.61</v>
      </c>
      <c r="O474" s="2" t="s">
        <v>52</v>
      </c>
      <c r="P474" s="2" t="s">
        <v>3158</v>
      </c>
      <c r="Q474" s="2" t="s">
        <v>3159</v>
      </c>
      <c r="T474" s="2" t="s">
        <v>92</v>
      </c>
      <c r="U474" s="2" t="s">
        <v>46</v>
      </c>
    </row>
    <row r="475">
      <c r="A475" s="2">
        <v>474.0</v>
      </c>
      <c r="B475" s="2">
        <v>474.0</v>
      </c>
      <c r="C475" s="2">
        <v>474.0</v>
      </c>
      <c r="D475" s="3">
        <v>43982.0</v>
      </c>
      <c r="E475" s="2" t="s">
        <v>3160</v>
      </c>
      <c r="F475" s="2" t="s">
        <v>3161</v>
      </c>
      <c r="G475" s="2">
        <v>675.94</v>
      </c>
      <c r="H475" s="2" t="s">
        <v>3162</v>
      </c>
      <c r="I475" s="2" t="s">
        <v>3163</v>
      </c>
      <c r="J475" s="2" t="s">
        <v>3164</v>
      </c>
      <c r="K475" s="2" t="s">
        <v>32</v>
      </c>
      <c r="M475" s="2">
        <v>76.0</v>
      </c>
      <c r="N475" s="2">
        <v>3976.62</v>
      </c>
      <c r="O475" s="2" t="s">
        <v>41</v>
      </c>
      <c r="P475" s="2" t="s">
        <v>3165</v>
      </c>
      <c r="Q475" s="2" t="s">
        <v>3166</v>
      </c>
      <c r="S475" s="2">
        <v>36121.0</v>
      </c>
      <c r="T475" s="2" t="s">
        <v>45</v>
      </c>
      <c r="U475" s="2" t="s">
        <v>46</v>
      </c>
    </row>
    <row r="476">
      <c r="A476" s="2">
        <v>475.0</v>
      </c>
      <c r="B476" s="2">
        <v>475.0</v>
      </c>
      <c r="C476" s="2">
        <v>475.0</v>
      </c>
      <c r="D476" s="3">
        <v>43920.0</v>
      </c>
      <c r="E476" s="2" t="s">
        <v>3167</v>
      </c>
      <c r="F476" s="2" t="s">
        <v>263</v>
      </c>
      <c r="G476" s="2">
        <v>826.31</v>
      </c>
      <c r="H476" s="2" t="s">
        <v>3168</v>
      </c>
      <c r="I476" s="2" t="s">
        <v>3169</v>
      </c>
      <c r="J476" s="2" t="s">
        <v>3170</v>
      </c>
      <c r="K476" s="2" t="s">
        <v>127</v>
      </c>
      <c r="L476" s="2" t="s">
        <v>3171</v>
      </c>
      <c r="M476" s="2">
        <v>58.0</v>
      </c>
      <c r="N476" s="2">
        <v>6771.16</v>
      </c>
      <c r="O476" s="2" t="s">
        <v>41</v>
      </c>
      <c r="P476" s="2" t="s">
        <v>3172</v>
      </c>
      <c r="Q476" s="2" t="s">
        <v>3173</v>
      </c>
      <c r="S476" s="2" t="s">
        <v>3174</v>
      </c>
      <c r="T476" s="2" t="s">
        <v>39</v>
      </c>
      <c r="U476" s="2" t="s">
        <v>33</v>
      </c>
    </row>
    <row r="477">
      <c r="A477" s="2">
        <v>476.0</v>
      </c>
      <c r="B477" s="2">
        <v>476.0</v>
      </c>
      <c r="C477" s="2">
        <v>476.0</v>
      </c>
      <c r="D477" s="3">
        <v>43886.0</v>
      </c>
      <c r="E477" s="2" t="s">
        <v>3175</v>
      </c>
      <c r="F477" s="2" t="s">
        <v>35</v>
      </c>
      <c r="G477" s="2">
        <v>404.01</v>
      </c>
      <c r="H477" s="2" t="s">
        <v>3176</v>
      </c>
      <c r="I477" s="2" t="s">
        <v>3177</v>
      </c>
      <c r="J477" s="2" t="s">
        <v>3178</v>
      </c>
      <c r="K477" s="2" t="s">
        <v>119</v>
      </c>
      <c r="M477" s="2">
        <v>23.0</v>
      </c>
      <c r="N477" s="2">
        <v>7915.93</v>
      </c>
      <c r="O477" s="2" t="s">
        <v>28</v>
      </c>
      <c r="P477" s="2" t="s">
        <v>3179</v>
      </c>
      <c r="Q477" s="2" t="s">
        <v>3180</v>
      </c>
      <c r="S477" s="2">
        <v>4201.0</v>
      </c>
      <c r="T477" s="2" t="s">
        <v>241</v>
      </c>
      <c r="U477" s="2" t="s">
        <v>46</v>
      </c>
    </row>
    <row r="478">
      <c r="A478" s="2">
        <v>477.0</v>
      </c>
      <c r="B478" s="2">
        <v>477.0</v>
      </c>
      <c r="C478" s="2">
        <v>477.0</v>
      </c>
      <c r="D478" s="3">
        <v>44017.0</v>
      </c>
      <c r="E478" s="2" t="s">
        <v>3181</v>
      </c>
      <c r="F478" s="2" t="s">
        <v>191</v>
      </c>
      <c r="G478" s="2">
        <v>876.8</v>
      </c>
      <c r="H478" s="2" t="s">
        <v>3182</v>
      </c>
      <c r="I478" s="2" t="s">
        <v>3183</v>
      </c>
      <c r="J478" s="2" t="s">
        <v>3184</v>
      </c>
      <c r="K478" s="2" t="s">
        <v>32</v>
      </c>
      <c r="M478" s="2">
        <v>54.0</v>
      </c>
      <c r="N478" s="2">
        <v>6720.67</v>
      </c>
      <c r="O478" s="2" t="s">
        <v>41</v>
      </c>
      <c r="P478" s="2" t="s">
        <v>3185</v>
      </c>
      <c r="Q478" s="2" t="s">
        <v>3186</v>
      </c>
      <c r="T478" s="2" t="s">
        <v>32</v>
      </c>
      <c r="U478" s="2" t="s">
        <v>71</v>
      </c>
    </row>
    <row r="479">
      <c r="A479" s="2">
        <v>478.0</v>
      </c>
      <c r="B479" s="2">
        <v>478.0</v>
      </c>
      <c r="C479" s="2">
        <v>478.0</v>
      </c>
      <c r="D479" s="3">
        <v>44096.0</v>
      </c>
      <c r="E479" s="2" t="s">
        <v>3187</v>
      </c>
      <c r="F479" s="2" t="s">
        <v>1091</v>
      </c>
      <c r="G479" s="2">
        <v>580.31</v>
      </c>
      <c r="H479" s="2" t="s">
        <v>3188</v>
      </c>
      <c r="I479" s="2" t="s">
        <v>3189</v>
      </c>
      <c r="J479" s="2" t="s">
        <v>3190</v>
      </c>
      <c r="K479" s="2" t="s">
        <v>163</v>
      </c>
      <c r="L479" s="2" t="s">
        <v>3191</v>
      </c>
      <c r="M479" s="2">
        <v>23.0</v>
      </c>
      <c r="N479" s="2">
        <v>6162.78</v>
      </c>
      <c r="O479" s="2" t="s">
        <v>41</v>
      </c>
      <c r="P479" s="2" t="s">
        <v>578</v>
      </c>
      <c r="Q479" s="2" t="s">
        <v>3192</v>
      </c>
      <c r="T479" s="2" t="s">
        <v>119</v>
      </c>
      <c r="U479" s="2" t="s">
        <v>33</v>
      </c>
    </row>
    <row r="480">
      <c r="A480" s="2">
        <v>479.0</v>
      </c>
      <c r="B480" s="2">
        <v>479.0</v>
      </c>
      <c r="C480" s="2">
        <v>479.0</v>
      </c>
      <c r="D480" s="3">
        <v>43912.0</v>
      </c>
      <c r="E480" s="2" t="s">
        <v>1758</v>
      </c>
      <c r="F480" s="2" t="s">
        <v>342</v>
      </c>
      <c r="G480" s="2">
        <v>842.44</v>
      </c>
      <c r="H480" s="2" t="s">
        <v>3193</v>
      </c>
      <c r="I480" s="2" t="s">
        <v>3194</v>
      </c>
      <c r="J480" s="2" t="s">
        <v>3195</v>
      </c>
      <c r="K480" s="2" t="s">
        <v>225</v>
      </c>
      <c r="M480" s="2">
        <v>13.0</v>
      </c>
      <c r="N480" s="2">
        <v>6587.86</v>
      </c>
      <c r="O480" s="2" t="s">
        <v>28</v>
      </c>
      <c r="P480" s="2" t="s">
        <v>3196</v>
      </c>
      <c r="Q480" s="2" t="s">
        <v>3197</v>
      </c>
      <c r="T480" s="2" t="s">
        <v>1826</v>
      </c>
      <c r="U480" s="2" t="s">
        <v>46</v>
      </c>
    </row>
    <row r="481">
      <c r="A481" s="2">
        <v>480.0</v>
      </c>
      <c r="B481" s="2">
        <v>480.0</v>
      </c>
      <c r="C481" s="2">
        <v>480.0</v>
      </c>
      <c r="D481" s="3">
        <v>44128.0</v>
      </c>
      <c r="E481" s="2" t="s">
        <v>3198</v>
      </c>
      <c r="F481" s="2" t="s">
        <v>142</v>
      </c>
      <c r="G481" s="2">
        <v>377.84</v>
      </c>
      <c r="H481" s="2" t="s">
        <v>3199</v>
      </c>
      <c r="I481" s="2" t="s">
        <v>3200</v>
      </c>
      <c r="J481" s="2" t="s">
        <v>3201</v>
      </c>
      <c r="K481" s="2" t="s">
        <v>393</v>
      </c>
      <c r="M481" s="2">
        <v>93.0</v>
      </c>
      <c r="N481" s="2">
        <v>5311.46</v>
      </c>
      <c r="O481" s="2" t="s">
        <v>28</v>
      </c>
      <c r="P481" s="2" t="s">
        <v>3202</v>
      </c>
      <c r="Q481" s="2" t="s">
        <v>3203</v>
      </c>
      <c r="T481" s="2" t="s">
        <v>119</v>
      </c>
      <c r="U481" s="2" t="s">
        <v>71</v>
      </c>
    </row>
    <row r="482">
      <c r="A482" s="2">
        <v>481.0</v>
      </c>
      <c r="B482" s="2">
        <v>481.0</v>
      </c>
      <c r="C482" s="2">
        <v>481.0</v>
      </c>
      <c r="D482" s="3">
        <v>44511.0</v>
      </c>
      <c r="E482" s="2" t="s">
        <v>3204</v>
      </c>
      <c r="F482" s="2" t="s">
        <v>230</v>
      </c>
      <c r="G482" s="2">
        <v>213.15</v>
      </c>
      <c r="H482" s="2" t="s">
        <v>3205</v>
      </c>
      <c r="I482" s="2" t="s">
        <v>3206</v>
      </c>
      <c r="J482" s="2" t="s">
        <v>3207</v>
      </c>
      <c r="K482" s="2" t="s">
        <v>26</v>
      </c>
      <c r="L482" s="2" t="s">
        <v>3208</v>
      </c>
      <c r="M482" s="2">
        <v>44.0</v>
      </c>
      <c r="N482" s="2">
        <v>2455.42</v>
      </c>
      <c r="O482" s="2" t="s">
        <v>28</v>
      </c>
      <c r="P482" s="2" t="s">
        <v>743</v>
      </c>
      <c r="Q482" s="2" t="s">
        <v>3209</v>
      </c>
      <c r="R482" s="2" t="s">
        <v>682</v>
      </c>
      <c r="T482" s="2" t="s">
        <v>32</v>
      </c>
      <c r="U482" s="2" t="s">
        <v>33</v>
      </c>
    </row>
    <row r="483">
      <c r="A483" s="2">
        <v>482.0</v>
      </c>
      <c r="B483" s="2">
        <v>482.0</v>
      </c>
      <c r="C483" s="2">
        <v>482.0</v>
      </c>
      <c r="D483" s="3">
        <v>44435.0</v>
      </c>
      <c r="E483" s="2" t="s">
        <v>3210</v>
      </c>
      <c r="F483" s="2" t="s">
        <v>142</v>
      </c>
      <c r="G483" s="2">
        <v>675.5</v>
      </c>
      <c r="H483" s="2" t="s">
        <v>3211</v>
      </c>
      <c r="I483" s="2" t="s">
        <v>3212</v>
      </c>
      <c r="J483" s="2" t="s">
        <v>3213</v>
      </c>
      <c r="K483" s="2" t="s">
        <v>119</v>
      </c>
      <c r="M483" s="2">
        <v>10.0</v>
      </c>
      <c r="N483" s="2">
        <v>4616.71</v>
      </c>
      <c r="O483" s="2" t="s">
        <v>41</v>
      </c>
      <c r="P483" s="2" t="s">
        <v>3214</v>
      </c>
      <c r="Q483" s="2" t="s">
        <v>3215</v>
      </c>
      <c r="T483" s="2" t="s">
        <v>3216</v>
      </c>
      <c r="U483" s="2" t="s">
        <v>33</v>
      </c>
    </row>
    <row r="484">
      <c r="A484" s="2">
        <v>483.0</v>
      </c>
      <c r="B484" s="2">
        <v>483.0</v>
      </c>
      <c r="C484" s="2">
        <v>483.0</v>
      </c>
      <c r="D484" s="3">
        <v>44245.0</v>
      </c>
      <c r="E484" s="2" t="s">
        <v>3217</v>
      </c>
      <c r="F484" s="2" t="s">
        <v>35</v>
      </c>
      <c r="G484" s="2">
        <v>25.66</v>
      </c>
      <c r="H484" s="2" t="s">
        <v>3218</v>
      </c>
      <c r="I484" s="2" t="s">
        <v>3219</v>
      </c>
      <c r="J484" s="2" t="s">
        <v>3220</v>
      </c>
      <c r="K484" s="2" t="s">
        <v>68</v>
      </c>
      <c r="L484" s="2">
        <v>634506.0</v>
      </c>
      <c r="M484" s="2">
        <v>82.0</v>
      </c>
      <c r="N484" s="2">
        <v>1608.36</v>
      </c>
      <c r="O484" s="2" t="s">
        <v>52</v>
      </c>
      <c r="P484" s="2" t="s">
        <v>3221</v>
      </c>
      <c r="Q484" s="2" t="s">
        <v>3222</v>
      </c>
      <c r="T484" s="2" t="s">
        <v>119</v>
      </c>
      <c r="U484" s="2" t="s">
        <v>46</v>
      </c>
    </row>
    <row r="485">
      <c r="A485" s="2">
        <v>484.0</v>
      </c>
      <c r="B485" s="2">
        <v>484.0</v>
      </c>
      <c r="C485" s="2">
        <v>484.0</v>
      </c>
      <c r="D485" s="3">
        <v>44251.0</v>
      </c>
      <c r="E485" s="2" t="s">
        <v>3223</v>
      </c>
      <c r="F485" s="2" t="s">
        <v>623</v>
      </c>
      <c r="G485" s="2">
        <v>936.81</v>
      </c>
      <c r="H485" s="2" t="s">
        <v>3224</v>
      </c>
      <c r="I485" s="2" t="s">
        <v>3225</v>
      </c>
      <c r="J485" s="2" t="s">
        <v>3226</v>
      </c>
      <c r="K485" s="2" t="s">
        <v>119</v>
      </c>
      <c r="M485" s="2">
        <v>51.0</v>
      </c>
      <c r="N485" s="2">
        <v>5412.12</v>
      </c>
      <c r="O485" s="2" t="s">
        <v>41</v>
      </c>
      <c r="P485" s="2" t="s">
        <v>3227</v>
      </c>
      <c r="Q485" s="2" t="s">
        <v>3228</v>
      </c>
      <c r="S485" s="2">
        <v>1509.0</v>
      </c>
      <c r="T485" s="2" t="s">
        <v>131</v>
      </c>
      <c r="U485" s="2" t="s">
        <v>33</v>
      </c>
    </row>
    <row r="486">
      <c r="A486" s="2">
        <v>485.0</v>
      </c>
      <c r="B486" s="2">
        <v>485.0</v>
      </c>
      <c r="C486" s="2">
        <v>485.0</v>
      </c>
      <c r="D486" s="3">
        <v>43963.0</v>
      </c>
      <c r="E486" s="2" t="s">
        <v>3229</v>
      </c>
      <c r="F486" s="2" t="s">
        <v>3230</v>
      </c>
      <c r="G486" s="2">
        <v>546.49</v>
      </c>
      <c r="H486" s="2" t="s">
        <v>3231</v>
      </c>
      <c r="I486" s="2" t="s">
        <v>3232</v>
      </c>
      <c r="J486" s="2" t="s">
        <v>3233</v>
      </c>
      <c r="K486" s="2" t="s">
        <v>32</v>
      </c>
      <c r="M486" s="2">
        <v>42.0</v>
      </c>
      <c r="N486" s="2">
        <v>945.21</v>
      </c>
      <c r="O486" s="2" t="s">
        <v>28</v>
      </c>
      <c r="P486" s="2" t="s">
        <v>300</v>
      </c>
      <c r="Q486" s="2" t="s">
        <v>3234</v>
      </c>
      <c r="S486" s="2">
        <v>3205.0</v>
      </c>
      <c r="T486" s="2" t="s">
        <v>460</v>
      </c>
      <c r="U486" s="2" t="s">
        <v>71</v>
      </c>
    </row>
    <row r="487">
      <c r="A487" s="2">
        <v>486.0</v>
      </c>
      <c r="B487" s="2">
        <v>486.0</v>
      </c>
      <c r="C487" s="2">
        <v>486.0</v>
      </c>
      <c r="D487" s="3">
        <v>44533.0</v>
      </c>
      <c r="E487" s="2" t="s">
        <v>3235</v>
      </c>
      <c r="F487" s="2" t="s">
        <v>183</v>
      </c>
      <c r="G487" s="2">
        <v>227.28</v>
      </c>
      <c r="H487" s="2" t="s">
        <v>3236</v>
      </c>
      <c r="I487" s="2" t="s">
        <v>3237</v>
      </c>
      <c r="J487" s="2" t="s">
        <v>3238</v>
      </c>
      <c r="K487" s="2" t="s">
        <v>257</v>
      </c>
      <c r="L487" s="2" t="s">
        <v>3239</v>
      </c>
      <c r="M487" s="2">
        <v>91.0</v>
      </c>
      <c r="N487" s="2">
        <v>8100.07</v>
      </c>
      <c r="O487" s="2" t="s">
        <v>28</v>
      </c>
      <c r="P487" s="2" t="s">
        <v>3240</v>
      </c>
      <c r="Q487" s="2" t="s">
        <v>3241</v>
      </c>
      <c r="R487" s="2" t="s">
        <v>349</v>
      </c>
      <c r="T487" s="2" t="s">
        <v>32</v>
      </c>
      <c r="U487" s="2" t="s">
        <v>71</v>
      </c>
    </row>
    <row r="488">
      <c r="A488" s="2">
        <v>487.0</v>
      </c>
      <c r="B488" s="2">
        <v>487.0</v>
      </c>
      <c r="C488" s="2">
        <v>487.0</v>
      </c>
      <c r="D488" s="3">
        <v>43969.0</v>
      </c>
      <c r="E488" s="2" t="s">
        <v>3242</v>
      </c>
      <c r="F488" s="2" t="s">
        <v>191</v>
      </c>
      <c r="G488" s="2">
        <v>703.32</v>
      </c>
      <c r="H488" s="2" t="s">
        <v>3243</v>
      </c>
      <c r="I488" s="2" t="s">
        <v>3244</v>
      </c>
      <c r="J488" s="2" t="s">
        <v>3245</v>
      </c>
      <c r="K488" s="2" t="s">
        <v>119</v>
      </c>
      <c r="M488" s="2">
        <v>62.0</v>
      </c>
      <c r="N488" s="2">
        <v>8116.81</v>
      </c>
      <c r="O488" s="2" t="s">
        <v>41</v>
      </c>
      <c r="P488" s="2" t="s">
        <v>3246</v>
      </c>
      <c r="Q488" s="2" t="s">
        <v>3247</v>
      </c>
      <c r="T488" s="2" t="s">
        <v>119</v>
      </c>
      <c r="U488" s="2" t="s">
        <v>46</v>
      </c>
    </row>
    <row r="489">
      <c r="A489" s="2">
        <v>488.0</v>
      </c>
      <c r="B489" s="2">
        <v>488.0</v>
      </c>
      <c r="C489" s="2">
        <v>488.0</v>
      </c>
      <c r="D489" s="3">
        <v>44077.0</v>
      </c>
      <c r="E489" s="2" t="s">
        <v>3248</v>
      </c>
      <c r="F489" s="2" t="s">
        <v>3249</v>
      </c>
      <c r="G489" s="2">
        <v>87.61</v>
      </c>
      <c r="H489" s="2" t="s">
        <v>3250</v>
      </c>
      <c r="I489" s="2" t="s">
        <v>3251</v>
      </c>
      <c r="J489" s="2" t="s">
        <v>3252</v>
      </c>
      <c r="K489" s="2" t="s">
        <v>32</v>
      </c>
      <c r="M489" s="2">
        <v>25.0</v>
      </c>
      <c r="N489" s="2">
        <v>6386.09</v>
      </c>
      <c r="O489" s="2" t="s">
        <v>28</v>
      </c>
      <c r="P489" s="2" t="s">
        <v>3253</v>
      </c>
      <c r="Q489" s="2" t="s">
        <v>3254</v>
      </c>
      <c r="T489" s="2" t="s">
        <v>77</v>
      </c>
      <c r="U489" s="2" t="s">
        <v>33</v>
      </c>
    </row>
    <row r="490">
      <c r="A490" s="2">
        <v>489.0</v>
      </c>
      <c r="B490" s="2">
        <v>489.0</v>
      </c>
      <c r="C490" s="2">
        <v>489.0</v>
      </c>
      <c r="D490" s="3">
        <v>44349.0</v>
      </c>
      <c r="E490" s="2" t="s">
        <v>1915</v>
      </c>
      <c r="F490" s="2" t="s">
        <v>965</v>
      </c>
      <c r="G490" s="2">
        <v>601.12</v>
      </c>
      <c r="H490" s="2" t="s">
        <v>3255</v>
      </c>
      <c r="I490" s="2" t="s">
        <v>3256</v>
      </c>
      <c r="J490" s="2" t="s">
        <v>3257</v>
      </c>
      <c r="K490" s="2" t="s">
        <v>393</v>
      </c>
      <c r="M490" s="2">
        <v>60.0</v>
      </c>
      <c r="N490" s="2">
        <v>3188.26</v>
      </c>
      <c r="O490" s="2" t="s">
        <v>41</v>
      </c>
      <c r="P490" s="2" t="s">
        <v>3258</v>
      </c>
      <c r="Q490" s="2" t="s">
        <v>3259</v>
      </c>
      <c r="T490" s="2" t="s">
        <v>363</v>
      </c>
      <c r="U490" s="2" t="s">
        <v>33</v>
      </c>
    </row>
    <row r="491">
      <c r="A491" s="2">
        <v>490.0</v>
      </c>
      <c r="B491" s="2">
        <v>490.0</v>
      </c>
      <c r="C491" s="2">
        <v>490.0</v>
      </c>
      <c r="D491" s="3">
        <v>44321.0</v>
      </c>
      <c r="E491" s="2" t="s">
        <v>1797</v>
      </c>
      <c r="F491" s="2" t="s">
        <v>662</v>
      </c>
      <c r="G491" s="2">
        <v>365.13</v>
      </c>
      <c r="H491" s="2" t="s">
        <v>3260</v>
      </c>
      <c r="I491" s="2" t="s">
        <v>3261</v>
      </c>
      <c r="J491" s="2" t="s">
        <v>3262</v>
      </c>
      <c r="K491" s="2" t="s">
        <v>3263</v>
      </c>
      <c r="M491" s="2">
        <v>7.0</v>
      </c>
      <c r="N491" s="2">
        <v>6152.96</v>
      </c>
      <c r="O491" s="2" t="s">
        <v>52</v>
      </c>
      <c r="P491" s="2" t="s">
        <v>259</v>
      </c>
      <c r="Q491" s="2" t="s">
        <v>3264</v>
      </c>
      <c r="T491" s="2" t="s">
        <v>3265</v>
      </c>
      <c r="U491" s="2" t="s">
        <v>46</v>
      </c>
    </row>
    <row r="492">
      <c r="A492" s="2">
        <v>491.0</v>
      </c>
      <c r="B492" s="2">
        <v>491.0</v>
      </c>
      <c r="C492" s="2">
        <v>491.0</v>
      </c>
      <c r="D492" s="3">
        <v>44217.0</v>
      </c>
      <c r="E492" s="2" t="s">
        <v>779</v>
      </c>
      <c r="F492" s="2" t="s">
        <v>35</v>
      </c>
      <c r="G492" s="2">
        <v>189.81</v>
      </c>
      <c r="H492" s="2" t="s">
        <v>3266</v>
      </c>
      <c r="I492" s="2" t="s">
        <v>3267</v>
      </c>
      <c r="J492" s="2" t="s">
        <v>3268</v>
      </c>
      <c r="K492" s="2" t="s">
        <v>163</v>
      </c>
      <c r="L492" s="2" t="s">
        <v>3269</v>
      </c>
      <c r="M492" s="2">
        <v>43.0</v>
      </c>
      <c r="N492" s="2">
        <v>1367.95</v>
      </c>
      <c r="O492" s="2" t="s">
        <v>41</v>
      </c>
      <c r="P492" s="2" t="s">
        <v>424</v>
      </c>
      <c r="Q492" s="2" t="s">
        <v>3270</v>
      </c>
      <c r="S492" s="2">
        <v>7500.0</v>
      </c>
      <c r="T492" s="2" t="s">
        <v>796</v>
      </c>
      <c r="U492" s="2" t="s">
        <v>46</v>
      </c>
    </row>
    <row r="493">
      <c r="A493" s="2">
        <v>492.0</v>
      </c>
      <c r="B493" s="2">
        <v>492.0</v>
      </c>
      <c r="C493" s="2">
        <v>492.0</v>
      </c>
      <c r="D493" s="3">
        <v>44513.0</v>
      </c>
      <c r="E493" s="2" t="s">
        <v>2385</v>
      </c>
      <c r="F493" s="2" t="s">
        <v>501</v>
      </c>
      <c r="G493" s="2">
        <v>358.98</v>
      </c>
      <c r="H493" s="2" t="s">
        <v>3271</v>
      </c>
      <c r="I493" s="2" t="s">
        <v>3272</v>
      </c>
      <c r="J493" s="2" t="s">
        <v>3273</v>
      </c>
      <c r="K493" s="2" t="s">
        <v>1450</v>
      </c>
      <c r="M493" s="2">
        <v>66.0</v>
      </c>
      <c r="N493" s="2">
        <v>5950.65</v>
      </c>
      <c r="O493" s="2" t="s">
        <v>41</v>
      </c>
      <c r="P493" s="2" t="s">
        <v>996</v>
      </c>
      <c r="Q493" s="2" t="s">
        <v>3274</v>
      </c>
      <c r="S493" s="2">
        <v>97600.0</v>
      </c>
      <c r="T493" s="2" t="s">
        <v>3275</v>
      </c>
      <c r="U493" s="2" t="s">
        <v>71</v>
      </c>
    </row>
    <row r="494">
      <c r="A494" s="2">
        <v>493.0</v>
      </c>
      <c r="B494" s="2">
        <v>493.0</v>
      </c>
      <c r="C494" s="2">
        <v>493.0</v>
      </c>
      <c r="D494" s="3">
        <v>44373.0</v>
      </c>
      <c r="E494" s="2" t="s">
        <v>3276</v>
      </c>
      <c r="F494" s="2" t="s">
        <v>413</v>
      </c>
      <c r="G494" s="2">
        <v>654.05</v>
      </c>
      <c r="H494" s="2" t="s">
        <v>3277</v>
      </c>
      <c r="I494" s="2" t="s">
        <v>3278</v>
      </c>
      <c r="J494" s="2" t="s">
        <v>3279</v>
      </c>
      <c r="K494" s="2" t="s">
        <v>478</v>
      </c>
      <c r="M494" s="2">
        <v>29.0</v>
      </c>
      <c r="N494" s="2">
        <v>9605.63</v>
      </c>
      <c r="O494" s="2" t="s">
        <v>41</v>
      </c>
      <c r="P494" s="2" t="s">
        <v>3280</v>
      </c>
      <c r="Q494" s="2" t="s">
        <v>3281</v>
      </c>
      <c r="T494" s="2" t="s">
        <v>32</v>
      </c>
      <c r="U494" s="2" t="s">
        <v>71</v>
      </c>
    </row>
    <row r="495">
      <c r="A495" s="2">
        <v>494.0</v>
      </c>
      <c r="B495" s="2">
        <v>494.0</v>
      </c>
      <c r="C495" s="2">
        <v>494.0</v>
      </c>
      <c r="D495" s="3">
        <v>44536.0</v>
      </c>
      <c r="E495" s="2" t="s">
        <v>3282</v>
      </c>
      <c r="F495" s="2" t="s">
        <v>142</v>
      </c>
      <c r="G495" s="2">
        <v>694.67</v>
      </c>
      <c r="H495" s="2" t="s">
        <v>3283</v>
      </c>
      <c r="I495" s="2" t="s">
        <v>3284</v>
      </c>
      <c r="J495" s="2" t="s">
        <v>3285</v>
      </c>
      <c r="K495" s="2" t="s">
        <v>163</v>
      </c>
      <c r="L495" s="2" t="s">
        <v>3286</v>
      </c>
      <c r="M495" s="2">
        <v>49.0</v>
      </c>
      <c r="N495" s="2">
        <v>8913.41</v>
      </c>
      <c r="O495" s="2" t="s">
        <v>41</v>
      </c>
      <c r="P495" s="2" t="s">
        <v>3287</v>
      </c>
      <c r="Q495" s="2" t="s">
        <v>3288</v>
      </c>
      <c r="S495" s="2" t="s">
        <v>3289</v>
      </c>
      <c r="T495" s="2" t="s">
        <v>106</v>
      </c>
      <c r="U495" s="2" t="s">
        <v>71</v>
      </c>
    </row>
    <row r="496">
      <c r="A496" s="2">
        <v>495.0</v>
      </c>
      <c r="B496" s="2">
        <v>495.0</v>
      </c>
      <c r="C496" s="2">
        <v>495.0</v>
      </c>
      <c r="D496" s="3">
        <v>44349.0</v>
      </c>
      <c r="E496" s="2" t="s">
        <v>3290</v>
      </c>
      <c r="F496" s="2" t="s">
        <v>623</v>
      </c>
      <c r="G496" s="2">
        <v>663.27</v>
      </c>
      <c r="H496" s="2" t="s">
        <v>3291</v>
      </c>
      <c r="I496" s="2" t="s">
        <v>3292</v>
      </c>
      <c r="J496" s="2" t="s">
        <v>3293</v>
      </c>
      <c r="K496" s="2" t="s">
        <v>119</v>
      </c>
      <c r="M496" s="2">
        <v>62.0</v>
      </c>
      <c r="N496" s="2">
        <v>3663.15</v>
      </c>
      <c r="O496" s="2" t="s">
        <v>41</v>
      </c>
      <c r="P496" s="2" t="s">
        <v>300</v>
      </c>
      <c r="Q496" s="2" t="s">
        <v>3294</v>
      </c>
      <c r="T496" s="2" t="s">
        <v>32</v>
      </c>
      <c r="U496" s="2" t="s">
        <v>71</v>
      </c>
    </row>
    <row r="497">
      <c r="A497" s="2">
        <v>496.0</v>
      </c>
      <c r="B497" s="2">
        <v>496.0</v>
      </c>
      <c r="C497" s="2">
        <v>496.0</v>
      </c>
      <c r="D497" s="3">
        <v>44358.0</v>
      </c>
      <c r="E497" s="2" t="s">
        <v>3295</v>
      </c>
      <c r="F497" s="2" t="s">
        <v>1012</v>
      </c>
      <c r="G497" s="2">
        <v>62.71</v>
      </c>
      <c r="H497" s="2" t="s">
        <v>3296</v>
      </c>
      <c r="I497" s="2" t="s">
        <v>3297</v>
      </c>
      <c r="J497" s="2" t="s">
        <v>3298</v>
      </c>
      <c r="K497" s="2" t="s">
        <v>137</v>
      </c>
      <c r="M497" s="2">
        <v>100.0</v>
      </c>
      <c r="N497" s="2">
        <v>2033.97</v>
      </c>
      <c r="O497" s="2" t="s">
        <v>41</v>
      </c>
      <c r="P497" s="2" t="s">
        <v>3299</v>
      </c>
      <c r="Q497" s="2" t="s">
        <v>3300</v>
      </c>
      <c r="T497" s="2" t="s">
        <v>225</v>
      </c>
      <c r="U497" s="2" t="s">
        <v>46</v>
      </c>
    </row>
    <row r="498">
      <c r="A498" s="2">
        <v>497.0</v>
      </c>
      <c r="B498" s="2">
        <v>497.0</v>
      </c>
      <c r="C498" s="2">
        <v>497.0</v>
      </c>
      <c r="D498" s="3">
        <v>43937.0</v>
      </c>
      <c r="E498" s="2" t="s">
        <v>3301</v>
      </c>
      <c r="F498" s="2" t="s">
        <v>73</v>
      </c>
      <c r="G498" s="2">
        <v>902.43</v>
      </c>
      <c r="H498" s="2" t="s">
        <v>3302</v>
      </c>
      <c r="I498" s="2" t="s">
        <v>3303</v>
      </c>
      <c r="J498" s="2" t="s">
        <v>3304</v>
      </c>
      <c r="K498" s="2" t="s">
        <v>1363</v>
      </c>
      <c r="M498" s="2">
        <v>72.0</v>
      </c>
      <c r="N498" s="2">
        <v>8836.44</v>
      </c>
      <c r="O498" s="2" t="s">
        <v>41</v>
      </c>
      <c r="P498" s="2" t="s">
        <v>277</v>
      </c>
      <c r="Q498" s="2" t="s">
        <v>3305</v>
      </c>
      <c r="T498" s="2" t="s">
        <v>225</v>
      </c>
      <c r="U498" s="2" t="s">
        <v>33</v>
      </c>
    </row>
    <row r="499">
      <c r="A499" s="2">
        <v>498.0</v>
      </c>
      <c r="B499" s="2">
        <v>498.0</v>
      </c>
      <c r="C499" s="2">
        <v>498.0</v>
      </c>
      <c r="D499" s="3">
        <v>44080.0</v>
      </c>
      <c r="E499" s="2" t="s">
        <v>3306</v>
      </c>
      <c r="F499" s="2" t="s">
        <v>237</v>
      </c>
      <c r="G499" s="2">
        <v>91.25</v>
      </c>
      <c r="H499" s="2" t="s">
        <v>3307</v>
      </c>
      <c r="I499" s="2" t="s">
        <v>3308</v>
      </c>
      <c r="J499" s="2" t="s">
        <v>3309</v>
      </c>
      <c r="K499" s="2" t="s">
        <v>627</v>
      </c>
      <c r="L499" s="2">
        <v>83120.0</v>
      </c>
      <c r="M499" s="2">
        <v>87.0</v>
      </c>
      <c r="N499" s="2">
        <v>6666.96</v>
      </c>
      <c r="O499" s="2" t="s">
        <v>41</v>
      </c>
      <c r="P499" s="2" t="s">
        <v>3310</v>
      </c>
      <c r="Q499" s="2" t="s">
        <v>3311</v>
      </c>
      <c r="T499" s="2" t="s">
        <v>119</v>
      </c>
      <c r="U499" s="2" t="s">
        <v>33</v>
      </c>
    </row>
    <row r="500">
      <c r="A500" s="2">
        <v>499.0</v>
      </c>
      <c r="B500" s="2">
        <v>499.0</v>
      </c>
      <c r="C500" s="2">
        <v>499.0</v>
      </c>
      <c r="D500" s="3">
        <v>44137.0</v>
      </c>
      <c r="E500" s="2" t="s">
        <v>3312</v>
      </c>
      <c r="F500" s="2" t="s">
        <v>133</v>
      </c>
      <c r="G500" s="2">
        <v>742.93</v>
      </c>
      <c r="H500" s="2" t="s">
        <v>3313</v>
      </c>
      <c r="I500" s="2" t="s">
        <v>3314</v>
      </c>
      <c r="J500" s="2" t="s">
        <v>3315</v>
      </c>
      <c r="K500" s="2" t="s">
        <v>68</v>
      </c>
      <c r="L500" s="2">
        <v>347837.0</v>
      </c>
      <c r="M500" s="2">
        <v>33.0</v>
      </c>
      <c r="N500" s="2">
        <v>1771.75</v>
      </c>
      <c r="O500" s="2" t="s">
        <v>52</v>
      </c>
      <c r="P500" s="2" t="s">
        <v>3316</v>
      </c>
      <c r="Q500" s="2" t="s">
        <v>3317</v>
      </c>
      <c r="T500" s="2" t="s">
        <v>292</v>
      </c>
      <c r="U500" s="2" t="s">
        <v>71</v>
      </c>
    </row>
    <row r="501">
      <c r="A501" s="2">
        <v>500.0</v>
      </c>
      <c r="B501" s="2">
        <v>500.0</v>
      </c>
      <c r="C501" s="2">
        <v>500.0</v>
      </c>
      <c r="D501" s="3">
        <v>44484.0</v>
      </c>
      <c r="E501" s="2" t="s">
        <v>603</v>
      </c>
      <c r="F501" s="2" t="s">
        <v>230</v>
      </c>
      <c r="G501" s="2">
        <v>68.52</v>
      </c>
      <c r="H501" s="2" t="s">
        <v>3318</v>
      </c>
      <c r="I501" s="2" t="s">
        <v>3319</v>
      </c>
      <c r="J501" s="2" t="s">
        <v>3320</v>
      </c>
      <c r="K501" s="2" t="s">
        <v>241</v>
      </c>
      <c r="L501" s="2">
        <v>3122.0</v>
      </c>
      <c r="M501" s="2">
        <v>51.0</v>
      </c>
      <c r="N501" s="2">
        <v>3359.77</v>
      </c>
      <c r="O501" s="2" t="s">
        <v>28</v>
      </c>
      <c r="P501" s="2" t="s">
        <v>3179</v>
      </c>
      <c r="Q501" s="2" t="s">
        <v>3321</v>
      </c>
      <c r="T501" s="2" t="s">
        <v>32</v>
      </c>
      <c r="U501" s="2" t="s">
        <v>33</v>
      </c>
    </row>
    <row r="502">
      <c r="A502" s="2">
        <v>501.0</v>
      </c>
      <c r="B502" s="2">
        <v>501.0</v>
      </c>
      <c r="C502" s="2">
        <v>501.0</v>
      </c>
      <c r="D502" s="3">
        <v>44307.0</v>
      </c>
      <c r="E502" s="2" t="s">
        <v>3322</v>
      </c>
      <c r="F502" s="2" t="s">
        <v>198</v>
      </c>
      <c r="G502" s="2">
        <v>287.27</v>
      </c>
      <c r="H502" s="2" t="s">
        <v>3323</v>
      </c>
      <c r="I502" s="2" t="s">
        <v>3324</v>
      </c>
      <c r="J502" s="2" t="s">
        <v>3325</v>
      </c>
      <c r="K502" s="2" t="s">
        <v>379</v>
      </c>
      <c r="L502" s="2" t="s">
        <v>3326</v>
      </c>
      <c r="M502" s="2">
        <v>95.0</v>
      </c>
      <c r="N502" s="2">
        <v>4322.41</v>
      </c>
      <c r="O502" s="2" t="s">
        <v>52</v>
      </c>
      <c r="P502" s="2" t="s">
        <v>3327</v>
      </c>
      <c r="Q502" s="2" t="s">
        <v>3328</v>
      </c>
      <c r="R502" s="2" t="s">
        <v>2817</v>
      </c>
      <c r="T502" s="2" t="s">
        <v>32</v>
      </c>
      <c r="U502" s="2" t="s">
        <v>46</v>
      </c>
    </row>
    <row r="503">
      <c r="A503" s="2">
        <v>502.0</v>
      </c>
      <c r="B503" s="2">
        <v>502.0</v>
      </c>
      <c r="C503" s="2">
        <v>502.0</v>
      </c>
      <c r="D503" s="3">
        <v>44130.0</v>
      </c>
      <c r="E503" s="2" t="s">
        <v>3329</v>
      </c>
      <c r="F503" s="2" t="s">
        <v>3330</v>
      </c>
      <c r="G503" s="2">
        <v>812.25</v>
      </c>
      <c r="H503" s="2" t="s">
        <v>3331</v>
      </c>
      <c r="I503" s="2" t="s">
        <v>3332</v>
      </c>
      <c r="J503" s="2" t="s">
        <v>3333</v>
      </c>
      <c r="K503" s="2" t="s">
        <v>26</v>
      </c>
      <c r="L503" s="2" t="s">
        <v>2283</v>
      </c>
      <c r="M503" s="2">
        <v>83.0</v>
      </c>
      <c r="N503" s="2">
        <v>1931.48</v>
      </c>
      <c r="O503" s="2" t="s">
        <v>41</v>
      </c>
      <c r="P503" s="2" t="s">
        <v>3334</v>
      </c>
      <c r="Q503" s="2" t="s">
        <v>2285</v>
      </c>
      <c r="R503" s="2" t="s">
        <v>682</v>
      </c>
      <c r="S503" s="2">
        <v>28015.0</v>
      </c>
      <c r="T503" s="2" t="s">
        <v>3335</v>
      </c>
      <c r="U503" s="2" t="s">
        <v>46</v>
      </c>
    </row>
    <row r="504">
      <c r="A504" s="2">
        <v>503.0</v>
      </c>
      <c r="B504" s="2">
        <v>503.0</v>
      </c>
      <c r="C504" s="2">
        <v>503.0</v>
      </c>
      <c r="D504" s="3">
        <v>44033.0</v>
      </c>
      <c r="E504" s="2" t="s">
        <v>3336</v>
      </c>
      <c r="F504" s="2" t="s">
        <v>48</v>
      </c>
      <c r="G504" s="2">
        <v>681.64</v>
      </c>
      <c r="H504" s="2" t="s">
        <v>3337</v>
      </c>
      <c r="I504" s="2" t="s">
        <v>3338</v>
      </c>
      <c r="J504" s="2" t="s">
        <v>3339</v>
      </c>
      <c r="K504" s="2" t="s">
        <v>650</v>
      </c>
      <c r="M504" s="2">
        <v>24.0</v>
      </c>
      <c r="N504" s="2">
        <v>9654.73</v>
      </c>
      <c r="O504" s="2" t="s">
        <v>41</v>
      </c>
      <c r="P504" s="2" t="s">
        <v>3340</v>
      </c>
      <c r="Q504" s="2" t="s">
        <v>3341</v>
      </c>
      <c r="S504" s="2">
        <v>2727.0</v>
      </c>
      <c r="T504" s="2" t="s">
        <v>241</v>
      </c>
      <c r="U504" s="2" t="s">
        <v>33</v>
      </c>
    </row>
    <row r="505">
      <c r="A505" s="2">
        <v>504.0</v>
      </c>
      <c r="B505" s="2">
        <v>504.0</v>
      </c>
      <c r="C505" s="2">
        <v>504.0</v>
      </c>
      <c r="D505" s="3">
        <v>44127.0</v>
      </c>
      <c r="E505" s="2" t="s">
        <v>3342</v>
      </c>
      <c r="F505" s="2" t="s">
        <v>2088</v>
      </c>
      <c r="G505" s="2">
        <v>652.17</v>
      </c>
      <c r="H505" s="2" t="s">
        <v>3343</v>
      </c>
      <c r="I505" s="2" t="s">
        <v>3344</v>
      </c>
      <c r="J505" s="2" t="s">
        <v>3345</v>
      </c>
      <c r="K505" s="2" t="s">
        <v>32</v>
      </c>
      <c r="M505" s="2">
        <v>66.0</v>
      </c>
      <c r="N505" s="2">
        <v>9146.71</v>
      </c>
      <c r="O505" s="2" t="s">
        <v>41</v>
      </c>
      <c r="P505" s="2" t="s">
        <v>3346</v>
      </c>
      <c r="Q505" s="2" t="s">
        <v>3347</v>
      </c>
      <c r="T505" s="2" t="s">
        <v>32</v>
      </c>
      <c r="U505" s="2" t="s">
        <v>33</v>
      </c>
    </row>
    <row r="506">
      <c r="A506" s="2">
        <v>505.0</v>
      </c>
      <c r="B506" s="2">
        <v>505.0</v>
      </c>
      <c r="C506" s="2">
        <v>505.0</v>
      </c>
      <c r="D506" s="3">
        <v>44030.0</v>
      </c>
      <c r="E506" s="2" t="s">
        <v>3348</v>
      </c>
      <c r="F506" s="2" t="s">
        <v>237</v>
      </c>
      <c r="G506" s="2">
        <v>79.01</v>
      </c>
      <c r="H506" s="2" t="s">
        <v>3349</v>
      </c>
      <c r="I506" s="2" t="s">
        <v>3350</v>
      </c>
      <c r="J506" s="2" t="s">
        <v>3351</v>
      </c>
      <c r="K506" s="2" t="s">
        <v>1227</v>
      </c>
      <c r="M506" s="2">
        <v>2.0</v>
      </c>
      <c r="N506" s="2">
        <v>893.11</v>
      </c>
      <c r="O506" s="2" t="s">
        <v>28</v>
      </c>
      <c r="P506" s="2" t="s">
        <v>939</v>
      </c>
      <c r="Q506" s="2" t="s">
        <v>3352</v>
      </c>
      <c r="T506" s="2" t="s">
        <v>32</v>
      </c>
      <c r="U506" s="2" t="s">
        <v>33</v>
      </c>
    </row>
    <row r="507">
      <c r="A507" s="2">
        <v>506.0</v>
      </c>
      <c r="B507" s="2">
        <v>506.0</v>
      </c>
      <c r="C507" s="2">
        <v>506.0</v>
      </c>
      <c r="D507" s="3">
        <v>43859.0</v>
      </c>
      <c r="E507" s="2" t="s">
        <v>3353</v>
      </c>
      <c r="F507" s="2" t="s">
        <v>710</v>
      </c>
      <c r="G507" s="2">
        <v>987.79</v>
      </c>
      <c r="H507" s="2" t="s">
        <v>3354</v>
      </c>
      <c r="I507" s="2" t="s">
        <v>3355</v>
      </c>
      <c r="J507" s="2" t="s">
        <v>3356</v>
      </c>
      <c r="K507" s="2" t="s">
        <v>163</v>
      </c>
      <c r="L507" s="2" t="s">
        <v>3357</v>
      </c>
      <c r="M507" s="2">
        <v>5.0</v>
      </c>
      <c r="N507" s="2">
        <v>3080.63</v>
      </c>
      <c r="O507" s="2" t="s">
        <v>52</v>
      </c>
      <c r="P507" s="2" t="s">
        <v>3358</v>
      </c>
      <c r="Q507" s="2" t="s">
        <v>3359</v>
      </c>
      <c r="S507" s="2" t="s">
        <v>3360</v>
      </c>
      <c r="T507" s="2" t="s">
        <v>106</v>
      </c>
      <c r="U507" s="2" t="s">
        <v>46</v>
      </c>
    </row>
    <row r="508">
      <c r="A508" s="2">
        <v>507.0</v>
      </c>
      <c r="B508" s="2">
        <v>507.0</v>
      </c>
      <c r="C508" s="2">
        <v>507.0</v>
      </c>
      <c r="D508" s="3">
        <v>44221.0</v>
      </c>
      <c r="E508" s="2" t="s">
        <v>3361</v>
      </c>
      <c r="F508" s="2" t="s">
        <v>3121</v>
      </c>
      <c r="G508" s="2">
        <v>602.42</v>
      </c>
      <c r="H508" s="2" t="s">
        <v>3362</v>
      </c>
      <c r="I508" s="2" t="s">
        <v>3363</v>
      </c>
      <c r="J508" s="2" t="s">
        <v>3364</v>
      </c>
      <c r="K508" s="2" t="s">
        <v>32</v>
      </c>
      <c r="M508" s="2">
        <v>93.0</v>
      </c>
      <c r="N508" s="2">
        <v>8422.24</v>
      </c>
      <c r="O508" s="2" t="s">
        <v>28</v>
      </c>
      <c r="P508" s="2" t="s">
        <v>3365</v>
      </c>
      <c r="Q508" s="2" t="s">
        <v>3366</v>
      </c>
      <c r="T508" s="2" t="s">
        <v>3216</v>
      </c>
      <c r="U508" s="2" t="s">
        <v>46</v>
      </c>
    </row>
    <row r="509">
      <c r="A509" s="2">
        <v>508.0</v>
      </c>
      <c r="B509" s="2">
        <v>508.0</v>
      </c>
      <c r="C509" s="2">
        <v>508.0</v>
      </c>
      <c r="D509" s="3">
        <v>44487.0</v>
      </c>
      <c r="E509" s="2" t="s">
        <v>2406</v>
      </c>
      <c r="F509" s="2" t="s">
        <v>965</v>
      </c>
      <c r="G509" s="2">
        <v>740.34</v>
      </c>
      <c r="H509" s="2" t="s">
        <v>3367</v>
      </c>
      <c r="I509" s="2" t="s">
        <v>3368</v>
      </c>
      <c r="J509" s="2" t="s">
        <v>3369</v>
      </c>
      <c r="K509" s="2" t="s">
        <v>529</v>
      </c>
      <c r="L509" s="2">
        <v>39266.0</v>
      </c>
      <c r="M509" s="2">
        <v>81.0</v>
      </c>
      <c r="N509" s="2">
        <v>5446.05</v>
      </c>
      <c r="O509" s="2" t="s">
        <v>52</v>
      </c>
      <c r="P509" s="2" t="s">
        <v>259</v>
      </c>
      <c r="Q509" s="2" t="s">
        <v>3370</v>
      </c>
      <c r="R509" s="2" t="s">
        <v>3371</v>
      </c>
      <c r="T509" s="2" t="s">
        <v>32</v>
      </c>
      <c r="U509" s="2" t="s">
        <v>71</v>
      </c>
    </row>
    <row r="510">
      <c r="A510" s="2">
        <v>509.0</v>
      </c>
      <c r="B510" s="2">
        <v>509.0</v>
      </c>
      <c r="C510" s="2">
        <v>509.0</v>
      </c>
      <c r="D510" s="3">
        <v>44337.0</v>
      </c>
      <c r="E510" s="2" t="s">
        <v>3372</v>
      </c>
      <c r="F510" s="2" t="s">
        <v>213</v>
      </c>
      <c r="G510" s="2">
        <v>749.48</v>
      </c>
      <c r="H510" s="2" t="s">
        <v>3373</v>
      </c>
      <c r="I510" s="2" t="s">
        <v>3374</v>
      </c>
      <c r="J510" s="2" t="s">
        <v>3375</v>
      </c>
      <c r="K510" s="2" t="s">
        <v>114</v>
      </c>
      <c r="L510" s="2" t="s">
        <v>3376</v>
      </c>
      <c r="M510" s="2">
        <v>75.0</v>
      </c>
      <c r="N510" s="2">
        <v>1446.95</v>
      </c>
      <c r="O510" s="2" t="s">
        <v>28</v>
      </c>
      <c r="P510" s="2" t="s">
        <v>3377</v>
      </c>
      <c r="Q510" s="2" t="s">
        <v>3378</v>
      </c>
      <c r="T510" s="2" t="s">
        <v>32</v>
      </c>
      <c r="U510" s="2" t="s">
        <v>71</v>
      </c>
    </row>
    <row r="511">
      <c r="A511" s="2">
        <v>510.0</v>
      </c>
      <c r="B511" s="2">
        <v>510.0</v>
      </c>
      <c r="C511" s="2">
        <v>510.0</v>
      </c>
      <c r="D511" s="3">
        <v>43974.0</v>
      </c>
      <c r="E511" s="2" t="s">
        <v>3379</v>
      </c>
      <c r="F511" s="2" t="s">
        <v>662</v>
      </c>
      <c r="G511" s="2">
        <v>954.19</v>
      </c>
      <c r="H511" s="2" t="s">
        <v>3380</v>
      </c>
      <c r="I511" s="2" t="s">
        <v>3381</v>
      </c>
      <c r="J511" s="2" t="s">
        <v>3382</v>
      </c>
      <c r="K511" s="2" t="s">
        <v>26</v>
      </c>
      <c r="L511" s="2" t="s">
        <v>3383</v>
      </c>
      <c r="M511" s="2">
        <v>89.0</v>
      </c>
      <c r="N511" s="2">
        <v>6881.97</v>
      </c>
      <c r="O511" s="2" t="s">
        <v>41</v>
      </c>
      <c r="P511" s="2" t="s">
        <v>3384</v>
      </c>
      <c r="Q511" s="2" t="s">
        <v>3385</v>
      </c>
      <c r="R511" s="2" t="s">
        <v>433</v>
      </c>
      <c r="S511" s="2" t="s">
        <v>3386</v>
      </c>
      <c r="T511" s="2" t="s">
        <v>163</v>
      </c>
      <c r="U511" s="2" t="s">
        <v>71</v>
      </c>
    </row>
    <row r="512">
      <c r="A512" s="2">
        <v>511.0</v>
      </c>
      <c r="B512" s="2">
        <v>511.0</v>
      </c>
      <c r="C512" s="2">
        <v>511.0</v>
      </c>
      <c r="D512" s="3">
        <v>44372.0</v>
      </c>
      <c r="E512" s="2" t="s">
        <v>3387</v>
      </c>
      <c r="F512" s="2" t="s">
        <v>97</v>
      </c>
      <c r="G512" s="2">
        <v>474.97</v>
      </c>
      <c r="H512" s="2" t="s">
        <v>3388</v>
      </c>
      <c r="I512" s="2" t="s">
        <v>3389</v>
      </c>
      <c r="J512" s="2" t="s">
        <v>3390</v>
      </c>
      <c r="K512" s="2" t="s">
        <v>32</v>
      </c>
      <c r="M512" s="2">
        <v>6.0</v>
      </c>
      <c r="N512" s="2">
        <v>2827.05</v>
      </c>
      <c r="O512" s="2" t="s">
        <v>41</v>
      </c>
      <c r="P512" s="2" t="s">
        <v>3391</v>
      </c>
      <c r="Q512" s="2" t="s">
        <v>3392</v>
      </c>
      <c r="T512" s="2" t="s">
        <v>3216</v>
      </c>
      <c r="U512" s="2" t="s">
        <v>33</v>
      </c>
    </row>
    <row r="513">
      <c r="A513" s="2">
        <v>512.0</v>
      </c>
      <c r="B513" s="2">
        <v>512.0</v>
      </c>
      <c r="C513" s="2">
        <v>512.0</v>
      </c>
      <c r="D513" s="3">
        <v>44279.0</v>
      </c>
      <c r="E513" s="2" t="s">
        <v>762</v>
      </c>
      <c r="F513" s="2" t="s">
        <v>623</v>
      </c>
      <c r="G513" s="2">
        <v>401.78</v>
      </c>
      <c r="H513" s="2" t="s">
        <v>3393</v>
      </c>
      <c r="I513" s="2" t="s">
        <v>3394</v>
      </c>
      <c r="J513" s="2" t="s">
        <v>3395</v>
      </c>
      <c r="K513" s="2" t="s">
        <v>249</v>
      </c>
      <c r="M513" s="2">
        <v>10.0</v>
      </c>
      <c r="N513" s="2">
        <v>2568.94</v>
      </c>
      <c r="O513" s="2" t="s">
        <v>41</v>
      </c>
      <c r="P513" s="2" t="s">
        <v>939</v>
      </c>
      <c r="Q513" s="2" t="s">
        <v>3396</v>
      </c>
      <c r="T513" s="2" t="s">
        <v>225</v>
      </c>
      <c r="U513" s="2" t="s">
        <v>71</v>
      </c>
    </row>
    <row r="514">
      <c r="A514" s="2">
        <v>513.0</v>
      </c>
      <c r="B514" s="2">
        <v>513.0</v>
      </c>
      <c r="C514" s="2">
        <v>513.0</v>
      </c>
      <c r="D514" s="3">
        <v>43954.0</v>
      </c>
      <c r="E514" s="2" t="s">
        <v>3397</v>
      </c>
      <c r="F514" s="2" t="s">
        <v>546</v>
      </c>
      <c r="G514" s="2">
        <v>44.29</v>
      </c>
      <c r="H514" s="2" t="s">
        <v>3398</v>
      </c>
      <c r="I514" s="2" t="s">
        <v>3399</v>
      </c>
      <c r="J514" s="2" t="s">
        <v>3400</v>
      </c>
      <c r="K514" s="2" t="s">
        <v>2949</v>
      </c>
      <c r="M514" s="2">
        <v>25.0</v>
      </c>
      <c r="N514" s="2">
        <v>6688.85</v>
      </c>
      <c r="O514" s="2" t="s">
        <v>52</v>
      </c>
      <c r="P514" s="2" t="s">
        <v>3401</v>
      </c>
      <c r="Q514" s="2" t="s">
        <v>3402</v>
      </c>
      <c r="S514" s="2" t="s">
        <v>3403</v>
      </c>
      <c r="T514" s="2" t="s">
        <v>114</v>
      </c>
      <c r="U514" s="2" t="s">
        <v>33</v>
      </c>
    </row>
    <row r="515">
      <c r="A515" s="2">
        <v>514.0</v>
      </c>
      <c r="B515" s="2">
        <v>514.0</v>
      </c>
      <c r="C515" s="2">
        <v>514.0</v>
      </c>
      <c r="D515" s="3">
        <v>44162.0</v>
      </c>
      <c r="E515" s="2" t="s">
        <v>3404</v>
      </c>
      <c r="F515" s="2" t="s">
        <v>3405</v>
      </c>
      <c r="G515" s="2">
        <v>623.2</v>
      </c>
      <c r="H515" s="2" t="s">
        <v>3406</v>
      </c>
      <c r="I515" s="2" t="s">
        <v>3407</v>
      </c>
      <c r="J515" s="2" t="s">
        <v>3408</v>
      </c>
      <c r="K515" s="2" t="s">
        <v>32</v>
      </c>
      <c r="M515" s="2">
        <v>79.0</v>
      </c>
      <c r="N515" s="2">
        <v>29.31</v>
      </c>
      <c r="O515" s="2" t="s">
        <v>52</v>
      </c>
      <c r="P515" s="2" t="s">
        <v>3409</v>
      </c>
      <c r="Q515" s="2" t="s">
        <v>3410</v>
      </c>
      <c r="S515" s="2" t="s">
        <v>3411</v>
      </c>
      <c r="T515" s="2" t="s">
        <v>379</v>
      </c>
      <c r="U515" s="2" t="s">
        <v>46</v>
      </c>
    </row>
    <row r="516">
      <c r="A516" s="2">
        <v>515.0</v>
      </c>
      <c r="B516" s="2">
        <v>515.0</v>
      </c>
      <c r="C516" s="2">
        <v>515.0</v>
      </c>
      <c r="D516" s="3">
        <v>44349.0</v>
      </c>
      <c r="E516" s="2" t="s">
        <v>3412</v>
      </c>
      <c r="F516" s="2" t="s">
        <v>73</v>
      </c>
      <c r="G516" s="2">
        <v>683.7</v>
      </c>
      <c r="H516" s="2" t="s">
        <v>3413</v>
      </c>
      <c r="I516" s="2" t="s">
        <v>3414</v>
      </c>
      <c r="J516" s="2" t="s">
        <v>3415</v>
      </c>
      <c r="K516" s="2" t="s">
        <v>119</v>
      </c>
      <c r="M516" s="2">
        <v>100.0</v>
      </c>
      <c r="N516" s="2">
        <v>4720.58</v>
      </c>
      <c r="O516" s="2" t="s">
        <v>41</v>
      </c>
      <c r="P516" s="2" t="s">
        <v>42</v>
      </c>
      <c r="Q516" s="2" t="s">
        <v>3416</v>
      </c>
      <c r="S516" s="2">
        <v>1011.0</v>
      </c>
      <c r="T516" s="2" t="s">
        <v>796</v>
      </c>
      <c r="U516" s="2" t="s">
        <v>71</v>
      </c>
    </row>
    <row r="517">
      <c r="A517" s="2">
        <v>516.0</v>
      </c>
      <c r="B517" s="2">
        <v>516.0</v>
      </c>
      <c r="C517" s="2">
        <v>516.0</v>
      </c>
      <c r="D517" s="3">
        <v>44117.0</v>
      </c>
      <c r="E517" s="2" t="s">
        <v>3417</v>
      </c>
      <c r="F517" s="2" t="s">
        <v>142</v>
      </c>
      <c r="G517" s="2">
        <v>671.67</v>
      </c>
      <c r="H517" s="2" t="s">
        <v>3418</v>
      </c>
      <c r="I517" s="2" t="s">
        <v>3419</v>
      </c>
      <c r="J517" s="2" t="s">
        <v>3420</v>
      </c>
      <c r="K517" s="2" t="s">
        <v>127</v>
      </c>
      <c r="L517" s="2" t="s">
        <v>3421</v>
      </c>
      <c r="M517" s="2">
        <v>83.0</v>
      </c>
      <c r="N517" s="2">
        <v>319.62</v>
      </c>
      <c r="O517" s="2" t="s">
        <v>41</v>
      </c>
      <c r="P517" s="2" t="s">
        <v>3422</v>
      </c>
      <c r="Q517" s="2" t="s">
        <v>3423</v>
      </c>
      <c r="T517" s="2" t="s">
        <v>32</v>
      </c>
      <c r="U517" s="2" t="s">
        <v>46</v>
      </c>
    </row>
    <row r="518">
      <c r="A518" s="2">
        <v>517.0</v>
      </c>
      <c r="B518" s="2">
        <v>517.0</v>
      </c>
      <c r="C518" s="2">
        <v>517.0</v>
      </c>
      <c r="D518" s="3">
        <v>43916.0</v>
      </c>
      <c r="E518" s="2" t="s">
        <v>1065</v>
      </c>
      <c r="F518" s="2" t="s">
        <v>567</v>
      </c>
      <c r="G518" s="2">
        <v>685.79</v>
      </c>
      <c r="H518" s="2" t="s">
        <v>3424</v>
      </c>
      <c r="I518" s="2" t="s">
        <v>3425</v>
      </c>
      <c r="J518" s="2" t="s">
        <v>3426</v>
      </c>
      <c r="K518" s="2" t="s">
        <v>32</v>
      </c>
      <c r="M518" s="2">
        <v>53.0</v>
      </c>
      <c r="N518" s="2">
        <v>8098.0</v>
      </c>
      <c r="O518" s="2" t="s">
        <v>41</v>
      </c>
      <c r="P518" s="2" t="s">
        <v>3427</v>
      </c>
      <c r="Q518" s="2" t="s">
        <v>3428</v>
      </c>
      <c r="T518" s="2" t="s">
        <v>32</v>
      </c>
      <c r="U518" s="2" t="s">
        <v>71</v>
      </c>
    </row>
    <row r="519">
      <c r="A519" s="2">
        <v>518.0</v>
      </c>
      <c r="B519" s="2">
        <v>518.0</v>
      </c>
      <c r="C519" s="2">
        <v>518.0</v>
      </c>
      <c r="D519" s="3">
        <v>44200.0</v>
      </c>
      <c r="E519" s="2" t="s">
        <v>3306</v>
      </c>
      <c r="F519" s="2" t="s">
        <v>237</v>
      </c>
      <c r="G519" s="2">
        <v>67.04</v>
      </c>
      <c r="H519" s="2" t="s">
        <v>3429</v>
      </c>
      <c r="I519" s="2" t="s">
        <v>3430</v>
      </c>
      <c r="J519" s="2" t="s">
        <v>3431</v>
      </c>
      <c r="K519" s="2" t="s">
        <v>178</v>
      </c>
      <c r="L519" s="2">
        <v>4178.0</v>
      </c>
      <c r="M519" s="2">
        <v>92.0</v>
      </c>
      <c r="N519" s="2">
        <v>2868.33</v>
      </c>
      <c r="O519" s="2" t="s">
        <v>52</v>
      </c>
      <c r="P519" s="2" t="s">
        <v>3432</v>
      </c>
      <c r="Q519" s="2" t="s">
        <v>3433</v>
      </c>
      <c r="S519" s="2">
        <v>169660.0</v>
      </c>
      <c r="T519" s="2" t="s">
        <v>68</v>
      </c>
      <c r="U519" s="2" t="s">
        <v>46</v>
      </c>
    </row>
    <row r="520">
      <c r="A520" s="2">
        <v>519.0</v>
      </c>
      <c r="B520" s="2">
        <v>519.0</v>
      </c>
      <c r="C520" s="2">
        <v>519.0</v>
      </c>
      <c r="D520" s="3">
        <v>44531.0</v>
      </c>
      <c r="E520" s="2" t="s">
        <v>3434</v>
      </c>
      <c r="F520" s="2" t="s">
        <v>198</v>
      </c>
      <c r="G520" s="2">
        <v>702.79</v>
      </c>
      <c r="H520" s="2" t="s">
        <v>3435</v>
      </c>
      <c r="I520" s="2" t="s">
        <v>3436</v>
      </c>
      <c r="J520" s="2" t="s">
        <v>3437</v>
      </c>
      <c r="K520" s="2" t="s">
        <v>39</v>
      </c>
      <c r="L520" s="2" t="s">
        <v>3438</v>
      </c>
      <c r="M520" s="2">
        <v>84.0</v>
      </c>
      <c r="N520" s="2">
        <v>1317.65</v>
      </c>
      <c r="O520" s="2" t="s">
        <v>52</v>
      </c>
      <c r="P520" s="2" t="s">
        <v>3439</v>
      </c>
      <c r="Q520" s="2" t="s">
        <v>3440</v>
      </c>
      <c r="R520" s="2" t="s">
        <v>3441</v>
      </c>
      <c r="S520" s="2" t="s">
        <v>3442</v>
      </c>
      <c r="T520" s="2" t="s">
        <v>114</v>
      </c>
      <c r="U520" s="2" t="s">
        <v>71</v>
      </c>
    </row>
    <row r="521">
      <c r="A521" s="2">
        <v>520.0</v>
      </c>
      <c r="B521" s="2">
        <v>520.0</v>
      </c>
      <c r="C521" s="2">
        <v>520.0</v>
      </c>
      <c r="D521" s="3">
        <v>44322.0</v>
      </c>
      <c r="E521" s="2" t="s">
        <v>3443</v>
      </c>
      <c r="F521" s="2" t="s">
        <v>3444</v>
      </c>
      <c r="G521" s="2">
        <v>822.0</v>
      </c>
      <c r="H521" s="2" t="s">
        <v>3445</v>
      </c>
      <c r="I521" s="2" t="s">
        <v>3446</v>
      </c>
      <c r="J521" s="2" t="s">
        <v>3447</v>
      </c>
      <c r="K521" s="2" t="s">
        <v>137</v>
      </c>
      <c r="M521" s="2">
        <v>53.0</v>
      </c>
      <c r="N521" s="2">
        <v>5476.38</v>
      </c>
      <c r="O521" s="2" t="s">
        <v>52</v>
      </c>
      <c r="P521" s="2" t="s">
        <v>454</v>
      </c>
      <c r="Q521" s="2" t="s">
        <v>3448</v>
      </c>
      <c r="T521" s="2" t="s">
        <v>2884</v>
      </c>
      <c r="U521" s="2" t="s">
        <v>46</v>
      </c>
    </row>
    <row r="522">
      <c r="A522" s="2">
        <v>521.0</v>
      </c>
      <c r="B522" s="2">
        <v>521.0</v>
      </c>
      <c r="C522" s="2">
        <v>521.0</v>
      </c>
      <c r="D522" s="3">
        <v>44176.0</v>
      </c>
      <c r="E522" s="2" t="s">
        <v>3449</v>
      </c>
      <c r="F522" s="2" t="s">
        <v>237</v>
      </c>
      <c r="G522" s="2">
        <v>563.09</v>
      </c>
      <c r="H522" s="2" t="s">
        <v>3450</v>
      </c>
      <c r="I522" s="2" t="s">
        <v>3451</v>
      </c>
      <c r="J522" s="2" t="s">
        <v>3452</v>
      </c>
      <c r="K522" s="2" t="s">
        <v>137</v>
      </c>
      <c r="M522" s="2">
        <v>54.0</v>
      </c>
      <c r="N522" s="2">
        <v>9628.42</v>
      </c>
      <c r="O522" s="2" t="s">
        <v>52</v>
      </c>
      <c r="P522" s="2" t="s">
        <v>3453</v>
      </c>
      <c r="Q522" s="2" t="s">
        <v>3454</v>
      </c>
      <c r="T522" s="2" t="s">
        <v>119</v>
      </c>
      <c r="U522" s="2" t="s">
        <v>71</v>
      </c>
    </row>
    <row r="523">
      <c r="A523" s="2">
        <v>522.0</v>
      </c>
      <c r="B523" s="2">
        <v>522.0</v>
      </c>
      <c r="C523" s="2">
        <v>522.0</v>
      </c>
      <c r="D523" s="3">
        <v>44256.0</v>
      </c>
      <c r="E523" s="2" t="s">
        <v>3455</v>
      </c>
      <c r="F523" s="2" t="s">
        <v>191</v>
      </c>
      <c r="G523" s="2">
        <v>929.31</v>
      </c>
      <c r="H523" s="2" t="s">
        <v>3456</v>
      </c>
      <c r="I523" s="2" t="s">
        <v>3457</v>
      </c>
      <c r="J523" s="2" t="s">
        <v>3458</v>
      </c>
      <c r="K523" s="2" t="s">
        <v>627</v>
      </c>
      <c r="L523" s="2">
        <v>76140.0</v>
      </c>
      <c r="M523" s="2">
        <v>30.0</v>
      </c>
      <c r="N523" s="2">
        <v>6822.01</v>
      </c>
      <c r="O523" s="2" t="s">
        <v>28</v>
      </c>
      <c r="P523" s="2" t="s">
        <v>613</v>
      </c>
      <c r="Q523" s="2" t="s">
        <v>3459</v>
      </c>
      <c r="T523" s="2" t="s">
        <v>119</v>
      </c>
      <c r="U523" s="2" t="s">
        <v>71</v>
      </c>
    </row>
    <row r="524">
      <c r="A524" s="2">
        <v>523.0</v>
      </c>
      <c r="B524" s="2">
        <v>523.0</v>
      </c>
      <c r="C524" s="2">
        <v>523.0</v>
      </c>
      <c r="D524" s="3">
        <v>44414.0</v>
      </c>
      <c r="E524" s="2" t="s">
        <v>3460</v>
      </c>
      <c r="F524" s="2" t="s">
        <v>3461</v>
      </c>
      <c r="G524" s="2">
        <v>911.85</v>
      </c>
      <c r="H524" s="2" t="s">
        <v>3462</v>
      </c>
      <c r="I524" s="2" t="s">
        <v>3463</v>
      </c>
      <c r="J524" s="2" t="s">
        <v>3464</v>
      </c>
      <c r="K524" s="2" t="s">
        <v>249</v>
      </c>
      <c r="M524" s="2">
        <v>85.0</v>
      </c>
      <c r="N524" s="2">
        <v>9089.4</v>
      </c>
      <c r="O524" s="2" t="s">
        <v>28</v>
      </c>
      <c r="P524" s="2" t="s">
        <v>2778</v>
      </c>
      <c r="Q524" s="2" t="s">
        <v>3465</v>
      </c>
      <c r="S524" s="2" t="s">
        <v>3466</v>
      </c>
      <c r="T524" s="2" t="s">
        <v>163</v>
      </c>
      <c r="U524" s="2" t="s">
        <v>46</v>
      </c>
    </row>
    <row r="525">
      <c r="A525" s="2">
        <v>524.0</v>
      </c>
      <c r="B525" s="2">
        <v>524.0</v>
      </c>
      <c r="C525" s="2">
        <v>524.0</v>
      </c>
      <c r="D525" s="3">
        <v>44202.0</v>
      </c>
      <c r="E525" s="2" t="s">
        <v>3467</v>
      </c>
      <c r="F525" s="2" t="s">
        <v>3015</v>
      </c>
      <c r="G525" s="2">
        <v>858.1</v>
      </c>
      <c r="H525" s="2" t="s">
        <v>3468</v>
      </c>
      <c r="I525" s="2" t="s">
        <v>3469</v>
      </c>
      <c r="J525" s="2" t="s">
        <v>3470</v>
      </c>
      <c r="K525" s="2" t="s">
        <v>178</v>
      </c>
      <c r="L525" s="2">
        <v>3187.0</v>
      </c>
      <c r="M525" s="2">
        <v>100.0</v>
      </c>
      <c r="N525" s="2">
        <v>5270.47</v>
      </c>
      <c r="O525" s="2" t="s">
        <v>41</v>
      </c>
      <c r="P525" s="2" t="s">
        <v>3179</v>
      </c>
      <c r="Q525" s="2" t="s">
        <v>3471</v>
      </c>
      <c r="S525" s="2">
        <v>6419.0</v>
      </c>
      <c r="T525" s="2" t="s">
        <v>241</v>
      </c>
      <c r="U525" s="2" t="s">
        <v>71</v>
      </c>
    </row>
    <row r="526">
      <c r="A526" s="2">
        <v>525.0</v>
      </c>
      <c r="B526" s="2">
        <v>525.0</v>
      </c>
      <c r="C526" s="2">
        <v>525.0</v>
      </c>
      <c r="D526" s="3">
        <v>44242.0</v>
      </c>
      <c r="E526" s="2" t="s">
        <v>3472</v>
      </c>
      <c r="F526" s="2" t="s">
        <v>1084</v>
      </c>
      <c r="G526" s="2">
        <v>675.73</v>
      </c>
      <c r="H526" s="2" t="s">
        <v>3473</v>
      </c>
      <c r="I526" s="2" t="s">
        <v>3474</v>
      </c>
      <c r="J526" s="2" t="s">
        <v>3475</v>
      </c>
      <c r="K526" s="2" t="s">
        <v>163</v>
      </c>
      <c r="L526" s="2" t="s">
        <v>3476</v>
      </c>
      <c r="M526" s="2">
        <v>67.0</v>
      </c>
      <c r="N526" s="2">
        <v>2170.3</v>
      </c>
      <c r="O526" s="2" t="s">
        <v>41</v>
      </c>
      <c r="P526" s="2" t="s">
        <v>613</v>
      </c>
      <c r="Q526" s="2" t="s">
        <v>3477</v>
      </c>
      <c r="T526" s="2" t="s">
        <v>1328</v>
      </c>
      <c r="U526" s="2" t="s">
        <v>46</v>
      </c>
    </row>
    <row r="527">
      <c r="A527" s="2">
        <v>526.0</v>
      </c>
      <c r="B527" s="2">
        <v>526.0</v>
      </c>
      <c r="C527" s="2">
        <v>526.0</v>
      </c>
      <c r="D527" s="3">
        <v>44399.0</v>
      </c>
      <c r="E527" s="2" t="s">
        <v>1157</v>
      </c>
      <c r="F527" s="2" t="s">
        <v>97</v>
      </c>
      <c r="G527" s="2">
        <v>719.2</v>
      </c>
      <c r="H527" s="2" t="s">
        <v>3478</v>
      </c>
      <c r="I527" s="2" t="s">
        <v>3479</v>
      </c>
      <c r="J527" s="2" t="s">
        <v>3480</v>
      </c>
      <c r="K527" s="2" t="s">
        <v>140</v>
      </c>
      <c r="M527" s="2">
        <v>66.0</v>
      </c>
      <c r="N527" s="2">
        <v>4202.71</v>
      </c>
      <c r="O527" s="2" t="s">
        <v>28</v>
      </c>
      <c r="P527" s="2" t="s">
        <v>613</v>
      </c>
      <c r="Q527" s="2" t="s">
        <v>3481</v>
      </c>
      <c r="S527" s="2" t="s">
        <v>3482</v>
      </c>
      <c r="T527" s="2" t="s">
        <v>257</v>
      </c>
      <c r="U527" s="2" t="s">
        <v>33</v>
      </c>
    </row>
    <row r="528">
      <c r="A528" s="2">
        <v>527.0</v>
      </c>
      <c r="B528" s="2">
        <v>527.0</v>
      </c>
      <c r="C528" s="2">
        <v>527.0</v>
      </c>
      <c r="D528" s="3">
        <v>43908.0</v>
      </c>
      <c r="E528" s="2" t="s">
        <v>1550</v>
      </c>
      <c r="F528" s="2" t="s">
        <v>73</v>
      </c>
      <c r="G528" s="2">
        <v>571.35</v>
      </c>
      <c r="H528" s="2" t="s">
        <v>3483</v>
      </c>
      <c r="I528" s="2" t="s">
        <v>3484</v>
      </c>
      <c r="J528" s="2" t="s">
        <v>3485</v>
      </c>
      <c r="K528" s="2" t="s">
        <v>119</v>
      </c>
      <c r="M528" s="2">
        <v>18.0</v>
      </c>
      <c r="N528" s="2">
        <v>3577.99</v>
      </c>
      <c r="O528" s="2" t="s">
        <v>41</v>
      </c>
      <c r="P528" s="2" t="s">
        <v>3486</v>
      </c>
      <c r="Q528" s="2" t="s">
        <v>3487</v>
      </c>
      <c r="S528" s="2" t="s">
        <v>3488</v>
      </c>
      <c r="T528" s="2" t="s">
        <v>127</v>
      </c>
      <c r="U528" s="2" t="s">
        <v>46</v>
      </c>
    </row>
    <row r="529">
      <c r="A529" s="2">
        <v>528.0</v>
      </c>
      <c r="B529" s="2">
        <v>528.0</v>
      </c>
      <c r="C529" s="2">
        <v>528.0</v>
      </c>
      <c r="D529" s="3">
        <v>44227.0</v>
      </c>
      <c r="E529" s="2" t="s">
        <v>3489</v>
      </c>
      <c r="F529" s="2" t="s">
        <v>73</v>
      </c>
      <c r="G529" s="2">
        <v>562.01</v>
      </c>
      <c r="H529" s="2" t="s">
        <v>3490</v>
      </c>
      <c r="I529" s="2" t="s">
        <v>3491</v>
      </c>
      <c r="J529" s="2" t="s">
        <v>3492</v>
      </c>
      <c r="K529" s="2" t="s">
        <v>905</v>
      </c>
      <c r="L529" s="2">
        <v>20916.0</v>
      </c>
      <c r="M529" s="2">
        <v>72.0</v>
      </c>
      <c r="N529" s="2">
        <v>6762.5</v>
      </c>
      <c r="O529" s="2" t="s">
        <v>28</v>
      </c>
      <c r="P529" s="2" t="s">
        <v>3493</v>
      </c>
      <c r="Q529" s="2" t="s">
        <v>3494</v>
      </c>
      <c r="R529" s="2" t="s">
        <v>3495</v>
      </c>
      <c r="S529" s="2" t="s">
        <v>3496</v>
      </c>
      <c r="T529" s="2" t="s">
        <v>114</v>
      </c>
      <c r="U529" s="2" t="s">
        <v>71</v>
      </c>
    </row>
    <row r="530">
      <c r="A530" s="2">
        <v>529.0</v>
      </c>
      <c r="B530" s="2">
        <v>529.0</v>
      </c>
      <c r="C530" s="2">
        <v>529.0</v>
      </c>
      <c r="D530" s="3">
        <v>43912.0</v>
      </c>
      <c r="E530" s="2" t="s">
        <v>3497</v>
      </c>
      <c r="F530" s="2" t="s">
        <v>272</v>
      </c>
      <c r="G530" s="2">
        <v>267.95</v>
      </c>
      <c r="H530" s="2" t="s">
        <v>3498</v>
      </c>
      <c r="I530" s="2" t="s">
        <v>3499</v>
      </c>
      <c r="J530" s="2" t="s">
        <v>3500</v>
      </c>
      <c r="K530" s="2" t="s">
        <v>32</v>
      </c>
      <c r="M530" s="2">
        <v>53.0</v>
      </c>
      <c r="N530" s="2">
        <v>6300.19</v>
      </c>
      <c r="O530" s="2" t="s">
        <v>52</v>
      </c>
      <c r="P530" s="2" t="s">
        <v>3501</v>
      </c>
      <c r="Q530" s="2" t="s">
        <v>3502</v>
      </c>
      <c r="T530" s="2" t="s">
        <v>3503</v>
      </c>
      <c r="U530" s="2" t="s">
        <v>46</v>
      </c>
    </row>
    <row r="531">
      <c r="A531" s="2">
        <v>530.0</v>
      </c>
      <c r="B531" s="2">
        <v>530.0</v>
      </c>
      <c r="C531" s="2">
        <v>530.0</v>
      </c>
      <c r="D531" s="3">
        <v>43856.0</v>
      </c>
      <c r="E531" s="2" t="s">
        <v>3504</v>
      </c>
      <c r="F531" s="2" t="s">
        <v>35</v>
      </c>
      <c r="G531" s="2">
        <v>835.18</v>
      </c>
      <c r="H531" s="2" t="s">
        <v>3505</v>
      </c>
      <c r="I531" s="2" t="s">
        <v>3506</v>
      </c>
      <c r="J531" s="2" t="s">
        <v>3507</v>
      </c>
      <c r="K531" s="2" t="s">
        <v>32</v>
      </c>
      <c r="M531" s="2">
        <v>86.0</v>
      </c>
      <c r="N531" s="2">
        <v>7000.09</v>
      </c>
      <c r="O531" s="2" t="s">
        <v>28</v>
      </c>
      <c r="P531" s="2" t="s">
        <v>1812</v>
      </c>
      <c r="Q531" s="2" t="s">
        <v>3508</v>
      </c>
      <c r="T531" s="2" t="s">
        <v>32</v>
      </c>
      <c r="U531" s="2" t="s">
        <v>71</v>
      </c>
    </row>
    <row r="532">
      <c r="A532" s="2">
        <v>531.0</v>
      </c>
      <c r="B532" s="2">
        <v>531.0</v>
      </c>
      <c r="C532" s="2">
        <v>531.0</v>
      </c>
      <c r="D532" s="3">
        <v>44546.0</v>
      </c>
      <c r="E532" s="2" t="s">
        <v>1176</v>
      </c>
      <c r="F532" s="2" t="s">
        <v>142</v>
      </c>
      <c r="G532" s="2">
        <v>593.3</v>
      </c>
      <c r="H532" s="2" t="s">
        <v>3509</v>
      </c>
      <c r="I532" s="2" t="s">
        <v>3510</v>
      </c>
      <c r="J532" s="2" t="s">
        <v>3511</v>
      </c>
      <c r="K532" s="2" t="s">
        <v>32</v>
      </c>
      <c r="M532" s="2">
        <v>63.0</v>
      </c>
      <c r="N532" s="2">
        <v>751.32</v>
      </c>
      <c r="O532" s="2" t="s">
        <v>41</v>
      </c>
      <c r="P532" s="2" t="s">
        <v>3512</v>
      </c>
      <c r="Q532" s="2" t="s">
        <v>3513</v>
      </c>
      <c r="T532" s="2" t="s">
        <v>363</v>
      </c>
      <c r="U532" s="2" t="s">
        <v>71</v>
      </c>
    </row>
    <row r="533">
      <c r="A533" s="2">
        <v>532.0</v>
      </c>
      <c r="B533" s="2">
        <v>532.0</v>
      </c>
      <c r="C533" s="2">
        <v>532.0</v>
      </c>
      <c r="D533" s="3">
        <v>44542.0</v>
      </c>
      <c r="E533" s="2" t="s">
        <v>3514</v>
      </c>
      <c r="F533" s="2" t="s">
        <v>35</v>
      </c>
      <c r="G533" s="2">
        <v>459.42</v>
      </c>
      <c r="H533" s="2" t="s">
        <v>3515</v>
      </c>
      <c r="I533" s="2" t="s">
        <v>3516</v>
      </c>
      <c r="J533" s="2" t="s">
        <v>3517</v>
      </c>
      <c r="K533" s="2" t="s">
        <v>1959</v>
      </c>
      <c r="M533" s="2">
        <v>71.0</v>
      </c>
      <c r="N533" s="2">
        <v>6252.49</v>
      </c>
      <c r="O533" s="2" t="s">
        <v>52</v>
      </c>
      <c r="P533" s="2" t="s">
        <v>939</v>
      </c>
      <c r="Q533" s="2" t="s">
        <v>3518</v>
      </c>
      <c r="T533" s="2" t="s">
        <v>3519</v>
      </c>
      <c r="U533" s="2" t="s">
        <v>46</v>
      </c>
    </row>
    <row r="534">
      <c r="A534" s="2">
        <v>533.0</v>
      </c>
      <c r="B534" s="2">
        <v>533.0</v>
      </c>
      <c r="C534" s="2">
        <v>533.0</v>
      </c>
      <c r="D534" s="3">
        <v>43953.0</v>
      </c>
      <c r="E534" s="2" t="s">
        <v>653</v>
      </c>
      <c r="F534" s="2" t="s">
        <v>142</v>
      </c>
      <c r="G534" s="2">
        <v>125.68</v>
      </c>
      <c r="H534" s="2" t="s">
        <v>3520</v>
      </c>
      <c r="I534" s="2" t="s">
        <v>3521</v>
      </c>
      <c r="J534" s="2" t="s">
        <v>3522</v>
      </c>
      <c r="K534" s="2" t="s">
        <v>257</v>
      </c>
      <c r="L534" s="2" t="s">
        <v>3523</v>
      </c>
      <c r="M534" s="2">
        <v>93.0</v>
      </c>
      <c r="N534" s="2">
        <v>5183.16</v>
      </c>
      <c r="O534" s="2" t="s">
        <v>28</v>
      </c>
      <c r="P534" s="2" t="s">
        <v>2454</v>
      </c>
      <c r="Q534" s="2" t="s">
        <v>3524</v>
      </c>
      <c r="R534" s="2" t="s">
        <v>3525</v>
      </c>
      <c r="S534" s="2">
        <v>12701.0</v>
      </c>
      <c r="T534" s="2" t="s">
        <v>885</v>
      </c>
      <c r="U534" s="2" t="s">
        <v>71</v>
      </c>
    </row>
    <row r="535">
      <c r="A535" s="2">
        <v>534.0</v>
      </c>
      <c r="B535" s="2">
        <v>534.0</v>
      </c>
      <c r="C535" s="2">
        <v>534.0</v>
      </c>
      <c r="D535" s="3">
        <v>43974.0</v>
      </c>
      <c r="E535" s="2" t="s">
        <v>3526</v>
      </c>
      <c r="F535" s="2" t="s">
        <v>3527</v>
      </c>
      <c r="G535" s="2">
        <v>918.89</v>
      </c>
      <c r="H535" s="2" t="s">
        <v>3528</v>
      </c>
      <c r="I535" s="2" t="s">
        <v>3529</v>
      </c>
      <c r="J535" s="2" t="s">
        <v>3530</v>
      </c>
      <c r="K535" s="2" t="s">
        <v>3519</v>
      </c>
      <c r="M535" s="2">
        <v>25.0</v>
      </c>
      <c r="N535" s="2">
        <v>7020.26</v>
      </c>
      <c r="O535" s="2" t="s">
        <v>52</v>
      </c>
      <c r="P535" s="2" t="s">
        <v>3531</v>
      </c>
      <c r="Q535" s="2" t="s">
        <v>3532</v>
      </c>
      <c r="T535" s="2" t="s">
        <v>791</v>
      </c>
      <c r="U535" s="2" t="s">
        <v>46</v>
      </c>
    </row>
    <row r="536">
      <c r="A536" s="2">
        <v>535.0</v>
      </c>
      <c r="B536" s="2">
        <v>535.0</v>
      </c>
      <c r="C536" s="2">
        <v>535.0</v>
      </c>
      <c r="D536" s="3">
        <v>44327.0</v>
      </c>
      <c r="E536" s="2" t="s">
        <v>3533</v>
      </c>
      <c r="F536" s="2" t="s">
        <v>501</v>
      </c>
      <c r="G536" s="2">
        <v>783.74</v>
      </c>
      <c r="H536" s="2" t="s">
        <v>3534</v>
      </c>
      <c r="I536" s="2" t="s">
        <v>3535</v>
      </c>
      <c r="J536" s="2" t="s">
        <v>3536</v>
      </c>
      <c r="K536" s="2" t="s">
        <v>257</v>
      </c>
      <c r="L536" s="2" t="s">
        <v>3537</v>
      </c>
      <c r="M536" s="2">
        <v>97.0</v>
      </c>
      <c r="N536" s="2">
        <v>1561.11</v>
      </c>
      <c r="O536" s="2" t="s">
        <v>28</v>
      </c>
      <c r="P536" s="2" t="s">
        <v>3538</v>
      </c>
      <c r="Q536" s="2" t="s">
        <v>3539</v>
      </c>
      <c r="R536" s="2" t="s">
        <v>2925</v>
      </c>
      <c r="S536" s="2">
        <v>3019.0</v>
      </c>
      <c r="T536" s="2" t="s">
        <v>241</v>
      </c>
      <c r="U536" s="2" t="s">
        <v>46</v>
      </c>
    </row>
    <row r="537">
      <c r="A537" s="2">
        <v>536.0</v>
      </c>
      <c r="B537" s="2">
        <v>536.0</v>
      </c>
      <c r="C537" s="2">
        <v>536.0</v>
      </c>
      <c r="D537" s="3">
        <v>44150.0</v>
      </c>
      <c r="E537" s="2" t="s">
        <v>3540</v>
      </c>
      <c r="F537" s="2" t="s">
        <v>704</v>
      </c>
      <c r="G537" s="2">
        <v>979.28</v>
      </c>
      <c r="H537" s="2" t="s">
        <v>3541</v>
      </c>
      <c r="I537" s="2" t="s">
        <v>3542</v>
      </c>
      <c r="J537" s="2" t="s">
        <v>3543</v>
      </c>
      <c r="K537" s="2" t="s">
        <v>163</v>
      </c>
      <c r="L537" s="2" t="s">
        <v>3544</v>
      </c>
      <c r="M537" s="2">
        <v>28.0</v>
      </c>
      <c r="N537" s="2">
        <v>3176.95</v>
      </c>
      <c r="O537" s="2" t="s">
        <v>41</v>
      </c>
      <c r="P537" s="2" t="s">
        <v>939</v>
      </c>
      <c r="Q537" s="2" t="s">
        <v>3545</v>
      </c>
      <c r="S537" s="2">
        <v>2725.0</v>
      </c>
      <c r="T537" s="2" t="s">
        <v>241</v>
      </c>
      <c r="U537" s="2" t="s">
        <v>46</v>
      </c>
    </row>
    <row r="538">
      <c r="A538" s="2">
        <v>537.0</v>
      </c>
      <c r="B538" s="2">
        <v>537.0</v>
      </c>
      <c r="C538" s="2">
        <v>537.0</v>
      </c>
      <c r="D538" s="3">
        <v>44283.0</v>
      </c>
      <c r="E538" s="2" t="s">
        <v>3546</v>
      </c>
      <c r="F538" s="2" t="s">
        <v>191</v>
      </c>
      <c r="G538" s="2">
        <v>67.16</v>
      </c>
      <c r="H538" s="2" t="s">
        <v>3547</v>
      </c>
      <c r="I538" s="2" t="s">
        <v>3548</v>
      </c>
      <c r="J538" s="2" t="s">
        <v>3549</v>
      </c>
      <c r="K538" s="2" t="s">
        <v>434</v>
      </c>
      <c r="M538" s="2">
        <v>99.0</v>
      </c>
      <c r="N538" s="2">
        <v>6180.28</v>
      </c>
      <c r="O538" s="2" t="s">
        <v>28</v>
      </c>
      <c r="P538" s="2" t="s">
        <v>3550</v>
      </c>
      <c r="Q538" s="2" t="s">
        <v>3551</v>
      </c>
      <c r="T538" s="2" t="s">
        <v>119</v>
      </c>
      <c r="U538" s="2" t="s">
        <v>33</v>
      </c>
    </row>
    <row r="539">
      <c r="A539" s="2">
        <v>538.0</v>
      </c>
      <c r="B539" s="2">
        <v>538.0</v>
      </c>
      <c r="C539" s="2">
        <v>538.0</v>
      </c>
      <c r="D539" s="3">
        <v>44337.0</v>
      </c>
      <c r="E539" s="2" t="s">
        <v>3552</v>
      </c>
      <c r="F539" s="2" t="s">
        <v>3553</v>
      </c>
      <c r="G539" s="2">
        <v>119.89</v>
      </c>
      <c r="H539" s="2" t="s">
        <v>2210</v>
      </c>
      <c r="I539" s="2" t="s">
        <v>3554</v>
      </c>
      <c r="J539" s="2" t="s">
        <v>3555</v>
      </c>
      <c r="K539" s="2" t="s">
        <v>114</v>
      </c>
      <c r="L539" s="2" t="s">
        <v>3556</v>
      </c>
      <c r="M539" s="2">
        <v>25.0</v>
      </c>
      <c r="N539" s="2">
        <v>3750.26</v>
      </c>
      <c r="O539" s="2" t="s">
        <v>28</v>
      </c>
      <c r="P539" s="2" t="s">
        <v>3557</v>
      </c>
      <c r="Q539" s="2" t="s">
        <v>3558</v>
      </c>
      <c r="S539" s="2">
        <v>131029.0</v>
      </c>
      <c r="T539" s="2" t="s">
        <v>819</v>
      </c>
      <c r="U539" s="2" t="s">
        <v>71</v>
      </c>
    </row>
    <row r="540">
      <c r="A540" s="2">
        <v>539.0</v>
      </c>
      <c r="B540" s="2">
        <v>539.0</v>
      </c>
      <c r="C540" s="2">
        <v>539.0</v>
      </c>
      <c r="D540" s="3">
        <v>44401.0</v>
      </c>
      <c r="E540" s="2" t="s">
        <v>3559</v>
      </c>
      <c r="F540" s="2" t="s">
        <v>567</v>
      </c>
      <c r="G540" s="2">
        <v>576.42</v>
      </c>
      <c r="H540" s="2" t="s">
        <v>3560</v>
      </c>
      <c r="I540" s="2" t="s">
        <v>3561</v>
      </c>
      <c r="J540" s="2" t="s">
        <v>3562</v>
      </c>
      <c r="K540" s="2" t="s">
        <v>32</v>
      </c>
      <c r="M540" s="2">
        <v>97.0</v>
      </c>
      <c r="N540" s="2">
        <v>4456.41</v>
      </c>
      <c r="O540" s="2" t="s">
        <v>41</v>
      </c>
      <c r="P540" s="2" t="s">
        <v>3563</v>
      </c>
      <c r="Q540" s="2" t="s">
        <v>3564</v>
      </c>
      <c r="T540" s="2" t="s">
        <v>77</v>
      </c>
      <c r="U540" s="2" t="s">
        <v>71</v>
      </c>
    </row>
    <row r="541">
      <c r="A541" s="2">
        <v>540.0</v>
      </c>
      <c r="B541" s="2">
        <v>540.0</v>
      </c>
      <c r="C541" s="2">
        <v>540.0</v>
      </c>
      <c r="D541" s="3">
        <v>43864.0</v>
      </c>
      <c r="E541" s="2" t="s">
        <v>3565</v>
      </c>
      <c r="F541" s="2" t="s">
        <v>73</v>
      </c>
      <c r="G541" s="2">
        <v>177.86</v>
      </c>
      <c r="H541" s="2" t="s">
        <v>3566</v>
      </c>
      <c r="I541" s="2" t="s">
        <v>3567</v>
      </c>
      <c r="J541" s="2" t="s">
        <v>3568</v>
      </c>
      <c r="K541" s="2" t="s">
        <v>1190</v>
      </c>
      <c r="M541" s="2">
        <v>50.0</v>
      </c>
      <c r="N541" s="2">
        <v>1525.62</v>
      </c>
      <c r="O541" s="2" t="s">
        <v>41</v>
      </c>
      <c r="P541" s="2" t="s">
        <v>3569</v>
      </c>
      <c r="Q541" s="2" t="s">
        <v>3570</v>
      </c>
      <c r="S541" s="2">
        <v>102085.0</v>
      </c>
      <c r="T541" s="2" t="s">
        <v>68</v>
      </c>
      <c r="U541" s="2" t="s">
        <v>33</v>
      </c>
    </row>
    <row r="542">
      <c r="A542" s="2">
        <v>541.0</v>
      </c>
      <c r="B542" s="2">
        <v>541.0</v>
      </c>
      <c r="C542" s="2">
        <v>541.0</v>
      </c>
      <c r="D542" s="3">
        <v>44287.0</v>
      </c>
      <c r="E542" s="2" t="s">
        <v>1070</v>
      </c>
      <c r="F542" s="2" t="s">
        <v>1071</v>
      </c>
      <c r="G542" s="2">
        <v>420.72</v>
      </c>
      <c r="H542" s="2" t="s">
        <v>3571</v>
      </c>
      <c r="I542" s="2" t="s">
        <v>3572</v>
      </c>
      <c r="J542" s="2" t="s">
        <v>3573</v>
      </c>
      <c r="K542" s="2" t="s">
        <v>1473</v>
      </c>
      <c r="M542" s="2">
        <v>30.0</v>
      </c>
      <c r="N542" s="2">
        <v>6562.89</v>
      </c>
      <c r="O542" s="2" t="s">
        <v>52</v>
      </c>
      <c r="P542" s="2" t="s">
        <v>2998</v>
      </c>
      <c r="Q542" s="2" t="s">
        <v>3574</v>
      </c>
      <c r="T542" s="2" t="s">
        <v>32</v>
      </c>
      <c r="U542" s="2" t="s">
        <v>33</v>
      </c>
    </row>
    <row r="543">
      <c r="A543" s="2">
        <v>542.0</v>
      </c>
      <c r="B543" s="2">
        <v>542.0</v>
      </c>
      <c r="C543" s="2">
        <v>542.0</v>
      </c>
      <c r="D543" s="3">
        <v>44079.0</v>
      </c>
      <c r="E543" s="2" t="s">
        <v>3575</v>
      </c>
      <c r="F543" s="2" t="s">
        <v>1671</v>
      </c>
      <c r="G543" s="2">
        <v>352.68</v>
      </c>
      <c r="H543" s="2" t="s">
        <v>3576</v>
      </c>
      <c r="I543" s="2" t="s">
        <v>3577</v>
      </c>
      <c r="J543" s="2" t="s">
        <v>3578</v>
      </c>
      <c r="K543" s="2" t="s">
        <v>119</v>
      </c>
      <c r="M543" s="2">
        <v>83.0</v>
      </c>
      <c r="N543" s="2">
        <v>6894.24</v>
      </c>
      <c r="O543" s="2" t="s">
        <v>28</v>
      </c>
      <c r="P543" s="2" t="s">
        <v>3579</v>
      </c>
      <c r="Q543" s="2" t="s">
        <v>3580</v>
      </c>
      <c r="S543" s="2">
        <v>368670.0</v>
      </c>
      <c r="T543" s="2" t="s">
        <v>68</v>
      </c>
      <c r="U543" s="2" t="s">
        <v>71</v>
      </c>
    </row>
    <row r="544">
      <c r="A544" s="2">
        <v>543.0</v>
      </c>
      <c r="B544" s="2">
        <v>543.0</v>
      </c>
      <c r="C544" s="2">
        <v>543.0</v>
      </c>
      <c r="D544" s="3">
        <v>44196.0</v>
      </c>
      <c r="E544" s="2" t="s">
        <v>1679</v>
      </c>
      <c r="F544" s="2" t="s">
        <v>237</v>
      </c>
      <c r="G544" s="2">
        <v>717.69</v>
      </c>
      <c r="H544" s="2" t="s">
        <v>3581</v>
      </c>
      <c r="I544" s="2" t="s">
        <v>3582</v>
      </c>
      <c r="J544" s="2" t="s">
        <v>3583</v>
      </c>
      <c r="K544" s="2" t="s">
        <v>2955</v>
      </c>
      <c r="L544" s="2">
        <v>57124.0</v>
      </c>
      <c r="M544" s="2">
        <v>77.0</v>
      </c>
      <c r="N544" s="2">
        <v>9279.4</v>
      </c>
      <c r="O544" s="2" t="s">
        <v>52</v>
      </c>
      <c r="P544" s="2" t="s">
        <v>3584</v>
      </c>
      <c r="Q544" s="2" t="s">
        <v>3585</v>
      </c>
      <c r="R544" s="2" t="s">
        <v>3586</v>
      </c>
      <c r="S544" s="2">
        <v>60105.0</v>
      </c>
      <c r="T544" s="2" t="s">
        <v>882</v>
      </c>
      <c r="U544" s="2" t="s">
        <v>33</v>
      </c>
    </row>
    <row r="545">
      <c r="A545" s="2">
        <v>544.0</v>
      </c>
      <c r="B545" s="2">
        <v>544.0</v>
      </c>
      <c r="C545" s="2">
        <v>544.0</v>
      </c>
      <c r="D545" s="3">
        <v>44043.0</v>
      </c>
      <c r="E545" s="2" t="s">
        <v>1612</v>
      </c>
      <c r="F545" s="2" t="s">
        <v>97</v>
      </c>
      <c r="G545" s="2">
        <v>382.77</v>
      </c>
      <c r="H545" s="2" t="s">
        <v>3587</v>
      </c>
      <c r="I545" s="2" t="s">
        <v>3588</v>
      </c>
      <c r="J545" s="2" t="s">
        <v>3589</v>
      </c>
      <c r="K545" s="2" t="s">
        <v>68</v>
      </c>
      <c r="L545" s="2">
        <v>361203.0</v>
      </c>
      <c r="M545" s="2">
        <v>65.0</v>
      </c>
      <c r="N545" s="2">
        <v>630.34</v>
      </c>
      <c r="O545" s="2" t="s">
        <v>41</v>
      </c>
      <c r="P545" s="2" t="s">
        <v>3590</v>
      </c>
      <c r="Q545" s="2" t="s">
        <v>3591</v>
      </c>
      <c r="S545" s="2">
        <v>41240.0</v>
      </c>
      <c r="T545" s="2" t="s">
        <v>529</v>
      </c>
      <c r="U545" s="2" t="s">
        <v>71</v>
      </c>
    </row>
    <row r="546">
      <c r="A546" s="2">
        <v>545.0</v>
      </c>
      <c r="B546" s="2">
        <v>545.0</v>
      </c>
      <c r="C546" s="2">
        <v>545.0</v>
      </c>
      <c r="D546" s="3">
        <v>44199.0</v>
      </c>
      <c r="E546" s="2" t="s">
        <v>3592</v>
      </c>
      <c r="F546" s="2" t="s">
        <v>342</v>
      </c>
      <c r="G546" s="2">
        <v>71.82</v>
      </c>
      <c r="H546" s="2" t="s">
        <v>3593</v>
      </c>
      <c r="I546" s="2" t="s">
        <v>3594</v>
      </c>
      <c r="J546" s="2" t="s">
        <v>3595</v>
      </c>
      <c r="K546" s="2" t="s">
        <v>32</v>
      </c>
      <c r="M546" s="2">
        <v>66.0</v>
      </c>
      <c r="N546" s="2">
        <v>1328.16</v>
      </c>
      <c r="O546" s="2" t="s">
        <v>41</v>
      </c>
      <c r="P546" s="2" t="s">
        <v>3596</v>
      </c>
      <c r="Q546" s="2" t="s">
        <v>3597</v>
      </c>
      <c r="S546" s="2" t="s">
        <v>3598</v>
      </c>
      <c r="T546" s="2" t="s">
        <v>163</v>
      </c>
      <c r="U546" s="2" t="s">
        <v>46</v>
      </c>
    </row>
    <row r="547">
      <c r="A547" s="2">
        <v>546.0</v>
      </c>
      <c r="B547" s="2">
        <v>546.0</v>
      </c>
      <c r="C547" s="2">
        <v>546.0</v>
      </c>
      <c r="D547" s="3">
        <v>43885.0</v>
      </c>
      <c r="E547" s="2" t="s">
        <v>3599</v>
      </c>
      <c r="F547" s="2" t="s">
        <v>3600</v>
      </c>
      <c r="G547" s="2">
        <v>252.59</v>
      </c>
      <c r="H547" s="2" t="s">
        <v>3601</v>
      </c>
      <c r="I547" s="2" t="s">
        <v>3602</v>
      </c>
      <c r="J547" s="2" t="s">
        <v>3603</v>
      </c>
      <c r="K547" s="2" t="s">
        <v>45</v>
      </c>
      <c r="L547" s="2">
        <v>26360.0</v>
      </c>
      <c r="M547" s="2">
        <v>62.0</v>
      </c>
      <c r="N547" s="2">
        <v>868.07</v>
      </c>
      <c r="O547" s="2" t="s">
        <v>41</v>
      </c>
      <c r="P547" s="2" t="s">
        <v>3604</v>
      </c>
      <c r="Q547" s="2" t="s">
        <v>3605</v>
      </c>
      <c r="T547" s="2" t="s">
        <v>1826</v>
      </c>
      <c r="U547" s="2" t="s">
        <v>33</v>
      </c>
    </row>
    <row r="548">
      <c r="A548" s="2">
        <v>547.0</v>
      </c>
      <c r="B548" s="2">
        <v>547.0</v>
      </c>
      <c r="C548" s="2">
        <v>547.0</v>
      </c>
      <c r="D548" s="3">
        <v>44431.0</v>
      </c>
      <c r="E548" s="2" t="s">
        <v>3606</v>
      </c>
      <c r="F548" s="2" t="s">
        <v>3607</v>
      </c>
      <c r="G548" s="2">
        <v>240.78</v>
      </c>
      <c r="H548" s="2" t="s">
        <v>3608</v>
      </c>
      <c r="I548" s="2" t="s">
        <v>3609</v>
      </c>
      <c r="J548" s="2" t="s">
        <v>3610</v>
      </c>
      <c r="K548" s="2" t="s">
        <v>217</v>
      </c>
      <c r="L548" s="2">
        <v>51512.0</v>
      </c>
      <c r="M548" s="2">
        <v>45.0</v>
      </c>
      <c r="N548" s="2">
        <v>1947.54</v>
      </c>
      <c r="O548" s="2" t="s">
        <v>52</v>
      </c>
      <c r="P548" s="2" t="s">
        <v>3611</v>
      </c>
      <c r="Q548" s="2" t="s">
        <v>3612</v>
      </c>
      <c r="S548" s="2">
        <v>142609.0</v>
      </c>
      <c r="T548" s="2" t="s">
        <v>68</v>
      </c>
      <c r="U548" s="2" t="s">
        <v>46</v>
      </c>
    </row>
    <row r="549">
      <c r="A549" s="2">
        <v>548.0</v>
      </c>
      <c r="B549" s="2">
        <v>548.0</v>
      </c>
      <c r="C549" s="2">
        <v>548.0</v>
      </c>
      <c r="D549" s="3">
        <v>44232.0</v>
      </c>
      <c r="E549" s="2" t="s">
        <v>2840</v>
      </c>
      <c r="F549" s="2" t="s">
        <v>822</v>
      </c>
      <c r="G549" s="2">
        <v>614.13</v>
      </c>
      <c r="H549" s="2" t="s">
        <v>3613</v>
      </c>
      <c r="I549" s="2" t="s">
        <v>3614</v>
      </c>
      <c r="J549" s="2" t="s">
        <v>3615</v>
      </c>
      <c r="K549" s="2" t="s">
        <v>267</v>
      </c>
      <c r="M549" s="2">
        <v>15.0</v>
      </c>
      <c r="N549" s="2">
        <v>5108.12</v>
      </c>
      <c r="O549" s="2" t="s">
        <v>52</v>
      </c>
      <c r="P549" s="2" t="s">
        <v>3616</v>
      </c>
      <c r="Q549" s="2" t="s">
        <v>3617</v>
      </c>
      <c r="T549" s="2" t="s">
        <v>32</v>
      </c>
      <c r="U549" s="2" t="s">
        <v>46</v>
      </c>
    </row>
    <row r="550">
      <c r="A550" s="2">
        <v>549.0</v>
      </c>
      <c r="B550" s="2">
        <v>549.0</v>
      </c>
      <c r="C550" s="2">
        <v>549.0</v>
      </c>
      <c r="D550" s="3">
        <v>43867.0</v>
      </c>
      <c r="E550" s="2" t="s">
        <v>3618</v>
      </c>
      <c r="F550" s="2" t="s">
        <v>1438</v>
      </c>
      <c r="G550" s="2">
        <v>211.01</v>
      </c>
      <c r="H550" s="2" t="s">
        <v>3619</v>
      </c>
      <c r="I550" s="2" t="s">
        <v>3620</v>
      </c>
      <c r="J550" s="2" t="s">
        <v>3621</v>
      </c>
      <c r="K550" s="2" t="s">
        <v>225</v>
      </c>
      <c r="M550" s="2">
        <v>23.0</v>
      </c>
      <c r="N550" s="2">
        <v>7807.18</v>
      </c>
      <c r="O550" s="2" t="s">
        <v>28</v>
      </c>
      <c r="P550" s="2" t="s">
        <v>3622</v>
      </c>
      <c r="Q550" s="2" t="s">
        <v>3623</v>
      </c>
      <c r="T550" s="2" t="s">
        <v>1757</v>
      </c>
      <c r="U550" s="2" t="s">
        <v>33</v>
      </c>
    </row>
    <row r="551">
      <c r="A551" s="2">
        <v>550.0</v>
      </c>
      <c r="B551" s="2">
        <v>550.0</v>
      </c>
      <c r="C551" s="2">
        <v>550.0</v>
      </c>
      <c r="D551" s="3">
        <v>44028.0</v>
      </c>
      <c r="E551" s="2" t="s">
        <v>1523</v>
      </c>
      <c r="F551" s="2" t="s">
        <v>413</v>
      </c>
      <c r="G551" s="2">
        <v>577.26</v>
      </c>
      <c r="H551" s="2" t="s">
        <v>3624</v>
      </c>
      <c r="I551" s="2" t="s">
        <v>3625</v>
      </c>
      <c r="J551" s="2" t="s">
        <v>3626</v>
      </c>
      <c r="K551" s="2" t="s">
        <v>163</v>
      </c>
      <c r="L551" s="2" t="s">
        <v>3627</v>
      </c>
      <c r="M551" s="2">
        <v>26.0</v>
      </c>
      <c r="N551" s="2">
        <v>5526.81</v>
      </c>
      <c r="O551" s="2" t="s">
        <v>52</v>
      </c>
      <c r="P551" s="2" t="s">
        <v>3628</v>
      </c>
      <c r="Q551" s="2" t="s">
        <v>3629</v>
      </c>
      <c r="T551" s="2" t="s">
        <v>292</v>
      </c>
      <c r="U551" s="2" t="s">
        <v>71</v>
      </c>
    </row>
    <row r="552">
      <c r="A552" s="2">
        <v>551.0</v>
      </c>
      <c r="B552" s="2">
        <v>551.0</v>
      </c>
      <c r="C552" s="2">
        <v>551.0</v>
      </c>
      <c r="D552" s="3">
        <v>44368.0</v>
      </c>
      <c r="E552" s="2" t="s">
        <v>3630</v>
      </c>
      <c r="F552" s="2" t="s">
        <v>662</v>
      </c>
      <c r="G552" s="2">
        <v>658.89</v>
      </c>
      <c r="H552" s="2" t="s">
        <v>3631</v>
      </c>
      <c r="I552" s="2" t="s">
        <v>3632</v>
      </c>
      <c r="J552" s="2" t="s">
        <v>3633</v>
      </c>
      <c r="K552" s="2" t="s">
        <v>32</v>
      </c>
      <c r="M552" s="2">
        <v>86.0</v>
      </c>
      <c r="N552" s="2">
        <v>8815.84</v>
      </c>
      <c r="O552" s="2" t="s">
        <v>41</v>
      </c>
      <c r="P552" s="2" t="s">
        <v>840</v>
      </c>
      <c r="Q552" s="2" t="s">
        <v>3634</v>
      </c>
      <c r="T552" s="2" t="s">
        <v>77</v>
      </c>
      <c r="U552" s="2" t="s">
        <v>46</v>
      </c>
    </row>
    <row r="553">
      <c r="A553" s="2">
        <v>552.0</v>
      </c>
      <c r="B553" s="2">
        <v>552.0</v>
      </c>
      <c r="C553" s="2">
        <v>552.0</v>
      </c>
      <c r="D553" s="3">
        <v>44180.0</v>
      </c>
      <c r="E553" s="2" t="s">
        <v>3635</v>
      </c>
      <c r="F553" s="2" t="s">
        <v>73</v>
      </c>
      <c r="G553" s="2">
        <v>932.59</v>
      </c>
      <c r="H553" s="2" t="s">
        <v>3636</v>
      </c>
      <c r="I553" s="2" t="s">
        <v>3637</v>
      </c>
      <c r="J553" s="2" t="s">
        <v>3638</v>
      </c>
      <c r="K553" s="2" t="s">
        <v>796</v>
      </c>
      <c r="L553" s="2">
        <v>1430.0</v>
      </c>
      <c r="M553" s="2">
        <v>27.0</v>
      </c>
      <c r="N553" s="2">
        <v>3564.55</v>
      </c>
      <c r="O553" s="2" t="s">
        <v>41</v>
      </c>
      <c r="P553" s="2" t="s">
        <v>863</v>
      </c>
      <c r="Q553" s="2" t="s">
        <v>3639</v>
      </c>
      <c r="T553" s="2" t="s">
        <v>32</v>
      </c>
      <c r="U553" s="2" t="s">
        <v>33</v>
      </c>
    </row>
    <row r="554">
      <c r="A554" s="2">
        <v>553.0</v>
      </c>
      <c r="B554" s="2">
        <v>553.0</v>
      </c>
      <c r="C554" s="2">
        <v>553.0</v>
      </c>
      <c r="D554" s="3">
        <v>43841.0</v>
      </c>
      <c r="E554" s="2" t="s">
        <v>3640</v>
      </c>
      <c r="F554" s="2" t="s">
        <v>3641</v>
      </c>
      <c r="G554" s="2">
        <v>963.56</v>
      </c>
      <c r="H554" s="2" t="s">
        <v>3642</v>
      </c>
      <c r="I554" s="2" t="s">
        <v>3643</v>
      </c>
      <c r="J554" s="2" t="s">
        <v>3644</v>
      </c>
      <c r="K554" s="2" t="s">
        <v>39</v>
      </c>
      <c r="L554" s="2" t="s">
        <v>3645</v>
      </c>
      <c r="M554" s="2">
        <v>96.0</v>
      </c>
      <c r="N554" s="2">
        <v>6780.81</v>
      </c>
      <c r="O554" s="2" t="s">
        <v>52</v>
      </c>
      <c r="P554" s="2" t="s">
        <v>202</v>
      </c>
      <c r="Q554" s="2" t="s">
        <v>3646</v>
      </c>
      <c r="R554" s="2" t="s">
        <v>3441</v>
      </c>
      <c r="S554" s="2" t="s">
        <v>3647</v>
      </c>
      <c r="T554" s="2" t="s">
        <v>257</v>
      </c>
      <c r="U554" s="2" t="s">
        <v>46</v>
      </c>
    </row>
    <row r="555">
      <c r="A555" s="2">
        <v>554.0</v>
      </c>
      <c r="B555" s="2">
        <v>554.0</v>
      </c>
      <c r="C555" s="2">
        <v>554.0</v>
      </c>
      <c r="D555" s="3">
        <v>44132.0</v>
      </c>
      <c r="E555" s="2" t="s">
        <v>1898</v>
      </c>
      <c r="F555" s="2" t="s">
        <v>342</v>
      </c>
      <c r="G555" s="2">
        <v>485.06</v>
      </c>
      <c r="H555" s="2" t="s">
        <v>3648</v>
      </c>
      <c r="I555" s="2" t="s">
        <v>3649</v>
      </c>
      <c r="J555" s="2" t="s">
        <v>3650</v>
      </c>
      <c r="K555" s="2" t="s">
        <v>106</v>
      </c>
      <c r="L555" s="2" t="s">
        <v>3651</v>
      </c>
      <c r="M555" s="2">
        <v>64.0</v>
      </c>
      <c r="N555" s="2">
        <v>7052.29</v>
      </c>
      <c r="O555" s="2" t="s">
        <v>28</v>
      </c>
      <c r="P555" s="2" t="s">
        <v>3652</v>
      </c>
      <c r="Q555" s="2" t="s">
        <v>3653</v>
      </c>
      <c r="S555" s="2" t="s">
        <v>3654</v>
      </c>
      <c r="T555" s="2" t="s">
        <v>39</v>
      </c>
      <c r="U555" s="2" t="s">
        <v>33</v>
      </c>
    </row>
    <row r="556">
      <c r="A556" s="2">
        <v>555.0</v>
      </c>
      <c r="B556" s="2">
        <v>555.0</v>
      </c>
      <c r="C556" s="2">
        <v>555.0</v>
      </c>
      <c r="D556" s="3">
        <v>44052.0</v>
      </c>
      <c r="E556" s="2" t="s">
        <v>3655</v>
      </c>
      <c r="F556" s="2" t="s">
        <v>73</v>
      </c>
      <c r="G556" s="2">
        <v>171.82</v>
      </c>
      <c r="H556" s="2" t="s">
        <v>3656</v>
      </c>
      <c r="I556" s="2" t="s">
        <v>3657</v>
      </c>
      <c r="J556" s="2" t="s">
        <v>3658</v>
      </c>
      <c r="K556" s="2" t="s">
        <v>106</v>
      </c>
      <c r="L556" s="2" t="s">
        <v>3659</v>
      </c>
      <c r="M556" s="2">
        <v>14.0</v>
      </c>
      <c r="N556" s="2">
        <v>1103.78</v>
      </c>
      <c r="O556" s="2" t="s">
        <v>52</v>
      </c>
      <c r="P556" s="2" t="s">
        <v>3660</v>
      </c>
      <c r="Q556" s="2" t="s">
        <v>3661</v>
      </c>
      <c r="T556" s="2" t="s">
        <v>3662</v>
      </c>
      <c r="U556" s="2" t="s">
        <v>33</v>
      </c>
    </row>
    <row r="557">
      <c r="A557" s="2">
        <v>556.0</v>
      </c>
      <c r="B557" s="2">
        <v>556.0</v>
      </c>
      <c r="C557" s="2">
        <v>556.0</v>
      </c>
      <c r="D557" s="3">
        <v>44288.0</v>
      </c>
      <c r="E557" s="2" t="s">
        <v>2743</v>
      </c>
      <c r="F557" s="2" t="s">
        <v>123</v>
      </c>
      <c r="G557" s="2">
        <v>972.4</v>
      </c>
      <c r="H557" s="2" t="s">
        <v>3663</v>
      </c>
      <c r="I557" s="2" t="s">
        <v>3664</v>
      </c>
      <c r="J557" s="2" t="s">
        <v>3665</v>
      </c>
      <c r="K557" s="2" t="s">
        <v>32</v>
      </c>
      <c r="M557" s="2">
        <v>87.0</v>
      </c>
      <c r="N557" s="2">
        <v>8458.15</v>
      </c>
      <c r="O557" s="2" t="s">
        <v>41</v>
      </c>
      <c r="P557" s="2" t="s">
        <v>3666</v>
      </c>
      <c r="Q557" s="2" t="s">
        <v>3667</v>
      </c>
      <c r="S557" s="2" t="s">
        <v>3668</v>
      </c>
      <c r="T557" s="2" t="s">
        <v>127</v>
      </c>
      <c r="U557" s="2" t="s">
        <v>33</v>
      </c>
    </row>
    <row r="558">
      <c r="A558" s="2">
        <v>557.0</v>
      </c>
      <c r="B558" s="2">
        <v>557.0</v>
      </c>
      <c r="C558" s="2">
        <v>557.0</v>
      </c>
      <c r="D558" s="3">
        <v>44045.0</v>
      </c>
      <c r="E558" s="2" t="s">
        <v>3669</v>
      </c>
      <c r="F558" s="2" t="s">
        <v>310</v>
      </c>
      <c r="G558" s="2">
        <v>168.66</v>
      </c>
      <c r="H558" s="2" t="s">
        <v>3670</v>
      </c>
      <c r="I558" s="2" t="s">
        <v>3671</v>
      </c>
      <c r="J558" s="2" t="s">
        <v>3672</v>
      </c>
      <c r="K558" s="2" t="s">
        <v>292</v>
      </c>
      <c r="M558" s="2">
        <v>66.0</v>
      </c>
      <c r="N558" s="2">
        <v>1442.17</v>
      </c>
      <c r="O558" s="2" t="s">
        <v>52</v>
      </c>
      <c r="P558" s="2" t="s">
        <v>3673</v>
      </c>
      <c r="Q558" s="2" t="s">
        <v>3674</v>
      </c>
      <c r="S558" s="2">
        <v>9022.0</v>
      </c>
      <c r="T558" s="2" t="s">
        <v>241</v>
      </c>
      <c r="U558" s="2" t="s">
        <v>71</v>
      </c>
    </row>
    <row r="559">
      <c r="A559" s="2">
        <v>558.0</v>
      </c>
      <c r="B559" s="2">
        <v>558.0</v>
      </c>
      <c r="C559" s="2">
        <v>558.0</v>
      </c>
      <c r="D559" s="3">
        <v>43974.0</v>
      </c>
      <c r="E559" s="2" t="s">
        <v>1969</v>
      </c>
      <c r="F559" s="2" t="s">
        <v>332</v>
      </c>
      <c r="G559" s="2">
        <v>475.29</v>
      </c>
      <c r="H559" s="2" t="s">
        <v>3675</v>
      </c>
      <c r="I559" s="2" t="s">
        <v>3676</v>
      </c>
      <c r="J559" s="2" t="s">
        <v>3677</v>
      </c>
      <c r="K559" s="2" t="s">
        <v>114</v>
      </c>
      <c r="L559" s="2" t="s">
        <v>3678</v>
      </c>
      <c r="M559" s="2">
        <v>29.0</v>
      </c>
      <c r="N559" s="2">
        <v>1531.03</v>
      </c>
      <c r="O559" s="2" t="s">
        <v>28</v>
      </c>
      <c r="P559" s="2" t="s">
        <v>3679</v>
      </c>
      <c r="Q559" s="2" t="s">
        <v>3680</v>
      </c>
      <c r="S559" s="2">
        <v>385433.0</v>
      </c>
      <c r="T559" s="2" t="s">
        <v>68</v>
      </c>
      <c r="U559" s="2" t="s">
        <v>71</v>
      </c>
    </row>
    <row r="560">
      <c r="A560" s="2">
        <v>559.0</v>
      </c>
      <c r="B560" s="2">
        <v>559.0</v>
      </c>
      <c r="C560" s="2">
        <v>559.0</v>
      </c>
      <c r="D560" s="3">
        <v>44032.0</v>
      </c>
      <c r="E560" s="2" t="s">
        <v>3140</v>
      </c>
      <c r="F560" s="2" t="s">
        <v>198</v>
      </c>
      <c r="G560" s="2">
        <v>614.8</v>
      </c>
      <c r="H560" s="2" t="s">
        <v>3681</v>
      </c>
      <c r="I560" s="2" t="s">
        <v>3682</v>
      </c>
      <c r="J560" s="2" t="s">
        <v>3683</v>
      </c>
      <c r="K560" s="2" t="s">
        <v>32</v>
      </c>
      <c r="M560" s="2">
        <v>96.0</v>
      </c>
      <c r="N560" s="2">
        <v>7981.74</v>
      </c>
      <c r="O560" s="2" t="s">
        <v>41</v>
      </c>
      <c r="P560" s="2" t="s">
        <v>3684</v>
      </c>
      <c r="Q560" s="2" t="s">
        <v>3685</v>
      </c>
      <c r="T560" s="2" t="s">
        <v>1328</v>
      </c>
      <c r="U560" s="2" t="s">
        <v>71</v>
      </c>
    </row>
    <row r="561">
      <c r="A561" s="2">
        <v>560.0</v>
      </c>
      <c r="B561" s="2">
        <v>560.0</v>
      </c>
      <c r="C561" s="2">
        <v>560.0</v>
      </c>
      <c r="D561" s="3">
        <v>44191.0</v>
      </c>
      <c r="E561" s="2" t="s">
        <v>3686</v>
      </c>
      <c r="F561" s="2" t="s">
        <v>142</v>
      </c>
      <c r="G561" s="2">
        <v>505.0</v>
      </c>
      <c r="H561" s="2" t="s">
        <v>3687</v>
      </c>
      <c r="I561" s="2" t="s">
        <v>3688</v>
      </c>
      <c r="J561" s="2" t="s">
        <v>3689</v>
      </c>
      <c r="K561" s="2" t="s">
        <v>241</v>
      </c>
      <c r="L561" s="2">
        <v>1444.0</v>
      </c>
      <c r="M561" s="2">
        <v>79.0</v>
      </c>
      <c r="N561" s="2">
        <v>8784.73</v>
      </c>
      <c r="O561" s="2" t="s">
        <v>52</v>
      </c>
      <c r="P561" s="2" t="s">
        <v>3690</v>
      </c>
      <c r="Q561" s="2" t="s">
        <v>3691</v>
      </c>
      <c r="S561" s="2" t="s">
        <v>3692</v>
      </c>
      <c r="T561" s="2" t="s">
        <v>379</v>
      </c>
      <c r="U561" s="2" t="s">
        <v>46</v>
      </c>
    </row>
    <row r="562">
      <c r="A562" s="2">
        <v>561.0</v>
      </c>
      <c r="B562" s="2">
        <v>561.0</v>
      </c>
      <c r="C562" s="2">
        <v>561.0</v>
      </c>
      <c r="D562" s="3">
        <v>44034.0</v>
      </c>
      <c r="E562" s="2" t="s">
        <v>3693</v>
      </c>
      <c r="F562" s="2" t="s">
        <v>3694</v>
      </c>
      <c r="G562" s="2">
        <v>35.92</v>
      </c>
      <c r="H562" s="2" t="s">
        <v>2023</v>
      </c>
      <c r="I562" s="2" t="s">
        <v>3695</v>
      </c>
      <c r="J562" s="2" t="s">
        <v>3696</v>
      </c>
      <c r="K562" s="2" t="s">
        <v>32</v>
      </c>
      <c r="M562" s="2">
        <v>45.0</v>
      </c>
      <c r="N562" s="2">
        <v>6357.75</v>
      </c>
      <c r="O562" s="2" t="s">
        <v>28</v>
      </c>
      <c r="P562" s="2" t="s">
        <v>3697</v>
      </c>
      <c r="Q562" s="2" t="s">
        <v>3698</v>
      </c>
      <c r="S562" s="2">
        <v>666330.0</v>
      </c>
      <c r="T562" s="2" t="s">
        <v>68</v>
      </c>
      <c r="U562" s="2" t="s">
        <v>33</v>
      </c>
    </row>
    <row r="563">
      <c r="A563" s="2">
        <v>562.0</v>
      </c>
      <c r="B563" s="2">
        <v>562.0</v>
      </c>
      <c r="C563" s="2">
        <v>562.0</v>
      </c>
      <c r="D563" s="3">
        <v>44175.0</v>
      </c>
      <c r="E563" s="2" t="s">
        <v>3540</v>
      </c>
      <c r="F563" s="2" t="s">
        <v>704</v>
      </c>
      <c r="G563" s="2">
        <v>629.53</v>
      </c>
      <c r="H563" s="2" t="s">
        <v>1517</v>
      </c>
      <c r="I563" s="2" t="s">
        <v>3699</v>
      </c>
      <c r="J563" s="2" t="s">
        <v>3700</v>
      </c>
      <c r="K563" s="2" t="s">
        <v>106</v>
      </c>
      <c r="L563" s="2" t="s">
        <v>3701</v>
      </c>
      <c r="M563" s="2">
        <v>15.0</v>
      </c>
      <c r="N563" s="2">
        <v>3293.95</v>
      </c>
      <c r="O563" s="2" t="s">
        <v>52</v>
      </c>
      <c r="P563" s="2" t="s">
        <v>300</v>
      </c>
      <c r="Q563" s="2" t="s">
        <v>3702</v>
      </c>
      <c r="T563" s="2" t="s">
        <v>1008</v>
      </c>
      <c r="U563" s="2" t="s">
        <v>46</v>
      </c>
    </row>
    <row r="564">
      <c r="A564" s="2">
        <v>563.0</v>
      </c>
      <c r="B564" s="2">
        <v>563.0</v>
      </c>
      <c r="C564" s="2">
        <v>563.0</v>
      </c>
      <c r="D564" s="3">
        <v>44277.0</v>
      </c>
      <c r="E564" s="2" t="s">
        <v>3703</v>
      </c>
      <c r="F564" s="2" t="s">
        <v>332</v>
      </c>
      <c r="G564" s="2">
        <v>930.3</v>
      </c>
      <c r="H564" s="2" t="s">
        <v>3704</v>
      </c>
      <c r="I564" s="2" t="s">
        <v>3705</v>
      </c>
      <c r="J564" s="2" t="s">
        <v>3706</v>
      </c>
      <c r="K564" s="2" t="s">
        <v>257</v>
      </c>
      <c r="L564" s="2" t="s">
        <v>3707</v>
      </c>
      <c r="M564" s="2">
        <v>25.0</v>
      </c>
      <c r="N564" s="2">
        <v>2904.11</v>
      </c>
      <c r="O564" s="2" t="s">
        <v>28</v>
      </c>
      <c r="P564" s="2" t="s">
        <v>300</v>
      </c>
      <c r="Q564" s="2" t="s">
        <v>3708</v>
      </c>
      <c r="R564" s="2" t="s">
        <v>349</v>
      </c>
      <c r="S564" s="2" t="s">
        <v>3709</v>
      </c>
      <c r="T564" s="2" t="s">
        <v>163</v>
      </c>
      <c r="U564" s="2" t="s">
        <v>71</v>
      </c>
    </row>
    <row r="565">
      <c r="A565" s="2">
        <v>564.0</v>
      </c>
      <c r="B565" s="2">
        <v>564.0</v>
      </c>
      <c r="C565" s="2">
        <v>564.0</v>
      </c>
      <c r="D565" s="3">
        <v>43907.0</v>
      </c>
      <c r="E565" s="2" t="s">
        <v>3710</v>
      </c>
      <c r="F565" s="2" t="s">
        <v>97</v>
      </c>
      <c r="G565" s="2">
        <v>292.74</v>
      </c>
      <c r="H565" s="2" t="s">
        <v>3711</v>
      </c>
      <c r="I565" s="2" t="s">
        <v>3712</v>
      </c>
      <c r="J565" s="2" t="s">
        <v>3713</v>
      </c>
      <c r="K565" s="2" t="s">
        <v>32</v>
      </c>
      <c r="M565" s="2">
        <v>66.0</v>
      </c>
      <c r="N565" s="2">
        <v>9187.61</v>
      </c>
      <c r="O565" s="2" t="s">
        <v>52</v>
      </c>
      <c r="P565" s="2" t="s">
        <v>3714</v>
      </c>
      <c r="Q565" s="2" t="s">
        <v>3715</v>
      </c>
      <c r="T565" s="2" t="s">
        <v>32</v>
      </c>
      <c r="U565" s="2" t="s">
        <v>46</v>
      </c>
    </row>
    <row r="566">
      <c r="A566" s="2">
        <v>565.0</v>
      </c>
      <c r="B566" s="2">
        <v>565.0</v>
      </c>
      <c r="C566" s="2">
        <v>565.0</v>
      </c>
      <c r="D566" s="3">
        <v>44173.0</v>
      </c>
      <c r="E566" s="2" t="s">
        <v>2087</v>
      </c>
      <c r="F566" s="2" t="s">
        <v>2088</v>
      </c>
      <c r="G566" s="2">
        <v>828.92</v>
      </c>
      <c r="H566" s="2" t="s">
        <v>3716</v>
      </c>
      <c r="I566" s="2" t="s">
        <v>3717</v>
      </c>
      <c r="J566" s="2" t="s">
        <v>3718</v>
      </c>
      <c r="K566" s="2" t="s">
        <v>45</v>
      </c>
      <c r="L566" s="2">
        <v>22011.0</v>
      </c>
      <c r="M566" s="2">
        <v>22.0</v>
      </c>
      <c r="N566" s="2">
        <v>4089.31</v>
      </c>
      <c r="O566" s="2" t="s">
        <v>28</v>
      </c>
      <c r="P566" s="2" t="s">
        <v>293</v>
      </c>
      <c r="Q566" s="2" t="s">
        <v>3719</v>
      </c>
      <c r="T566" s="2" t="s">
        <v>119</v>
      </c>
      <c r="U566" s="2" t="s">
        <v>33</v>
      </c>
    </row>
    <row r="567">
      <c r="A567" s="2">
        <v>566.0</v>
      </c>
      <c r="B567" s="2">
        <v>566.0</v>
      </c>
      <c r="C567" s="2">
        <v>566.0</v>
      </c>
      <c r="D567" s="3">
        <v>43946.0</v>
      </c>
      <c r="E567" s="2" t="s">
        <v>3720</v>
      </c>
      <c r="F567" s="2" t="s">
        <v>73</v>
      </c>
      <c r="G567" s="2">
        <v>509.64</v>
      </c>
      <c r="H567" s="2" t="s">
        <v>3721</v>
      </c>
      <c r="I567" s="2" t="s">
        <v>3722</v>
      </c>
      <c r="J567" s="2" t="s">
        <v>3723</v>
      </c>
      <c r="K567" s="2" t="s">
        <v>68</v>
      </c>
      <c r="L567" s="2">
        <v>456880.0</v>
      </c>
      <c r="M567" s="2">
        <v>10.0</v>
      </c>
      <c r="N567" s="2">
        <v>9521.13</v>
      </c>
      <c r="O567" s="2" t="s">
        <v>41</v>
      </c>
      <c r="P567" s="2" t="s">
        <v>3724</v>
      </c>
      <c r="Q567" s="2" t="s">
        <v>3725</v>
      </c>
      <c r="T567" s="2" t="s">
        <v>228</v>
      </c>
      <c r="U567" s="2" t="s">
        <v>46</v>
      </c>
    </row>
    <row r="568">
      <c r="A568" s="2">
        <v>567.0</v>
      </c>
      <c r="B568" s="2">
        <v>567.0</v>
      </c>
      <c r="C568" s="2">
        <v>567.0</v>
      </c>
      <c r="D568" s="3">
        <v>44279.0</v>
      </c>
      <c r="E568" s="2" t="s">
        <v>3726</v>
      </c>
      <c r="F568" s="2" t="s">
        <v>3727</v>
      </c>
      <c r="G568" s="2">
        <v>946.75</v>
      </c>
      <c r="H568" s="2" t="s">
        <v>3608</v>
      </c>
      <c r="I568" s="2" t="s">
        <v>3728</v>
      </c>
      <c r="J568" s="2" t="s">
        <v>3729</v>
      </c>
      <c r="K568" s="2" t="s">
        <v>249</v>
      </c>
      <c r="M568" s="2">
        <v>85.0</v>
      </c>
      <c r="N568" s="2">
        <v>4369.73</v>
      </c>
      <c r="O568" s="2" t="s">
        <v>52</v>
      </c>
      <c r="P568" s="2" t="s">
        <v>3730</v>
      </c>
      <c r="Q568" s="2" t="s">
        <v>2691</v>
      </c>
      <c r="S568" s="2" t="s">
        <v>3731</v>
      </c>
      <c r="T568" s="2" t="s">
        <v>127</v>
      </c>
      <c r="U568" s="2" t="s">
        <v>46</v>
      </c>
    </row>
    <row r="569">
      <c r="A569" s="2">
        <v>568.0</v>
      </c>
      <c r="B569" s="2">
        <v>568.0</v>
      </c>
      <c r="C569" s="2">
        <v>568.0</v>
      </c>
      <c r="D569" s="3">
        <v>44353.0</v>
      </c>
      <c r="E569" s="2" t="s">
        <v>3290</v>
      </c>
      <c r="F569" s="2" t="s">
        <v>623</v>
      </c>
      <c r="G569" s="2">
        <v>428.77</v>
      </c>
      <c r="H569" s="2" t="s">
        <v>3732</v>
      </c>
      <c r="I569" s="2" t="s">
        <v>3733</v>
      </c>
      <c r="J569" s="2" t="s">
        <v>3734</v>
      </c>
      <c r="K569" s="2" t="s">
        <v>68</v>
      </c>
      <c r="L569" s="2">
        <v>624486.0</v>
      </c>
      <c r="M569" s="2">
        <v>95.0</v>
      </c>
      <c r="N569" s="2">
        <v>2681.84</v>
      </c>
      <c r="O569" s="2" t="s">
        <v>52</v>
      </c>
      <c r="P569" s="2" t="s">
        <v>3735</v>
      </c>
      <c r="Q569" s="2" t="s">
        <v>3736</v>
      </c>
      <c r="T569" s="2" t="s">
        <v>119</v>
      </c>
      <c r="U569" s="2" t="s">
        <v>46</v>
      </c>
    </row>
    <row r="570">
      <c r="A570" s="2">
        <v>569.0</v>
      </c>
      <c r="B570" s="2">
        <v>569.0</v>
      </c>
      <c r="C570" s="2">
        <v>569.0</v>
      </c>
      <c r="D570" s="3">
        <v>43938.0</v>
      </c>
      <c r="E570" s="2" t="s">
        <v>3737</v>
      </c>
      <c r="F570" s="2" t="s">
        <v>237</v>
      </c>
      <c r="G570" s="2">
        <v>69.7</v>
      </c>
      <c r="H570" s="2" t="s">
        <v>3738</v>
      </c>
      <c r="I570" s="2" t="s">
        <v>3739</v>
      </c>
      <c r="J570" s="2" t="s">
        <v>3740</v>
      </c>
      <c r="K570" s="2" t="s">
        <v>101</v>
      </c>
      <c r="L570" s="2">
        <v>11388.0</v>
      </c>
      <c r="M570" s="2">
        <v>1.0</v>
      </c>
      <c r="N570" s="2">
        <v>6052.16</v>
      </c>
      <c r="O570" s="2" t="s">
        <v>52</v>
      </c>
      <c r="P570" s="2" t="s">
        <v>300</v>
      </c>
      <c r="Q570" s="2" t="s">
        <v>3741</v>
      </c>
      <c r="R570" s="2" t="s">
        <v>3742</v>
      </c>
      <c r="S570" s="2" t="s">
        <v>3743</v>
      </c>
      <c r="T570" s="2" t="s">
        <v>114</v>
      </c>
      <c r="U570" s="2" t="s">
        <v>46</v>
      </c>
    </row>
    <row r="571">
      <c r="A571" s="2">
        <v>570.0</v>
      </c>
      <c r="B571" s="2">
        <v>570.0</v>
      </c>
      <c r="C571" s="2">
        <v>570.0</v>
      </c>
      <c r="D571" s="3">
        <v>43908.0</v>
      </c>
      <c r="E571" s="2" t="s">
        <v>2784</v>
      </c>
      <c r="F571" s="2" t="s">
        <v>413</v>
      </c>
      <c r="G571" s="2">
        <v>166.09</v>
      </c>
      <c r="H571" s="2" t="s">
        <v>3744</v>
      </c>
      <c r="I571" s="2" t="s">
        <v>3745</v>
      </c>
      <c r="J571" s="2" t="s">
        <v>3746</v>
      </c>
      <c r="K571" s="2" t="s">
        <v>529</v>
      </c>
      <c r="L571" s="2">
        <v>43161.0</v>
      </c>
      <c r="M571" s="2">
        <v>58.0</v>
      </c>
      <c r="N571" s="2">
        <v>534.22</v>
      </c>
      <c r="O571" s="2" t="s">
        <v>41</v>
      </c>
      <c r="P571" s="2" t="s">
        <v>3747</v>
      </c>
      <c r="Q571" s="2" t="s">
        <v>3370</v>
      </c>
      <c r="R571" s="2" t="s">
        <v>3748</v>
      </c>
      <c r="T571" s="2" t="s">
        <v>119</v>
      </c>
      <c r="U571" s="2" t="s">
        <v>46</v>
      </c>
    </row>
    <row r="572">
      <c r="A572" s="2">
        <v>571.0</v>
      </c>
      <c r="B572" s="2">
        <v>571.0</v>
      </c>
      <c r="C572" s="2">
        <v>571.0</v>
      </c>
      <c r="D572" s="3">
        <v>43843.0</v>
      </c>
      <c r="E572" s="2" t="s">
        <v>3749</v>
      </c>
      <c r="F572" s="2" t="s">
        <v>263</v>
      </c>
      <c r="G572" s="2">
        <v>741.07</v>
      </c>
      <c r="H572" s="2" t="s">
        <v>3750</v>
      </c>
      <c r="I572" s="2" t="s">
        <v>3751</v>
      </c>
      <c r="J572" s="2" t="s">
        <v>3752</v>
      </c>
      <c r="K572" s="2" t="s">
        <v>39</v>
      </c>
      <c r="L572" s="2" t="s">
        <v>3753</v>
      </c>
      <c r="M572" s="2">
        <v>92.0</v>
      </c>
      <c r="N572" s="2">
        <v>5598.12</v>
      </c>
      <c r="O572" s="2" t="s">
        <v>28</v>
      </c>
      <c r="P572" s="2" t="s">
        <v>1812</v>
      </c>
      <c r="Q572" s="2" t="s">
        <v>3754</v>
      </c>
      <c r="R572" s="2" t="s">
        <v>736</v>
      </c>
      <c r="S572" s="2">
        <v>7103.0</v>
      </c>
      <c r="T572" s="2" t="s">
        <v>178</v>
      </c>
      <c r="U572" s="2" t="s">
        <v>46</v>
      </c>
    </row>
    <row r="573">
      <c r="A573" s="2">
        <v>572.0</v>
      </c>
      <c r="B573" s="2">
        <v>572.0</v>
      </c>
      <c r="C573" s="2">
        <v>572.0</v>
      </c>
      <c r="D573" s="3">
        <v>44506.0</v>
      </c>
      <c r="E573" s="2" t="s">
        <v>2146</v>
      </c>
      <c r="F573" s="2" t="s">
        <v>2147</v>
      </c>
      <c r="G573" s="2">
        <v>821.21</v>
      </c>
      <c r="H573" s="2" t="s">
        <v>731</v>
      </c>
      <c r="I573" s="2" t="s">
        <v>3755</v>
      </c>
      <c r="J573" s="2" t="s">
        <v>3756</v>
      </c>
      <c r="K573" s="2" t="s">
        <v>26</v>
      </c>
      <c r="L573" s="2" t="s">
        <v>3757</v>
      </c>
      <c r="M573" s="2">
        <v>35.0</v>
      </c>
      <c r="N573" s="2">
        <v>8053.69</v>
      </c>
      <c r="O573" s="2" t="s">
        <v>52</v>
      </c>
      <c r="P573" s="2" t="s">
        <v>3758</v>
      </c>
      <c r="Q573" s="2" t="s">
        <v>3759</v>
      </c>
      <c r="R573" s="2" t="s">
        <v>660</v>
      </c>
      <c r="S573" s="2">
        <v>9120.0</v>
      </c>
      <c r="T573" s="2" t="s">
        <v>178</v>
      </c>
      <c r="U573" s="2" t="s">
        <v>46</v>
      </c>
    </row>
    <row r="574">
      <c r="A574" s="2">
        <v>573.0</v>
      </c>
      <c r="B574" s="2">
        <v>573.0</v>
      </c>
      <c r="C574" s="2">
        <v>573.0</v>
      </c>
      <c r="D574" s="3">
        <v>43862.0</v>
      </c>
      <c r="E574" s="2" t="s">
        <v>3760</v>
      </c>
      <c r="F574" s="2" t="s">
        <v>35</v>
      </c>
      <c r="G574" s="2">
        <v>760.3</v>
      </c>
      <c r="H574" s="2" t="s">
        <v>3761</v>
      </c>
      <c r="I574" s="2" t="s">
        <v>3762</v>
      </c>
      <c r="J574" s="2" t="s">
        <v>3763</v>
      </c>
      <c r="K574" s="2" t="s">
        <v>39</v>
      </c>
      <c r="L574" s="2" t="s">
        <v>3764</v>
      </c>
      <c r="M574" s="2">
        <v>25.0</v>
      </c>
      <c r="N574" s="2">
        <v>499.04</v>
      </c>
      <c r="O574" s="2" t="s">
        <v>41</v>
      </c>
      <c r="P574" s="2" t="s">
        <v>3765</v>
      </c>
      <c r="Q574" s="2" t="s">
        <v>3766</v>
      </c>
      <c r="R574" s="2" t="s">
        <v>3767</v>
      </c>
      <c r="T574" s="2" t="s">
        <v>32</v>
      </c>
      <c r="U574" s="2" t="s">
        <v>71</v>
      </c>
    </row>
    <row r="575">
      <c r="A575" s="2">
        <v>574.0</v>
      </c>
      <c r="B575" s="2">
        <v>574.0</v>
      </c>
      <c r="C575" s="2">
        <v>574.0</v>
      </c>
      <c r="D575" s="3">
        <v>44073.0</v>
      </c>
      <c r="E575" s="2" t="s">
        <v>3768</v>
      </c>
      <c r="F575" s="2" t="s">
        <v>3769</v>
      </c>
      <c r="G575" s="2">
        <v>178.71</v>
      </c>
      <c r="H575" s="2" t="s">
        <v>3770</v>
      </c>
      <c r="I575" s="2" t="s">
        <v>3771</v>
      </c>
      <c r="J575" s="2" t="s">
        <v>3772</v>
      </c>
      <c r="K575" s="2" t="s">
        <v>267</v>
      </c>
      <c r="M575" s="2">
        <v>29.0</v>
      </c>
      <c r="N575" s="2">
        <v>751.99</v>
      </c>
      <c r="O575" s="2" t="s">
        <v>52</v>
      </c>
      <c r="P575" s="2" t="s">
        <v>3773</v>
      </c>
      <c r="Q575" s="2" t="s">
        <v>3774</v>
      </c>
      <c r="S575" s="2">
        <v>4751.0</v>
      </c>
      <c r="T575" s="2" t="s">
        <v>178</v>
      </c>
      <c r="U575" s="2" t="s">
        <v>71</v>
      </c>
    </row>
    <row r="576">
      <c r="A576" s="2">
        <v>575.0</v>
      </c>
      <c r="B576" s="2">
        <v>575.0</v>
      </c>
      <c r="C576" s="2">
        <v>575.0</v>
      </c>
      <c r="D576" s="3">
        <v>44515.0</v>
      </c>
      <c r="E576" s="2" t="s">
        <v>3775</v>
      </c>
      <c r="F576" s="2" t="s">
        <v>332</v>
      </c>
      <c r="G576" s="2">
        <v>587.41</v>
      </c>
      <c r="H576" s="2" t="s">
        <v>3776</v>
      </c>
      <c r="I576" s="2" t="s">
        <v>3777</v>
      </c>
      <c r="J576" s="2" t="s">
        <v>3778</v>
      </c>
      <c r="K576" s="2" t="s">
        <v>26</v>
      </c>
      <c r="L576" s="2" t="s">
        <v>3779</v>
      </c>
      <c r="M576" s="2">
        <v>93.0</v>
      </c>
      <c r="N576" s="2">
        <v>5539.9</v>
      </c>
      <c r="O576" s="2" t="s">
        <v>41</v>
      </c>
      <c r="P576" s="2" t="s">
        <v>3780</v>
      </c>
      <c r="Q576" s="2" t="s">
        <v>3781</v>
      </c>
      <c r="R576" s="2" t="s">
        <v>3782</v>
      </c>
      <c r="S576" s="2">
        <v>164646.0</v>
      </c>
      <c r="T576" s="2" t="s">
        <v>68</v>
      </c>
      <c r="U576" s="2" t="s">
        <v>46</v>
      </c>
    </row>
    <row r="577">
      <c r="A577" s="2">
        <v>576.0</v>
      </c>
      <c r="B577" s="2">
        <v>576.0</v>
      </c>
      <c r="C577" s="2">
        <v>576.0</v>
      </c>
      <c r="D577" s="3">
        <v>44009.0</v>
      </c>
      <c r="E577" s="2" t="s">
        <v>3783</v>
      </c>
      <c r="F577" s="2" t="s">
        <v>73</v>
      </c>
      <c r="G577" s="2">
        <v>933.34</v>
      </c>
      <c r="H577" s="2" t="s">
        <v>3784</v>
      </c>
      <c r="I577" s="2" t="s">
        <v>3785</v>
      </c>
      <c r="J577" s="2" t="s">
        <v>3786</v>
      </c>
      <c r="K577" s="2" t="s">
        <v>330</v>
      </c>
      <c r="M577" s="2">
        <v>35.0</v>
      </c>
      <c r="N577" s="2">
        <v>9114.16</v>
      </c>
      <c r="O577" s="2" t="s">
        <v>41</v>
      </c>
      <c r="P577" s="2" t="s">
        <v>2850</v>
      </c>
      <c r="Q577" s="2" t="s">
        <v>3787</v>
      </c>
      <c r="T577" s="2" t="s">
        <v>32</v>
      </c>
      <c r="U577" s="2" t="s">
        <v>71</v>
      </c>
    </row>
    <row r="578">
      <c r="A578" s="2">
        <v>577.0</v>
      </c>
      <c r="B578" s="2">
        <v>577.0</v>
      </c>
      <c r="C578" s="2">
        <v>577.0</v>
      </c>
      <c r="D578" s="3">
        <v>43927.0</v>
      </c>
      <c r="E578" s="2" t="s">
        <v>3788</v>
      </c>
      <c r="F578" s="2" t="s">
        <v>237</v>
      </c>
      <c r="G578" s="2">
        <v>727.69</v>
      </c>
      <c r="H578" s="2" t="s">
        <v>3789</v>
      </c>
      <c r="I578" s="2" t="s">
        <v>3790</v>
      </c>
      <c r="J578" s="2" t="s">
        <v>3791</v>
      </c>
      <c r="K578" s="2" t="s">
        <v>3792</v>
      </c>
      <c r="M578" s="2">
        <v>71.0</v>
      </c>
      <c r="N578" s="2">
        <v>6160.55</v>
      </c>
      <c r="O578" s="2" t="s">
        <v>28</v>
      </c>
      <c r="P578" s="2" t="s">
        <v>3793</v>
      </c>
      <c r="Q578" s="2" t="s">
        <v>3794</v>
      </c>
      <c r="T578" s="2" t="s">
        <v>32</v>
      </c>
      <c r="U578" s="2" t="s">
        <v>46</v>
      </c>
    </row>
    <row r="579">
      <c r="A579" s="2">
        <v>578.0</v>
      </c>
      <c r="B579" s="2">
        <v>578.0</v>
      </c>
      <c r="C579" s="2">
        <v>578.0</v>
      </c>
      <c r="D579" s="3">
        <v>44097.0</v>
      </c>
      <c r="E579" s="2" t="s">
        <v>426</v>
      </c>
      <c r="F579" s="2" t="s">
        <v>213</v>
      </c>
      <c r="G579" s="2">
        <v>873.82</v>
      </c>
      <c r="H579" s="2" t="s">
        <v>3795</v>
      </c>
      <c r="I579" s="2" t="s">
        <v>3796</v>
      </c>
      <c r="J579" s="2" t="s">
        <v>3797</v>
      </c>
      <c r="K579" s="2" t="s">
        <v>178</v>
      </c>
      <c r="L579" s="2">
        <v>3716.0</v>
      </c>
      <c r="M579" s="2">
        <v>80.0</v>
      </c>
      <c r="N579" s="2">
        <v>5634.15</v>
      </c>
      <c r="O579" s="2" t="s">
        <v>52</v>
      </c>
      <c r="P579" s="2" t="s">
        <v>1368</v>
      </c>
      <c r="Q579" s="2" t="s">
        <v>3798</v>
      </c>
      <c r="T579" s="2" t="s">
        <v>32</v>
      </c>
      <c r="U579" s="2" t="s">
        <v>33</v>
      </c>
    </row>
    <row r="580">
      <c r="A580" s="2">
        <v>579.0</v>
      </c>
      <c r="B580" s="2">
        <v>579.0</v>
      </c>
      <c r="C580" s="2">
        <v>579.0</v>
      </c>
      <c r="D580" s="3">
        <v>44180.0</v>
      </c>
      <c r="E580" s="2" t="s">
        <v>815</v>
      </c>
      <c r="F580" s="2" t="s">
        <v>165</v>
      </c>
      <c r="G580" s="2">
        <v>346.48</v>
      </c>
      <c r="H580" s="2" t="s">
        <v>3799</v>
      </c>
      <c r="I580" s="2" t="s">
        <v>3800</v>
      </c>
      <c r="J580" s="2" t="s">
        <v>3801</v>
      </c>
      <c r="K580" s="2" t="s">
        <v>791</v>
      </c>
      <c r="M580" s="2">
        <v>17.0</v>
      </c>
      <c r="N580" s="2">
        <v>7181.86</v>
      </c>
      <c r="O580" s="2" t="s">
        <v>41</v>
      </c>
      <c r="P580" s="2" t="s">
        <v>3802</v>
      </c>
      <c r="Q580" s="2" t="s">
        <v>3803</v>
      </c>
      <c r="S580" s="2">
        <v>453703.0</v>
      </c>
      <c r="T580" s="2" t="s">
        <v>68</v>
      </c>
      <c r="U580" s="2" t="s">
        <v>33</v>
      </c>
    </row>
    <row r="581">
      <c r="A581" s="2">
        <v>580.0</v>
      </c>
      <c r="B581" s="2">
        <v>580.0</v>
      </c>
      <c r="C581" s="2">
        <v>580.0</v>
      </c>
      <c r="D581" s="3">
        <v>44396.0</v>
      </c>
      <c r="E581" s="2" t="s">
        <v>3804</v>
      </c>
      <c r="F581" s="2" t="s">
        <v>1046</v>
      </c>
      <c r="G581" s="2">
        <v>147.14</v>
      </c>
      <c r="H581" s="2" t="s">
        <v>3805</v>
      </c>
      <c r="I581" s="2" t="s">
        <v>3806</v>
      </c>
      <c r="J581" s="2" t="s">
        <v>3807</v>
      </c>
      <c r="K581" s="2" t="s">
        <v>630</v>
      </c>
      <c r="L581" s="2">
        <v>38106.0</v>
      </c>
      <c r="M581" s="2">
        <v>33.0</v>
      </c>
      <c r="N581" s="2">
        <v>8782.43</v>
      </c>
      <c r="O581" s="2" t="s">
        <v>28</v>
      </c>
      <c r="P581" s="2" t="s">
        <v>3808</v>
      </c>
      <c r="Q581" s="2" t="s">
        <v>3809</v>
      </c>
      <c r="R581" s="2" t="s">
        <v>3810</v>
      </c>
      <c r="S581" s="2" t="s">
        <v>645</v>
      </c>
      <c r="T581" s="2" t="s">
        <v>114</v>
      </c>
      <c r="U581" s="2" t="s">
        <v>46</v>
      </c>
    </row>
    <row r="582">
      <c r="A582" s="2">
        <v>581.0</v>
      </c>
      <c r="B582" s="2">
        <v>581.0</v>
      </c>
      <c r="C582" s="2">
        <v>581.0</v>
      </c>
      <c r="D582" s="3">
        <v>44168.0</v>
      </c>
      <c r="E582" s="2" t="s">
        <v>3811</v>
      </c>
      <c r="F582" s="2" t="s">
        <v>3553</v>
      </c>
      <c r="G582" s="2">
        <v>474.44</v>
      </c>
      <c r="H582" s="2" t="s">
        <v>3812</v>
      </c>
      <c r="I582" s="2" t="s">
        <v>3813</v>
      </c>
      <c r="J582" s="2" t="s">
        <v>3814</v>
      </c>
      <c r="K582" s="2" t="s">
        <v>1450</v>
      </c>
      <c r="M582" s="2">
        <v>91.0</v>
      </c>
      <c r="N582" s="2">
        <v>6277.76</v>
      </c>
      <c r="O582" s="2" t="s">
        <v>28</v>
      </c>
      <c r="P582" s="2" t="s">
        <v>543</v>
      </c>
      <c r="Q582" s="2" t="s">
        <v>3815</v>
      </c>
      <c r="T582" s="2" t="s">
        <v>32</v>
      </c>
      <c r="U582" s="2" t="s">
        <v>71</v>
      </c>
    </row>
    <row r="583">
      <c r="A583" s="2">
        <v>582.0</v>
      </c>
      <c r="B583" s="2">
        <v>582.0</v>
      </c>
      <c r="C583" s="2">
        <v>582.0</v>
      </c>
      <c r="D583" s="3">
        <v>44138.0</v>
      </c>
      <c r="E583" s="2" t="s">
        <v>3816</v>
      </c>
      <c r="F583" s="2" t="s">
        <v>35</v>
      </c>
      <c r="G583" s="2">
        <v>679.95</v>
      </c>
      <c r="H583" s="2" t="s">
        <v>3817</v>
      </c>
      <c r="I583" s="2" t="s">
        <v>3818</v>
      </c>
      <c r="J583" s="2" t="s">
        <v>3819</v>
      </c>
      <c r="K583" s="2" t="s">
        <v>1380</v>
      </c>
      <c r="M583" s="2">
        <v>58.0</v>
      </c>
      <c r="N583" s="2">
        <v>1882.91</v>
      </c>
      <c r="O583" s="2" t="s">
        <v>52</v>
      </c>
      <c r="P583" s="2" t="s">
        <v>3820</v>
      </c>
      <c r="Q583" s="2" t="s">
        <v>3821</v>
      </c>
      <c r="T583" s="2" t="s">
        <v>292</v>
      </c>
      <c r="U583" s="2" t="s">
        <v>33</v>
      </c>
    </row>
    <row r="584">
      <c r="A584" s="2">
        <v>583.0</v>
      </c>
      <c r="B584" s="2">
        <v>583.0</v>
      </c>
      <c r="C584" s="2">
        <v>583.0</v>
      </c>
      <c r="D584" s="3">
        <v>44053.0</v>
      </c>
      <c r="E584" s="2" t="s">
        <v>3822</v>
      </c>
      <c r="F584" s="2" t="s">
        <v>3600</v>
      </c>
      <c r="G584" s="2">
        <v>352.9</v>
      </c>
      <c r="H584" s="2" t="s">
        <v>3823</v>
      </c>
      <c r="I584" s="2" t="s">
        <v>3824</v>
      </c>
      <c r="J584" s="2" t="s">
        <v>3825</v>
      </c>
      <c r="K584" s="2" t="s">
        <v>68</v>
      </c>
      <c r="L584" s="2">
        <v>140732.0</v>
      </c>
      <c r="M584" s="2">
        <v>94.0</v>
      </c>
      <c r="N584" s="2">
        <v>6843.59</v>
      </c>
      <c r="O584" s="2" t="s">
        <v>52</v>
      </c>
      <c r="P584" s="2" t="s">
        <v>3826</v>
      </c>
      <c r="Q584" s="2" t="s">
        <v>3827</v>
      </c>
      <c r="S584" s="2">
        <v>703018.0</v>
      </c>
      <c r="T584" s="2" t="s">
        <v>819</v>
      </c>
      <c r="U584" s="2" t="s">
        <v>33</v>
      </c>
    </row>
    <row r="585">
      <c r="A585" s="2">
        <v>584.0</v>
      </c>
      <c r="B585" s="2">
        <v>584.0</v>
      </c>
      <c r="C585" s="2">
        <v>584.0</v>
      </c>
      <c r="D585" s="3">
        <v>43833.0</v>
      </c>
      <c r="E585" s="2" t="s">
        <v>3828</v>
      </c>
      <c r="F585" s="2" t="s">
        <v>538</v>
      </c>
      <c r="G585" s="2">
        <v>101.08</v>
      </c>
      <c r="H585" s="2" t="s">
        <v>3829</v>
      </c>
      <c r="I585" s="2" t="s">
        <v>3830</v>
      </c>
      <c r="J585" s="2" t="s">
        <v>3831</v>
      </c>
      <c r="K585" s="2" t="s">
        <v>32</v>
      </c>
      <c r="M585" s="2">
        <v>82.0</v>
      </c>
      <c r="N585" s="2">
        <v>8007.17</v>
      </c>
      <c r="O585" s="2" t="s">
        <v>41</v>
      </c>
      <c r="P585" s="2" t="s">
        <v>398</v>
      </c>
      <c r="Q585" s="2" t="s">
        <v>3832</v>
      </c>
      <c r="S585" s="2" t="s">
        <v>3833</v>
      </c>
      <c r="T585" s="2" t="s">
        <v>114</v>
      </c>
      <c r="U585" s="2" t="s">
        <v>46</v>
      </c>
    </row>
    <row r="586">
      <c r="A586" s="2">
        <v>585.0</v>
      </c>
      <c r="B586" s="2">
        <v>585.0</v>
      </c>
      <c r="C586" s="2">
        <v>585.0</v>
      </c>
      <c r="D586" s="3">
        <v>44455.0</v>
      </c>
      <c r="E586" s="2" t="s">
        <v>3834</v>
      </c>
      <c r="F586" s="2" t="s">
        <v>992</v>
      </c>
      <c r="G586" s="2">
        <v>396.22</v>
      </c>
      <c r="H586" s="2" t="s">
        <v>705</v>
      </c>
      <c r="I586" s="2" t="s">
        <v>3835</v>
      </c>
      <c r="J586" s="2" t="s">
        <v>3836</v>
      </c>
      <c r="K586" s="2" t="s">
        <v>68</v>
      </c>
      <c r="L586" s="2">
        <v>692607.0</v>
      </c>
      <c r="M586" s="2">
        <v>65.0</v>
      </c>
      <c r="N586" s="2">
        <v>5159.43</v>
      </c>
      <c r="O586" s="2" t="s">
        <v>52</v>
      </c>
      <c r="P586" s="2" t="s">
        <v>277</v>
      </c>
      <c r="Q586" s="2" t="s">
        <v>3837</v>
      </c>
      <c r="T586" s="2" t="s">
        <v>32</v>
      </c>
      <c r="U586" s="2" t="s">
        <v>71</v>
      </c>
    </row>
    <row r="587">
      <c r="A587" s="2">
        <v>586.0</v>
      </c>
      <c r="B587" s="2">
        <v>586.0</v>
      </c>
      <c r="C587" s="2">
        <v>586.0</v>
      </c>
      <c r="D587" s="3">
        <v>44268.0</v>
      </c>
      <c r="E587" s="2" t="s">
        <v>3838</v>
      </c>
      <c r="F587" s="2" t="s">
        <v>310</v>
      </c>
      <c r="G587" s="2">
        <v>494.86</v>
      </c>
      <c r="H587" s="2" t="s">
        <v>3839</v>
      </c>
      <c r="I587" s="2" t="s">
        <v>3840</v>
      </c>
      <c r="J587" s="2" t="s">
        <v>3841</v>
      </c>
      <c r="K587" s="2" t="s">
        <v>796</v>
      </c>
      <c r="L587" s="2">
        <v>1225.0</v>
      </c>
      <c r="M587" s="2">
        <v>14.0</v>
      </c>
      <c r="N587" s="2">
        <v>4955.57</v>
      </c>
      <c r="O587" s="2" t="s">
        <v>41</v>
      </c>
      <c r="P587" s="2" t="s">
        <v>3842</v>
      </c>
      <c r="Q587" s="2" t="s">
        <v>3843</v>
      </c>
      <c r="S587" s="2" t="s">
        <v>3844</v>
      </c>
      <c r="T587" s="2" t="s">
        <v>257</v>
      </c>
      <c r="U587" s="2" t="s">
        <v>33</v>
      </c>
    </row>
    <row r="588">
      <c r="A588" s="2">
        <v>587.0</v>
      </c>
      <c r="B588" s="2">
        <v>587.0</v>
      </c>
      <c r="C588" s="2">
        <v>587.0</v>
      </c>
      <c r="D588" s="3">
        <v>44436.0</v>
      </c>
      <c r="E588" s="2" t="s">
        <v>2357</v>
      </c>
      <c r="F588" s="2" t="s">
        <v>800</v>
      </c>
      <c r="G588" s="2">
        <v>209.73</v>
      </c>
      <c r="H588" s="2" t="s">
        <v>3845</v>
      </c>
      <c r="I588" s="2" t="s">
        <v>3846</v>
      </c>
      <c r="J588" s="2" t="s">
        <v>3847</v>
      </c>
      <c r="K588" s="2" t="s">
        <v>178</v>
      </c>
      <c r="L588" s="2">
        <v>6430.0</v>
      </c>
      <c r="M588" s="2">
        <v>66.0</v>
      </c>
      <c r="N588" s="2">
        <v>5008.29</v>
      </c>
      <c r="O588" s="2" t="s">
        <v>41</v>
      </c>
      <c r="P588" s="2" t="s">
        <v>3848</v>
      </c>
      <c r="Q588" s="2" t="s">
        <v>3849</v>
      </c>
      <c r="T588" s="2" t="s">
        <v>32</v>
      </c>
      <c r="U588" s="2" t="s">
        <v>71</v>
      </c>
    </row>
    <row r="589">
      <c r="A589" s="2">
        <v>588.0</v>
      </c>
      <c r="B589" s="2">
        <v>588.0</v>
      </c>
      <c r="C589" s="2">
        <v>588.0</v>
      </c>
      <c r="D589" s="3">
        <v>44151.0</v>
      </c>
      <c r="E589" s="2" t="s">
        <v>3850</v>
      </c>
      <c r="F589" s="2" t="s">
        <v>1046</v>
      </c>
      <c r="G589" s="2">
        <v>690.94</v>
      </c>
      <c r="H589" s="2" t="s">
        <v>3851</v>
      </c>
      <c r="I589" s="2" t="s">
        <v>3852</v>
      </c>
      <c r="J589" s="2" t="s">
        <v>3853</v>
      </c>
      <c r="K589" s="2" t="s">
        <v>257</v>
      </c>
      <c r="L589" s="2" t="s">
        <v>3854</v>
      </c>
      <c r="M589" s="2">
        <v>97.0</v>
      </c>
      <c r="N589" s="2">
        <v>8570.91</v>
      </c>
      <c r="O589" s="2" t="s">
        <v>41</v>
      </c>
      <c r="P589" s="2" t="s">
        <v>300</v>
      </c>
      <c r="Q589" s="2" t="s">
        <v>3855</v>
      </c>
      <c r="R589" s="2" t="s">
        <v>3856</v>
      </c>
      <c r="S589" s="2">
        <v>4023.0</v>
      </c>
      <c r="T589" s="2" t="s">
        <v>241</v>
      </c>
      <c r="U589" s="2" t="s">
        <v>71</v>
      </c>
    </row>
    <row r="590">
      <c r="A590" s="2">
        <v>589.0</v>
      </c>
      <c r="B590" s="2">
        <v>589.0</v>
      </c>
      <c r="C590" s="2">
        <v>589.0</v>
      </c>
      <c r="D590" s="3">
        <v>43965.0</v>
      </c>
      <c r="E590" s="2" t="s">
        <v>3329</v>
      </c>
      <c r="F590" s="2" t="s">
        <v>3330</v>
      </c>
      <c r="G590" s="2">
        <v>314.73</v>
      </c>
      <c r="H590" s="2" t="s">
        <v>3857</v>
      </c>
      <c r="I590" s="2" t="s">
        <v>3858</v>
      </c>
      <c r="J590" s="2" t="s">
        <v>3859</v>
      </c>
      <c r="K590" s="2" t="s">
        <v>257</v>
      </c>
      <c r="L590" s="2" t="s">
        <v>3860</v>
      </c>
      <c r="M590" s="2">
        <v>3.0</v>
      </c>
      <c r="N590" s="2">
        <v>161.97</v>
      </c>
      <c r="O590" s="2" t="s">
        <v>28</v>
      </c>
      <c r="P590" s="2" t="s">
        <v>398</v>
      </c>
      <c r="Q590" s="2" t="s">
        <v>3861</v>
      </c>
      <c r="R590" s="2" t="s">
        <v>371</v>
      </c>
      <c r="S590" s="2">
        <v>930.0</v>
      </c>
      <c r="T590" s="2" t="s">
        <v>241</v>
      </c>
      <c r="U590" s="2" t="s">
        <v>71</v>
      </c>
    </row>
    <row r="591">
      <c r="A591" s="2">
        <v>590.0</v>
      </c>
      <c r="B591" s="2">
        <v>590.0</v>
      </c>
      <c r="C591" s="2">
        <v>590.0</v>
      </c>
      <c r="D591" s="3">
        <v>44372.0</v>
      </c>
      <c r="E591" s="2" t="s">
        <v>3862</v>
      </c>
      <c r="F591" s="2" t="s">
        <v>97</v>
      </c>
      <c r="G591" s="2">
        <v>120.9</v>
      </c>
      <c r="H591" s="2" t="s">
        <v>3863</v>
      </c>
      <c r="I591" s="2" t="s">
        <v>3864</v>
      </c>
      <c r="J591" s="2" t="s">
        <v>3865</v>
      </c>
      <c r="K591" s="2" t="s">
        <v>32</v>
      </c>
      <c r="M591" s="2">
        <v>16.0</v>
      </c>
      <c r="N591" s="2">
        <v>2409.49</v>
      </c>
      <c r="O591" s="2" t="s">
        <v>52</v>
      </c>
      <c r="P591" s="2" t="s">
        <v>3866</v>
      </c>
      <c r="Q591" s="2" t="s">
        <v>3867</v>
      </c>
      <c r="T591" s="2" t="s">
        <v>1959</v>
      </c>
      <c r="U591" s="2" t="s">
        <v>33</v>
      </c>
    </row>
    <row r="592">
      <c r="A592" s="2">
        <v>591.0</v>
      </c>
      <c r="B592" s="2">
        <v>591.0</v>
      </c>
      <c r="C592" s="2">
        <v>591.0</v>
      </c>
      <c r="D592" s="3">
        <v>43974.0</v>
      </c>
      <c r="E592" s="2" t="s">
        <v>2774</v>
      </c>
      <c r="F592" s="2" t="s">
        <v>133</v>
      </c>
      <c r="G592" s="2">
        <v>700.84</v>
      </c>
      <c r="H592" s="2" t="s">
        <v>3868</v>
      </c>
      <c r="I592" s="2" t="s">
        <v>3869</v>
      </c>
      <c r="J592" s="2" t="s">
        <v>3870</v>
      </c>
      <c r="K592" s="2" t="s">
        <v>163</v>
      </c>
      <c r="L592" s="2" t="s">
        <v>3871</v>
      </c>
      <c r="M592" s="2">
        <v>46.0</v>
      </c>
      <c r="N592" s="2">
        <v>6917.34</v>
      </c>
      <c r="O592" s="2" t="s">
        <v>41</v>
      </c>
      <c r="P592" s="2" t="s">
        <v>3872</v>
      </c>
      <c r="Q592" s="2" t="s">
        <v>3873</v>
      </c>
      <c r="T592" s="2" t="s">
        <v>228</v>
      </c>
      <c r="U592" s="2" t="s">
        <v>46</v>
      </c>
    </row>
    <row r="593">
      <c r="A593" s="2">
        <v>592.0</v>
      </c>
      <c r="B593" s="2">
        <v>592.0</v>
      </c>
      <c r="C593" s="2">
        <v>592.0</v>
      </c>
      <c r="D593" s="3">
        <v>44114.0</v>
      </c>
      <c r="E593" s="2" t="s">
        <v>3874</v>
      </c>
      <c r="F593" s="2" t="s">
        <v>73</v>
      </c>
      <c r="G593" s="2">
        <v>446.7</v>
      </c>
      <c r="H593" s="2" t="s">
        <v>3875</v>
      </c>
      <c r="I593" s="2" t="s">
        <v>3876</v>
      </c>
      <c r="J593" s="2" t="s">
        <v>3877</v>
      </c>
      <c r="K593" s="2" t="s">
        <v>39</v>
      </c>
      <c r="L593" s="2" t="s">
        <v>3878</v>
      </c>
      <c r="M593" s="2">
        <v>80.0</v>
      </c>
      <c r="N593" s="2">
        <v>7508.16</v>
      </c>
      <c r="O593" s="2" t="s">
        <v>28</v>
      </c>
      <c r="P593" s="2" t="s">
        <v>355</v>
      </c>
      <c r="Q593" s="2" t="s">
        <v>3879</v>
      </c>
      <c r="R593" s="2" t="s">
        <v>736</v>
      </c>
      <c r="T593" s="2" t="s">
        <v>1328</v>
      </c>
      <c r="U593" s="2" t="s">
        <v>46</v>
      </c>
    </row>
    <row r="594">
      <c r="A594" s="2">
        <v>593.0</v>
      </c>
      <c r="B594" s="2">
        <v>593.0</v>
      </c>
      <c r="C594" s="2">
        <v>593.0</v>
      </c>
      <c r="D594" s="3">
        <v>44052.0</v>
      </c>
      <c r="E594" s="2" t="s">
        <v>3880</v>
      </c>
      <c r="F594" s="2" t="s">
        <v>88</v>
      </c>
      <c r="G594" s="2">
        <v>985.78</v>
      </c>
      <c r="H594" s="2" t="s">
        <v>3881</v>
      </c>
      <c r="I594" s="2" t="s">
        <v>3882</v>
      </c>
      <c r="J594" s="2" t="s">
        <v>3883</v>
      </c>
      <c r="K594" s="2" t="s">
        <v>225</v>
      </c>
      <c r="M594" s="2">
        <v>89.0</v>
      </c>
      <c r="N594" s="2">
        <v>5376.34</v>
      </c>
      <c r="O594" s="2" t="s">
        <v>28</v>
      </c>
      <c r="P594" s="2" t="s">
        <v>3884</v>
      </c>
      <c r="Q594" s="2" t="s">
        <v>3885</v>
      </c>
      <c r="S594" s="2" t="s">
        <v>3886</v>
      </c>
      <c r="T594" s="2" t="s">
        <v>26</v>
      </c>
      <c r="U594" s="2" t="s">
        <v>46</v>
      </c>
    </row>
    <row r="595">
      <c r="A595" s="2">
        <v>594.0</v>
      </c>
      <c r="B595" s="2">
        <v>594.0</v>
      </c>
      <c r="C595" s="2">
        <v>594.0</v>
      </c>
      <c r="D595" s="3">
        <v>44164.0</v>
      </c>
      <c r="E595" s="2" t="s">
        <v>182</v>
      </c>
      <c r="F595" s="2" t="s">
        <v>183</v>
      </c>
      <c r="G595" s="2">
        <v>503.13</v>
      </c>
      <c r="H595" s="2" t="s">
        <v>3887</v>
      </c>
      <c r="I595" s="2" t="s">
        <v>3888</v>
      </c>
      <c r="J595" s="2" t="s">
        <v>3889</v>
      </c>
      <c r="K595" s="2" t="s">
        <v>460</v>
      </c>
      <c r="L595" s="2">
        <v>1126.0</v>
      </c>
      <c r="M595" s="2">
        <v>14.0</v>
      </c>
      <c r="N595" s="2">
        <v>1596.52</v>
      </c>
      <c r="O595" s="2" t="s">
        <v>41</v>
      </c>
      <c r="P595" s="2" t="s">
        <v>600</v>
      </c>
      <c r="Q595" s="2" t="s">
        <v>3890</v>
      </c>
      <c r="S595" s="2">
        <v>26001.0</v>
      </c>
      <c r="T595" s="2" t="s">
        <v>2767</v>
      </c>
      <c r="U595" s="2" t="s">
        <v>33</v>
      </c>
    </row>
    <row r="596">
      <c r="A596" s="2">
        <v>595.0</v>
      </c>
      <c r="B596" s="2">
        <v>595.0</v>
      </c>
      <c r="C596" s="2">
        <v>595.0</v>
      </c>
      <c r="D596" s="3">
        <v>44285.0</v>
      </c>
      <c r="E596" s="2" t="s">
        <v>3891</v>
      </c>
      <c r="F596" s="2" t="s">
        <v>3769</v>
      </c>
      <c r="G596" s="2">
        <v>947.6</v>
      </c>
      <c r="H596" s="2" t="s">
        <v>3892</v>
      </c>
      <c r="I596" s="2" t="s">
        <v>3893</v>
      </c>
      <c r="J596" s="2" t="s">
        <v>3894</v>
      </c>
      <c r="K596" s="2" t="s">
        <v>612</v>
      </c>
      <c r="M596" s="2">
        <v>40.0</v>
      </c>
      <c r="N596" s="2">
        <v>4889.83</v>
      </c>
      <c r="O596" s="2" t="s">
        <v>41</v>
      </c>
      <c r="P596" s="2" t="s">
        <v>3895</v>
      </c>
      <c r="Q596" s="2" t="s">
        <v>3896</v>
      </c>
      <c r="T596" s="2" t="s">
        <v>119</v>
      </c>
      <c r="U596" s="2" t="s">
        <v>71</v>
      </c>
    </row>
    <row r="597">
      <c r="A597" s="2">
        <v>596.0</v>
      </c>
      <c r="B597" s="2">
        <v>596.0</v>
      </c>
      <c r="C597" s="2">
        <v>596.0</v>
      </c>
      <c r="D597" s="3">
        <v>44177.0</v>
      </c>
      <c r="E597" s="2" t="s">
        <v>3897</v>
      </c>
      <c r="F597" s="2" t="s">
        <v>191</v>
      </c>
      <c r="G597" s="2">
        <v>78.43</v>
      </c>
      <c r="H597" s="2" t="s">
        <v>3898</v>
      </c>
      <c r="I597" s="2" t="s">
        <v>3899</v>
      </c>
      <c r="J597" s="2" t="s">
        <v>3900</v>
      </c>
      <c r="K597" s="2" t="s">
        <v>905</v>
      </c>
      <c r="L597" s="2">
        <v>79632.0</v>
      </c>
      <c r="M597" s="2">
        <v>21.0</v>
      </c>
      <c r="N597" s="2">
        <v>8696.23</v>
      </c>
      <c r="O597" s="2" t="s">
        <v>52</v>
      </c>
      <c r="P597" s="2" t="s">
        <v>594</v>
      </c>
      <c r="Q597" s="2" t="s">
        <v>3901</v>
      </c>
      <c r="R597" s="2" t="s">
        <v>3902</v>
      </c>
      <c r="T597" s="2" t="s">
        <v>119</v>
      </c>
      <c r="U597" s="2" t="s">
        <v>33</v>
      </c>
    </row>
    <row r="598">
      <c r="A598" s="2">
        <v>597.0</v>
      </c>
      <c r="B598" s="2">
        <v>597.0</v>
      </c>
      <c r="C598" s="2">
        <v>597.0</v>
      </c>
      <c r="D598" s="3">
        <v>44541.0</v>
      </c>
      <c r="E598" s="2" t="s">
        <v>3903</v>
      </c>
      <c r="F598" s="2" t="s">
        <v>237</v>
      </c>
      <c r="G598" s="2">
        <v>144.27</v>
      </c>
      <c r="H598" s="2" t="s">
        <v>3904</v>
      </c>
      <c r="I598" s="2" t="s">
        <v>3905</v>
      </c>
      <c r="J598" s="2" t="s">
        <v>3906</v>
      </c>
      <c r="K598" s="2" t="s">
        <v>32</v>
      </c>
      <c r="M598" s="2">
        <v>92.0</v>
      </c>
      <c r="N598" s="2">
        <v>380.95</v>
      </c>
      <c r="O598" s="2" t="s">
        <v>52</v>
      </c>
      <c r="P598" s="2" t="s">
        <v>3907</v>
      </c>
      <c r="Q598" s="2" t="s">
        <v>3908</v>
      </c>
      <c r="T598" s="2" t="s">
        <v>32</v>
      </c>
      <c r="U598" s="2" t="s">
        <v>46</v>
      </c>
    </row>
    <row r="599">
      <c r="A599" s="2">
        <v>598.0</v>
      </c>
      <c r="B599" s="2">
        <v>598.0</v>
      </c>
      <c r="C599" s="2">
        <v>598.0</v>
      </c>
      <c r="D599" s="3">
        <v>44357.0</v>
      </c>
      <c r="E599" s="2" t="s">
        <v>3909</v>
      </c>
      <c r="F599" s="2" t="s">
        <v>183</v>
      </c>
      <c r="G599" s="2">
        <v>218.88</v>
      </c>
      <c r="H599" s="2" t="s">
        <v>3910</v>
      </c>
      <c r="I599" s="2" t="s">
        <v>3911</v>
      </c>
      <c r="J599" s="2" t="s">
        <v>3912</v>
      </c>
      <c r="K599" s="2" t="s">
        <v>2261</v>
      </c>
      <c r="M599" s="2">
        <v>5.0</v>
      </c>
      <c r="N599" s="2">
        <v>7126.87</v>
      </c>
      <c r="O599" s="2" t="s">
        <v>41</v>
      </c>
      <c r="P599" s="2" t="s">
        <v>3913</v>
      </c>
      <c r="Q599" s="2" t="s">
        <v>3914</v>
      </c>
      <c r="S599" s="2">
        <v>9231.0</v>
      </c>
      <c r="T599" s="2" t="s">
        <v>1895</v>
      </c>
      <c r="U599" s="2" t="s">
        <v>33</v>
      </c>
    </row>
    <row r="600">
      <c r="A600" s="2">
        <v>599.0</v>
      </c>
      <c r="B600" s="2">
        <v>599.0</v>
      </c>
      <c r="C600" s="2">
        <v>599.0</v>
      </c>
      <c r="D600" s="3">
        <v>44304.0</v>
      </c>
      <c r="E600" s="2" t="s">
        <v>3686</v>
      </c>
      <c r="F600" s="2" t="s">
        <v>142</v>
      </c>
      <c r="G600" s="2">
        <v>877.01</v>
      </c>
      <c r="H600" s="2" t="s">
        <v>3915</v>
      </c>
      <c r="I600" s="2" t="s">
        <v>3916</v>
      </c>
      <c r="J600" s="2" t="s">
        <v>3917</v>
      </c>
      <c r="K600" s="2" t="s">
        <v>119</v>
      </c>
      <c r="M600" s="2">
        <v>52.0</v>
      </c>
      <c r="N600" s="2">
        <v>8013.96</v>
      </c>
      <c r="O600" s="2" t="s">
        <v>41</v>
      </c>
      <c r="P600" s="2" t="s">
        <v>1489</v>
      </c>
      <c r="Q600" s="2" t="s">
        <v>3918</v>
      </c>
      <c r="S600" s="2">
        <v>31551.0</v>
      </c>
      <c r="T600" s="2" t="s">
        <v>217</v>
      </c>
      <c r="U600" s="2" t="s">
        <v>46</v>
      </c>
    </row>
    <row r="601">
      <c r="A601" s="2">
        <v>600.0</v>
      </c>
      <c r="B601" s="2">
        <v>600.0</v>
      </c>
      <c r="C601" s="2">
        <v>600.0</v>
      </c>
      <c r="D601" s="3">
        <v>44295.0</v>
      </c>
      <c r="E601" s="2" t="s">
        <v>3919</v>
      </c>
      <c r="F601" s="2" t="s">
        <v>133</v>
      </c>
      <c r="G601" s="2">
        <v>925.88</v>
      </c>
      <c r="H601" s="2" t="s">
        <v>3920</v>
      </c>
      <c r="I601" s="2" t="s">
        <v>3921</v>
      </c>
      <c r="J601" s="2" t="s">
        <v>3922</v>
      </c>
      <c r="K601" s="2" t="s">
        <v>2042</v>
      </c>
      <c r="M601" s="2">
        <v>17.0</v>
      </c>
      <c r="N601" s="2">
        <v>3879.51</v>
      </c>
      <c r="O601" s="2" t="s">
        <v>28</v>
      </c>
      <c r="P601" s="2" t="s">
        <v>3923</v>
      </c>
      <c r="Q601" s="2" t="s">
        <v>2043</v>
      </c>
      <c r="S601" s="2">
        <v>2302.0</v>
      </c>
      <c r="T601" s="2" t="s">
        <v>241</v>
      </c>
      <c r="U601" s="2" t="s">
        <v>33</v>
      </c>
    </row>
    <row r="602">
      <c r="A602" s="2">
        <v>601.0</v>
      </c>
      <c r="B602" s="2">
        <v>601.0</v>
      </c>
      <c r="C602" s="2">
        <v>601.0</v>
      </c>
      <c r="D602" s="3">
        <v>44359.0</v>
      </c>
      <c r="E602" s="2" t="s">
        <v>3924</v>
      </c>
      <c r="F602" s="2" t="s">
        <v>191</v>
      </c>
      <c r="G602" s="2">
        <v>302.9</v>
      </c>
      <c r="H602" s="2" t="s">
        <v>3925</v>
      </c>
      <c r="I602" s="2" t="s">
        <v>3926</v>
      </c>
      <c r="J602" s="2" t="s">
        <v>3927</v>
      </c>
      <c r="K602" s="2" t="s">
        <v>45</v>
      </c>
      <c r="L602" s="2">
        <v>59311.0</v>
      </c>
      <c r="M602" s="2">
        <v>33.0</v>
      </c>
      <c r="N602" s="2">
        <v>7614.17</v>
      </c>
      <c r="O602" s="2" t="s">
        <v>28</v>
      </c>
      <c r="P602" s="2" t="s">
        <v>3928</v>
      </c>
      <c r="Q602" s="2" t="s">
        <v>3929</v>
      </c>
      <c r="T602" s="2" t="s">
        <v>32</v>
      </c>
      <c r="U602" s="2" t="s">
        <v>46</v>
      </c>
    </row>
    <row r="603">
      <c r="A603" s="2">
        <v>602.0</v>
      </c>
      <c r="B603" s="2">
        <v>602.0</v>
      </c>
      <c r="C603" s="2">
        <v>602.0</v>
      </c>
      <c r="D603" s="3">
        <v>44087.0</v>
      </c>
      <c r="E603" s="2" t="s">
        <v>3930</v>
      </c>
      <c r="F603" s="2" t="s">
        <v>1046</v>
      </c>
      <c r="G603" s="2">
        <v>518.58</v>
      </c>
      <c r="H603" s="2" t="s">
        <v>3931</v>
      </c>
      <c r="I603" s="2" t="s">
        <v>3932</v>
      </c>
      <c r="J603" s="2" t="s">
        <v>3933</v>
      </c>
      <c r="K603" s="2" t="s">
        <v>178</v>
      </c>
      <c r="L603" s="2">
        <v>4655.0</v>
      </c>
      <c r="M603" s="2">
        <v>29.0</v>
      </c>
      <c r="N603" s="2">
        <v>2232.99</v>
      </c>
      <c r="O603" s="2" t="s">
        <v>52</v>
      </c>
      <c r="P603" s="2" t="s">
        <v>594</v>
      </c>
      <c r="Q603" s="2" t="s">
        <v>3934</v>
      </c>
      <c r="T603" s="2" t="s">
        <v>119</v>
      </c>
      <c r="U603" s="2" t="s">
        <v>46</v>
      </c>
    </row>
    <row r="604">
      <c r="A604" s="2">
        <v>603.0</v>
      </c>
      <c r="B604" s="2">
        <v>603.0</v>
      </c>
      <c r="C604" s="2">
        <v>603.0</v>
      </c>
      <c r="D604" s="3">
        <v>44244.0</v>
      </c>
      <c r="E604" s="2" t="s">
        <v>279</v>
      </c>
      <c r="F604" s="2" t="s">
        <v>142</v>
      </c>
      <c r="G604" s="2">
        <v>815.83</v>
      </c>
      <c r="H604" s="2" t="s">
        <v>3935</v>
      </c>
      <c r="I604" s="2" t="s">
        <v>3936</v>
      </c>
      <c r="J604" s="2" t="s">
        <v>3937</v>
      </c>
      <c r="K604" s="2" t="s">
        <v>885</v>
      </c>
      <c r="L604" s="2">
        <v>30421.0</v>
      </c>
      <c r="M604" s="2">
        <v>92.0</v>
      </c>
      <c r="N604" s="2">
        <v>7003.42</v>
      </c>
      <c r="O604" s="2" t="s">
        <v>28</v>
      </c>
      <c r="P604" s="2" t="s">
        <v>3938</v>
      </c>
      <c r="Q604" s="2" t="s">
        <v>3939</v>
      </c>
      <c r="T604" s="2" t="s">
        <v>292</v>
      </c>
      <c r="U604" s="2" t="s">
        <v>33</v>
      </c>
    </row>
    <row r="605">
      <c r="A605" s="2">
        <v>604.0</v>
      </c>
      <c r="B605" s="2">
        <v>604.0</v>
      </c>
      <c r="C605" s="2">
        <v>604.0</v>
      </c>
      <c r="D605" s="3">
        <v>44112.0</v>
      </c>
      <c r="E605" s="2" t="s">
        <v>3526</v>
      </c>
      <c r="F605" s="2" t="s">
        <v>3527</v>
      </c>
      <c r="G605" s="2">
        <v>599.23</v>
      </c>
      <c r="H605" s="2" t="s">
        <v>3940</v>
      </c>
      <c r="I605" s="2" t="s">
        <v>3941</v>
      </c>
      <c r="J605" s="2" t="s">
        <v>3942</v>
      </c>
      <c r="K605" s="2" t="s">
        <v>119</v>
      </c>
      <c r="M605" s="2">
        <v>100.0</v>
      </c>
      <c r="N605" s="2">
        <v>3267.03</v>
      </c>
      <c r="O605" s="2" t="s">
        <v>41</v>
      </c>
      <c r="P605" s="2" t="s">
        <v>3943</v>
      </c>
      <c r="Q605" s="2" t="s">
        <v>3944</v>
      </c>
      <c r="S605" s="2">
        <v>75120.0</v>
      </c>
      <c r="T605" s="2" t="s">
        <v>627</v>
      </c>
      <c r="U605" s="2" t="s">
        <v>71</v>
      </c>
    </row>
    <row r="606">
      <c r="A606" s="2">
        <v>605.0</v>
      </c>
      <c r="B606" s="2">
        <v>605.0</v>
      </c>
      <c r="C606" s="2">
        <v>605.0</v>
      </c>
      <c r="D606" s="3">
        <v>44517.0</v>
      </c>
      <c r="E606" s="2" t="s">
        <v>3945</v>
      </c>
      <c r="F606" s="2" t="s">
        <v>3600</v>
      </c>
      <c r="G606" s="2">
        <v>967.28</v>
      </c>
      <c r="H606" s="2" t="s">
        <v>3946</v>
      </c>
      <c r="I606" s="2" t="s">
        <v>3947</v>
      </c>
      <c r="J606" s="2" t="s">
        <v>3948</v>
      </c>
      <c r="K606" s="2" t="s">
        <v>68</v>
      </c>
      <c r="L606" s="2">
        <v>353226.0</v>
      </c>
      <c r="M606" s="2">
        <v>63.0</v>
      </c>
      <c r="N606" s="2">
        <v>3848.27</v>
      </c>
      <c r="O606" s="2" t="s">
        <v>41</v>
      </c>
      <c r="P606" s="2" t="s">
        <v>3765</v>
      </c>
      <c r="Q606" s="2" t="s">
        <v>3949</v>
      </c>
      <c r="S606" s="2" t="s">
        <v>3950</v>
      </c>
      <c r="T606" s="2" t="s">
        <v>39</v>
      </c>
      <c r="U606" s="2" t="s">
        <v>46</v>
      </c>
    </row>
    <row r="607">
      <c r="A607" s="2">
        <v>606.0</v>
      </c>
      <c r="B607" s="2">
        <v>606.0</v>
      </c>
      <c r="C607" s="2">
        <v>606.0</v>
      </c>
      <c r="D607" s="3">
        <v>44243.0</v>
      </c>
      <c r="E607" s="2" t="s">
        <v>3951</v>
      </c>
      <c r="F607" s="2" t="s">
        <v>133</v>
      </c>
      <c r="G607" s="2">
        <v>624.79</v>
      </c>
      <c r="H607" s="2" t="s">
        <v>3952</v>
      </c>
      <c r="I607" s="2" t="s">
        <v>3953</v>
      </c>
      <c r="J607" s="2" t="s">
        <v>3954</v>
      </c>
      <c r="K607" s="2" t="s">
        <v>292</v>
      </c>
      <c r="M607" s="2">
        <v>56.0</v>
      </c>
      <c r="N607" s="2">
        <v>8940.24</v>
      </c>
      <c r="O607" s="2" t="s">
        <v>28</v>
      </c>
      <c r="P607" s="2" t="s">
        <v>3955</v>
      </c>
      <c r="Q607" s="2" t="s">
        <v>3956</v>
      </c>
      <c r="S607" s="2">
        <v>7001.0</v>
      </c>
      <c r="T607" s="2" t="s">
        <v>241</v>
      </c>
      <c r="U607" s="2" t="s">
        <v>46</v>
      </c>
    </row>
    <row r="608">
      <c r="A608" s="2">
        <v>607.0</v>
      </c>
      <c r="B608" s="2">
        <v>607.0</v>
      </c>
      <c r="C608" s="2">
        <v>607.0</v>
      </c>
      <c r="D608" s="3">
        <v>44505.0</v>
      </c>
      <c r="E608" s="2" t="s">
        <v>3957</v>
      </c>
      <c r="F608" s="2" t="s">
        <v>73</v>
      </c>
      <c r="G608" s="2">
        <v>194.39</v>
      </c>
      <c r="H608" s="2" t="s">
        <v>3958</v>
      </c>
      <c r="I608" s="2" t="s">
        <v>3959</v>
      </c>
      <c r="J608" s="2" t="s">
        <v>3960</v>
      </c>
      <c r="K608" s="2" t="s">
        <v>1492</v>
      </c>
      <c r="L608" s="2" t="s">
        <v>3961</v>
      </c>
      <c r="M608" s="2">
        <v>14.0</v>
      </c>
      <c r="N608" s="2">
        <v>688.91</v>
      </c>
      <c r="O608" s="2" t="s">
        <v>52</v>
      </c>
      <c r="P608" s="2" t="s">
        <v>3962</v>
      </c>
      <c r="Q608" s="2" t="s">
        <v>3963</v>
      </c>
      <c r="T608" s="2" t="s">
        <v>32</v>
      </c>
      <c r="U608" s="2" t="s">
        <v>33</v>
      </c>
    </row>
    <row r="609">
      <c r="A609" s="2">
        <v>608.0</v>
      </c>
      <c r="B609" s="2">
        <v>608.0</v>
      </c>
      <c r="C609" s="2">
        <v>608.0</v>
      </c>
      <c r="D609" s="3">
        <v>44508.0</v>
      </c>
      <c r="E609" s="2" t="s">
        <v>2402</v>
      </c>
      <c r="F609" s="2" t="s">
        <v>310</v>
      </c>
      <c r="G609" s="2">
        <v>530.07</v>
      </c>
      <c r="H609" s="2" t="s">
        <v>3964</v>
      </c>
      <c r="I609" s="2" t="s">
        <v>3965</v>
      </c>
      <c r="J609" s="2" t="s">
        <v>3966</v>
      </c>
      <c r="K609" s="2" t="s">
        <v>101</v>
      </c>
      <c r="L609" s="2">
        <v>80915.0</v>
      </c>
      <c r="M609" s="2">
        <v>6.0</v>
      </c>
      <c r="N609" s="2">
        <v>3280.83</v>
      </c>
      <c r="O609" s="2" t="s">
        <v>28</v>
      </c>
      <c r="P609" s="2" t="s">
        <v>3967</v>
      </c>
      <c r="Q609" s="2" t="s">
        <v>3968</v>
      </c>
      <c r="R609" s="2" t="s">
        <v>3969</v>
      </c>
      <c r="T609" s="2" t="s">
        <v>32</v>
      </c>
      <c r="U609" s="2" t="s">
        <v>33</v>
      </c>
    </row>
    <row r="610">
      <c r="A610" s="2">
        <v>609.0</v>
      </c>
      <c r="B610" s="2">
        <v>609.0</v>
      </c>
      <c r="C610" s="2">
        <v>609.0</v>
      </c>
      <c r="D610" s="3">
        <v>44230.0</v>
      </c>
      <c r="E610" s="2" t="s">
        <v>3970</v>
      </c>
      <c r="F610" s="2" t="s">
        <v>1027</v>
      </c>
      <c r="G610" s="2">
        <v>126.2</v>
      </c>
      <c r="H610" s="2" t="s">
        <v>3971</v>
      </c>
      <c r="I610" s="2" t="s">
        <v>3972</v>
      </c>
      <c r="J610" s="2" t="s">
        <v>3973</v>
      </c>
      <c r="K610" s="2" t="s">
        <v>2111</v>
      </c>
      <c r="M610" s="2">
        <v>61.0</v>
      </c>
      <c r="N610" s="2">
        <v>9805.06</v>
      </c>
      <c r="O610" s="2" t="s">
        <v>41</v>
      </c>
      <c r="P610" s="2" t="s">
        <v>3974</v>
      </c>
      <c r="Q610" s="2" t="s">
        <v>3975</v>
      </c>
      <c r="S610" s="2">
        <v>48892.0</v>
      </c>
      <c r="T610" s="2" t="s">
        <v>529</v>
      </c>
      <c r="U610" s="2" t="s">
        <v>46</v>
      </c>
    </row>
    <row r="611">
      <c r="A611" s="2">
        <v>610.0</v>
      </c>
      <c r="B611" s="2">
        <v>610.0</v>
      </c>
      <c r="C611" s="2">
        <v>610.0</v>
      </c>
      <c r="D611" s="3">
        <v>44073.0</v>
      </c>
      <c r="E611" s="2" t="s">
        <v>3891</v>
      </c>
      <c r="F611" s="2" t="s">
        <v>3769</v>
      </c>
      <c r="G611" s="2">
        <v>607.78</v>
      </c>
      <c r="H611" s="2" t="s">
        <v>3976</v>
      </c>
      <c r="I611" s="2" t="s">
        <v>3977</v>
      </c>
      <c r="J611" s="2" t="s">
        <v>3978</v>
      </c>
      <c r="K611" s="2" t="s">
        <v>32</v>
      </c>
      <c r="M611" s="2">
        <v>88.0</v>
      </c>
      <c r="N611" s="2">
        <v>653.15</v>
      </c>
      <c r="O611" s="2" t="s">
        <v>52</v>
      </c>
      <c r="P611" s="2" t="s">
        <v>3979</v>
      </c>
      <c r="Q611" s="2" t="s">
        <v>3980</v>
      </c>
      <c r="S611" s="2">
        <v>399373.0</v>
      </c>
      <c r="T611" s="2" t="s">
        <v>68</v>
      </c>
      <c r="U611" s="2" t="s">
        <v>46</v>
      </c>
    </row>
    <row r="612">
      <c r="A612" s="2">
        <v>611.0</v>
      </c>
      <c r="B612" s="2">
        <v>611.0</v>
      </c>
      <c r="C612" s="2">
        <v>611.0</v>
      </c>
      <c r="D612" s="3">
        <v>44221.0</v>
      </c>
      <c r="E612" s="2" t="s">
        <v>3981</v>
      </c>
      <c r="F612" s="2" t="s">
        <v>237</v>
      </c>
      <c r="G612" s="2">
        <v>137.4</v>
      </c>
      <c r="H612" s="2" t="s">
        <v>3982</v>
      </c>
      <c r="I612" s="2" t="s">
        <v>3983</v>
      </c>
      <c r="J612" s="2" t="s">
        <v>3984</v>
      </c>
      <c r="K612" s="2" t="s">
        <v>146</v>
      </c>
      <c r="M612" s="2">
        <v>82.0</v>
      </c>
      <c r="N612" s="2">
        <v>189.52</v>
      </c>
      <c r="O612" s="2" t="s">
        <v>28</v>
      </c>
      <c r="P612" s="2" t="s">
        <v>3985</v>
      </c>
      <c r="Q612" s="2" t="s">
        <v>3986</v>
      </c>
      <c r="S612" s="2">
        <v>4502.0</v>
      </c>
      <c r="T612" s="2" t="s">
        <v>241</v>
      </c>
      <c r="U612" s="2" t="s">
        <v>46</v>
      </c>
    </row>
    <row r="613">
      <c r="A613" s="2">
        <v>612.0</v>
      </c>
      <c r="B613" s="2">
        <v>612.0</v>
      </c>
      <c r="C613" s="2">
        <v>612.0</v>
      </c>
      <c r="D613" s="3">
        <v>44521.0</v>
      </c>
      <c r="E613" s="2" t="s">
        <v>886</v>
      </c>
      <c r="F613" s="2" t="s">
        <v>887</v>
      </c>
      <c r="G613" s="2">
        <v>239.65</v>
      </c>
      <c r="H613" s="2" t="s">
        <v>3987</v>
      </c>
      <c r="I613" s="2" t="s">
        <v>3988</v>
      </c>
      <c r="J613" s="2" t="s">
        <v>3989</v>
      </c>
      <c r="K613" s="2" t="s">
        <v>32</v>
      </c>
      <c r="M613" s="2">
        <v>13.0</v>
      </c>
      <c r="N613" s="2">
        <v>6054.69</v>
      </c>
      <c r="O613" s="2" t="s">
        <v>28</v>
      </c>
      <c r="P613" s="2" t="s">
        <v>293</v>
      </c>
      <c r="Q613" s="2" t="s">
        <v>3990</v>
      </c>
      <c r="S613" s="2">
        <v>238548.0</v>
      </c>
      <c r="T613" s="2" t="s">
        <v>68</v>
      </c>
      <c r="U613" s="2" t="s">
        <v>46</v>
      </c>
    </row>
    <row r="614">
      <c r="A614" s="2">
        <v>613.0</v>
      </c>
      <c r="B614" s="2">
        <v>613.0</v>
      </c>
      <c r="C614" s="2">
        <v>613.0</v>
      </c>
      <c r="D614" s="3">
        <v>44273.0</v>
      </c>
      <c r="E614" s="2" t="s">
        <v>3991</v>
      </c>
      <c r="F614" s="2" t="s">
        <v>237</v>
      </c>
      <c r="G614" s="2">
        <v>819.4</v>
      </c>
      <c r="H614" s="2" t="s">
        <v>3992</v>
      </c>
      <c r="I614" s="2" t="s">
        <v>3993</v>
      </c>
      <c r="J614" s="2" t="s">
        <v>3994</v>
      </c>
      <c r="K614" s="2" t="s">
        <v>791</v>
      </c>
      <c r="M614" s="2">
        <v>38.0</v>
      </c>
      <c r="N614" s="2">
        <v>3443.81</v>
      </c>
      <c r="O614" s="2" t="s">
        <v>41</v>
      </c>
      <c r="P614" s="2" t="s">
        <v>3995</v>
      </c>
      <c r="Q614" s="2" t="s">
        <v>3996</v>
      </c>
      <c r="T614" s="2" t="s">
        <v>292</v>
      </c>
      <c r="U614" s="2" t="s">
        <v>33</v>
      </c>
    </row>
    <row r="615">
      <c r="A615" s="2">
        <v>614.0</v>
      </c>
      <c r="B615" s="2">
        <v>614.0</v>
      </c>
      <c r="C615" s="2">
        <v>614.0</v>
      </c>
      <c r="D615" s="3">
        <v>44028.0</v>
      </c>
      <c r="E615" s="2" t="s">
        <v>3997</v>
      </c>
      <c r="F615" s="2" t="s">
        <v>501</v>
      </c>
      <c r="G615" s="2">
        <v>704.91</v>
      </c>
      <c r="H615" s="2" t="s">
        <v>3998</v>
      </c>
      <c r="I615" s="2" t="s">
        <v>3999</v>
      </c>
      <c r="J615" s="2" t="s">
        <v>4000</v>
      </c>
      <c r="K615" s="2" t="s">
        <v>3045</v>
      </c>
      <c r="M615" s="2">
        <v>90.0</v>
      </c>
      <c r="N615" s="2">
        <v>6495.55</v>
      </c>
      <c r="O615" s="2" t="s">
        <v>52</v>
      </c>
      <c r="P615" s="2" t="s">
        <v>2348</v>
      </c>
      <c r="Q615" s="2" t="s">
        <v>4001</v>
      </c>
      <c r="S615" s="2">
        <v>1050.0</v>
      </c>
      <c r="T615" s="2" t="s">
        <v>4002</v>
      </c>
      <c r="U615" s="2" t="s">
        <v>33</v>
      </c>
    </row>
    <row r="616">
      <c r="A616" s="2">
        <v>615.0</v>
      </c>
      <c r="B616" s="2">
        <v>615.0</v>
      </c>
      <c r="C616" s="2">
        <v>615.0</v>
      </c>
      <c r="D616" s="3">
        <v>43864.0</v>
      </c>
      <c r="E616" s="2" t="s">
        <v>2406</v>
      </c>
      <c r="F616" s="2" t="s">
        <v>965</v>
      </c>
      <c r="G616" s="2">
        <v>630.89</v>
      </c>
      <c r="H616" s="2" t="s">
        <v>4003</v>
      </c>
      <c r="I616" s="2" t="s">
        <v>4004</v>
      </c>
      <c r="J616" s="2" t="s">
        <v>4005</v>
      </c>
      <c r="K616" s="2" t="s">
        <v>119</v>
      </c>
      <c r="M616" s="2">
        <v>19.0</v>
      </c>
      <c r="N616" s="2">
        <v>5876.0</v>
      </c>
      <c r="O616" s="2" t="s">
        <v>52</v>
      </c>
      <c r="P616" s="2" t="s">
        <v>1617</v>
      </c>
      <c r="Q616" s="2" t="s">
        <v>4006</v>
      </c>
      <c r="T616" s="2" t="s">
        <v>32</v>
      </c>
      <c r="U616" s="2" t="s">
        <v>46</v>
      </c>
    </row>
    <row r="617">
      <c r="A617" s="2">
        <v>616.0</v>
      </c>
      <c r="B617" s="2">
        <v>616.0</v>
      </c>
      <c r="C617" s="2">
        <v>616.0</v>
      </c>
      <c r="D617" s="3">
        <v>43977.0</v>
      </c>
      <c r="E617" s="2" t="s">
        <v>4007</v>
      </c>
      <c r="F617" s="2" t="s">
        <v>310</v>
      </c>
      <c r="G617" s="2">
        <v>40.66</v>
      </c>
      <c r="H617" s="2" t="s">
        <v>4008</v>
      </c>
      <c r="I617" s="2" t="s">
        <v>4009</v>
      </c>
      <c r="J617" s="2" t="s">
        <v>4010</v>
      </c>
      <c r="K617" s="2" t="s">
        <v>257</v>
      </c>
      <c r="L617" s="2" t="s">
        <v>4011</v>
      </c>
      <c r="M617" s="2">
        <v>54.0</v>
      </c>
      <c r="N617" s="2">
        <v>8898.58</v>
      </c>
      <c r="O617" s="2" t="s">
        <v>41</v>
      </c>
      <c r="P617" s="2" t="s">
        <v>1016</v>
      </c>
      <c r="Q617" s="2" t="s">
        <v>4012</v>
      </c>
      <c r="R617" s="2" t="s">
        <v>371</v>
      </c>
      <c r="T617" s="2" t="s">
        <v>2111</v>
      </c>
      <c r="U617" s="2" t="s">
        <v>46</v>
      </c>
    </row>
    <row r="618">
      <c r="A618" s="2">
        <v>617.0</v>
      </c>
      <c r="B618" s="2">
        <v>617.0</v>
      </c>
      <c r="C618" s="2">
        <v>617.0</v>
      </c>
      <c r="D618" s="3">
        <v>44450.0</v>
      </c>
      <c r="E618" s="2" t="s">
        <v>3342</v>
      </c>
      <c r="F618" s="2" t="s">
        <v>2088</v>
      </c>
      <c r="G618" s="2">
        <v>148.48</v>
      </c>
      <c r="H618" s="2" t="s">
        <v>4013</v>
      </c>
      <c r="I618" s="2" t="s">
        <v>4014</v>
      </c>
      <c r="J618" s="2" t="s">
        <v>4015</v>
      </c>
      <c r="K618" s="2" t="s">
        <v>32</v>
      </c>
      <c r="M618" s="2">
        <v>6.0</v>
      </c>
      <c r="N618" s="2">
        <v>5453.83</v>
      </c>
      <c r="O618" s="2" t="s">
        <v>41</v>
      </c>
      <c r="P618" s="2" t="s">
        <v>1553</v>
      </c>
      <c r="Q618" s="2" t="s">
        <v>4016</v>
      </c>
      <c r="T618" s="2" t="s">
        <v>146</v>
      </c>
      <c r="U618" s="2" t="s">
        <v>71</v>
      </c>
    </row>
    <row r="619">
      <c r="A619" s="2">
        <v>618.0</v>
      </c>
      <c r="B619" s="2">
        <v>618.0</v>
      </c>
      <c r="C619" s="2">
        <v>618.0</v>
      </c>
      <c r="D619" s="3">
        <v>44460.0</v>
      </c>
      <c r="E619" s="2" t="s">
        <v>2704</v>
      </c>
      <c r="F619" s="2" t="s">
        <v>662</v>
      </c>
      <c r="G619" s="2">
        <v>134.42</v>
      </c>
      <c r="H619" s="2" t="s">
        <v>4017</v>
      </c>
      <c r="I619" s="2" t="s">
        <v>4018</v>
      </c>
      <c r="J619" s="2" t="s">
        <v>4019</v>
      </c>
      <c r="K619" s="2" t="s">
        <v>225</v>
      </c>
      <c r="M619" s="2">
        <v>54.0</v>
      </c>
      <c r="N619" s="2">
        <v>5107.76</v>
      </c>
      <c r="O619" s="2" t="s">
        <v>52</v>
      </c>
      <c r="P619" s="2" t="s">
        <v>3240</v>
      </c>
      <c r="Q619" s="2" t="s">
        <v>4020</v>
      </c>
      <c r="S619" s="2" t="s">
        <v>4021</v>
      </c>
      <c r="T619" s="2" t="s">
        <v>4022</v>
      </c>
      <c r="U619" s="2" t="s">
        <v>71</v>
      </c>
    </row>
    <row r="620">
      <c r="A620" s="2">
        <v>619.0</v>
      </c>
      <c r="B620" s="2">
        <v>619.0</v>
      </c>
      <c r="C620" s="2">
        <v>619.0</v>
      </c>
      <c r="D620" s="3">
        <v>43884.0</v>
      </c>
      <c r="E620" s="2" t="s">
        <v>4023</v>
      </c>
      <c r="F620" s="2" t="s">
        <v>887</v>
      </c>
      <c r="G620" s="2">
        <v>599.68</v>
      </c>
      <c r="H620" s="2" t="s">
        <v>4024</v>
      </c>
      <c r="I620" s="2" t="s">
        <v>4025</v>
      </c>
      <c r="J620" s="2" t="s">
        <v>4026</v>
      </c>
      <c r="K620" s="2" t="s">
        <v>32</v>
      </c>
      <c r="M620" s="2">
        <v>89.0</v>
      </c>
      <c r="N620" s="2">
        <v>7362.72</v>
      </c>
      <c r="O620" s="2" t="s">
        <v>41</v>
      </c>
      <c r="P620" s="2" t="s">
        <v>4027</v>
      </c>
      <c r="Q620" s="2" t="s">
        <v>4028</v>
      </c>
      <c r="T620" s="2" t="s">
        <v>2261</v>
      </c>
      <c r="U620" s="2" t="s">
        <v>71</v>
      </c>
    </row>
    <row r="621">
      <c r="A621" s="2">
        <v>620.0</v>
      </c>
      <c r="B621" s="2">
        <v>620.0</v>
      </c>
      <c r="C621" s="2">
        <v>620.0</v>
      </c>
      <c r="D621" s="3">
        <v>43878.0</v>
      </c>
      <c r="E621" s="2" t="s">
        <v>886</v>
      </c>
      <c r="F621" s="2" t="s">
        <v>887</v>
      </c>
      <c r="G621" s="2">
        <v>549.06</v>
      </c>
      <c r="H621" s="2" t="s">
        <v>4029</v>
      </c>
      <c r="I621" s="2" t="s">
        <v>4030</v>
      </c>
      <c r="J621" s="2" t="s">
        <v>4031</v>
      </c>
      <c r="K621" s="2" t="s">
        <v>32</v>
      </c>
      <c r="M621" s="2">
        <v>72.0</v>
      </c>
      <c r="N621" s="2">
        <v>5632.12</v>
      </c>
      <c r="O621" s="2" t="s">
        <v>28</v>
      </c>
      <c r="P621" s="2" t="s">
        <v>840</v>
      </c>
      <c r="Q621" s="2" t="s">
        <v>4032</v>
      </c>
      <c r="S621" s="2">
        <v>662037.0</v>
      </c>
      <c r="T621" s="2" t="s">
        <v>819</v>
      </c>
      <c r="U621" s="2" t="s">
        <v>33</v>
      </c>
    </row>
    <row r="622">
      <c r="A622" s="2">
        <v>621.0</v>
      </c>
      <c r="B622" s="2">
        <v>621.0</v>
      </c>
      <c r="C622" s="2">
        <v>621.0</v>
      </c>
      <c r="D622" s="3">
        <v>44059.0</v>
      </c>
      <c r="E622" s="2" t="s">
        <v>4033</v>
      </c>
      <c r="F622" s="2" t="s">
        <v>35</v>
      </c>
      <c r="G622" s="2">
        <v>602.83</v>
      </c>
      <c r="H622" s="2" t="s">
        <v>4034</v>
      </c>
      <c r="I622" s="2" t="s">
        <v>4035</v>
      </c>
      <c r="J622" s="2" t="s">
        <v>4036</v>
      </c>
      <c r="K622" s="2" t="s">
        <v>32</v>
      </c>
      <c r="M622" s="2">
        <v>8.0</v>
      </c>
      <c r="N622" s="2">
        <v>8699.43</v>
      </c>
      <c r="O622" s="2" t="s">
        <v>41</v>
      </c>
      <c r="P622" s="2" t="s">
        <v>4037</v>
      </c>
      <c r="Q622" s="2" t="s">
        <v>4038</v>
      </c>
      <c r="S622" s="2">
        <v>9610.0</v>
      </c>
      <c r="T622" s="2" t="s">
        <v>241</v>
      </c>
      <c r="U622" s="2" t="s">
        <v>46</v>
      </c>
    </row>
    <row r="623">
      <c r="A623" s="2">
        <v>622.0</v>
      </c>
      <c r="B623" s="2">
        <v>622.0</v>
      </c>
      <c r="C623" s="2">
        <v>622.0</v>
      </c>
      <c r="D623" s="3">
        <v>44280.0</v>
      </c>
      <c r="E623" s="2" t="s">
        <v>4039</v>
      </c>
      <c r="F623" s="2" t="s">
        <v>237</v>
      </c>
      <c r="G623" s="2">
        <v>438.4</v>
      </c>
      <c r="H623" s="2" t="s">
        <v>4040</v>
      </c>
      <c r="I623" s="2" t="s">
        <v>4041</v>
      </c>
      <c r="J623" s="2" t="s">
        <v>4042</v>
      </c>
      <c r="K623" s="2" t="s">
        <v>276</v>
      </c>
      <c r="M623" s="2">
        <v>5.0</v>
      </c>
      <c r="N623" s="2">
        <v>8468.97</v>
      </c>
      <c r="O623" s="2" t="s">
        <v>28</v>
      </c>
      <c r="P623" s="2" t="s">
        <v>4043</v>
      </c>
      <c r="Q623" s="2" t="s">
        <v>4044</v>
      </c>
      <c r="T623" s="2" t="s">
        <v>4045</v>
      </c>
      <c r="U623" s="2" t="s">
        <v>46</v>
      </c>
    </row>
    <row r="624">
      <c r="A624" s="2">
        <v>623.0</v>
      </c>
      <c r="B624" s="2">
        <v>623.0</v>
      </c>
      <c r="C624" s="2">
        <v>623.0</v>
      </c>
      <c r="D624" s="3">
        <v>43973.0</v>
      </c>
      <c r="E624" s="2" t="s">
        <v>1702</v>
      </c>
      <c r="F624" s="2" t="s">
        <v>183</v>
      </c>
      <c r="G624" s="2">
        <v>514.92</v>
      </c>
      <c r="H624" s="2" t="s">
        <v>4046</v>
      </c>
      <c r="I624" s="2" t="s">
        <v>4047</v>
      </c>
      <c r="J624" s="2" t="s">
        <v>4048</v>
      </c>
      <c r="K624" s="2" t="s">
        <v>276</v>
      </c>
      <c r="M624" s="2">
        <v>81.0</v>
      </c>
      <c r="N624" s="2">
        <v>1045.35</v>
      </c>
      <c r="O624" s="2" t="s">
        <v>28</v>
      </c>
      <c r="P624" s="2" t="s">
        <v>847</v>
      </c>
      <c r="Q624" s="2" t="s">
        <v>4049</v>
      </c>
      <c r="S624" s="2" t="s">
        <v>4050</v>
      </c>
      <c r="T624" s="2" t="s">
        <v>257</v>
      </c>
      <c r="U624" s="2" t="s">
        <v>46</v>
      </c>
    </row>
    <row r="625">
      <c r="A625" s="2">
        <v>624.0</v>
      </c>
      <c r="B625" s="2">
        <v>624.0</v>
      </c>
      <c r="C625" s="2">
        <v>624.0</v>
      </c>
      <c r="D625" s="3">
        <v>44204.0</v>
      </c>
      <c r="E625" s="2" t="s">
        <v>1170</v>
      </c>
      <c r="F625" s="2" t="s">
        <v>73</v>
      </c>
      <c r="G625" s="2">
        <v>306.75</v>
      </c>
      <c r="H625" s="2" t="s">
        <v>4051</v>
      </c>
      <c r="I625" s="2" t="s">
        <v>4052</v>
      </c>
      <c r="J625" s="2" t="s">
        <v>4053</v>
      </c>
      <c r="K625" s="2" t="s">
        <v>26</v>
      </c>
      <c r="L625" s="2" t="s">
        <v>4054</v>
      </c>
      <c r="M625" s="2">
        <v>57.0</v>
      </c>
      <c r="N625" s="2">
        <v>486.85</v>
      </c>
      <c r="O625" s="2" t="s">
        <v>28</v>
      </c>
      <c r="P625" s="2" t="s">
        <v>4055</v>
      </c>
      <c r="Q625" s="2" t="s">
        <v>4056</v>
      </c>
      <c r="R625" s="2" t="s">
        <v>433</v>
      </c>
      <c r="S625" s="2" t="s">
        <v>4057</v>
      </c>
      <c r="T625" s="2" t="s">
        <v>26</v>
      </c>
      <c r="U625" s="2" t="s">
        <v>33</v>
      </c>
    </row>
    <row r="626">
      <c r="A626" s="2">
        <v>625.0</v>
      </c>
      <c r="B626" s="2">
        <v>625.0</v>
      </c>
      <c r="C626" s="2">
        <v>625.0</v>
      </c>
      <c r="D626" s="3">
        <v>44497.0</v>
      </c>
      <c r="E626" s="2" t="s">
        <v>3301</v>
      </c>
      <c r="F626" s="2" t="s">
        <v>73</v>
      </c>
      <c r="G626" s="2">
        <v>598.04</v>
      </c>
      <c r="H626" s="2" t="s">
        <v>4058</v>
      </c>
      <c r="I626" s="2" t="s">
        <v>4059</v>
      </c>
      <c r="J626" s="2" t="s">
        <v>4060</v>
      </c>
      <c r="K626" s="2" t="s">
        <v>178</v>
      </c>
      <c r="L626" s="2">
        <v>5929.0</v>
      </c>
      <c r="M626" s="2">
        <v>57.0</v>
      </c>
      <c r="N626" s="2">
        <v>640.63</v>
      </c>
      <c r="O626" s="2" t="s">
        <v>28</v>
      </c>
      <c r="P626" s="2" t="s">
        <v>4061</v>
      </c>
      <c r="Q626" s="2" t="s">
        <v>4062</v>
      </c>
      <c r="S626" s="2" t="s">
        <v>4063</v>
      </c>
      <c r="T626" s="2" t="s">
        <v>127</v>
      </c>
      <c r="U626" s="2" t="s">
        <v>46</v>
      </c>
    </row>
    <row r="627">
      <c r="A627" s="2">
        <v>626.0</v>
      </c>
      <c r="B627" s="2">
        <v>626.0</v>
      </c>
      <c r="C627" s="2">
        <v>626.0</v>
      </c>
      <c r="D627" s="3">
        <v>44361.0</v>
      </c>
      <c r="E627" s="2" t="s">
        <v>4064</v>
      </c>
      <c r="F627" s="2" t="s">
        <v>237</v>
      </c>
      <c r="G627" s="2">
        <v>605.21</v>
      </c>
      <c r="H627" s="2" t="s">
        <v>3218</v>
      </c>
      <c r="I627" s="2" t="s">
        <v>4065</v>
      </c>
      <c r="J627" s="2" t="s">
        <v>4066</v>
      </c>
      <c r="K627" s="2" t="s">
        <v>627</v>
      </c>
      <c r="L627" s="2">
        <v>90160.0</v>
      </c>
      <c r="M627" s="2">
        <v>4.0</v>
      </c>
      <c r="N627" s="2">
        <v>450.4</v>
      </c>
      <c r="O627" s="2" t="s">
        <v>41</v>
      </c>
      <c r="P627" s="2" t="s">
        <v>2418</v>
      </c>
      <c r="Q627" s="2" t="s">
        <v>4067</v>
      </c>
      <c r="T627" s="2" t="s">
        <v>32</v>
      </c>
      <c r="U627" s="2" t="s">
        <v>46</v>
      </c>
    </row>
    <row r="628">
      <c r="A628" s="2">
        <v>627.0</v>
      </c>
      <c r="B628" s="2">
        <v>627.0</v>
      </c>
      <c r="C628" s="2">
        <v>627.0</v>
      </c>
      <c r="D628" s="3">
        <v>44179.0</v>
      </c>
      <c r="E628" s="2" t="s">
        <v>1727</v>
      </c>
      <c r="F628" s="2" t="s">
        <v>1046</v>
      </c>
      <c r="G628" s="2">
        <v>567.55</v>
      </c>
      <c r="H628" s="2" t="s">
        <v>4068</v>
      </c>
      <c r="I628" s="2" t="s">
        <v>4069</v>
      </c>
      <c r="J628" s="2" t="s">
        <v>4070</v>
      </c>
      <c r="K628" s="2" t="s">
        <v>4071</v>
      </c>
      <c r="M628" s="2">
        <v>74.0</v>
      </c>
      <c r="N628" s="2">
        <v>4520.71</v>
      </c>
      <c r="O628" s="2" t="s">
        <v>28</v>
      </c>
      <c r="P628" s="2" t="s">
        <v>4072</v>
      </c>
      <c r="Q628" s="2" t="s">
        <v>4073</v>
      </c>
      <c r="S628" s="2" t="s">
        <v>4074</v>
      </c>
      <c r="T628" s="2" t="s">
        <v>39</v>
      </c>
      <c r="U628" s="2" t="s">
        <v>46</v>
      </c>
    </row>
    <row r="629">
      <c r="A629" s="2">
        <v>628.0</v>
      </c>
      <c r="B629" s="2">
        <v>628.0</v>
      </c>
      <c r="C629" s="2">
        <v>628.0</v>
      </c>
      <c r="D629" s="3">
        <v>43963.0</v>
      </c>
      <c r="E629" s="2" t="s">
        <v>4075</v>
      </c>
      <c r="F629" s="2" t="s">
        <v>710</v>
      </c>
      <c r="G629" s="2">
        <v>957.83</v>
      </c>
      <c r="H629" s="2" t="s">
        <v>4076</v>
      </c>
      <c r="I629" s="2" t="s">
        <v>4077</v>
      </c>
      <c r="J629" s="2" t="s">
        <v>4078</v>
      </c>
      <c r="K629" s="2" t="s">
        <v>119</v>
      </c>
      <c r="M629" s="2">
        <v>70.0</v>
      </c>
      <c r="N629" s="2">
        <v>4977.8</v>
      </c>
      <c r="O629" s="2" t="s">
        <v>28</v>
      </c>
      <c r="P629" s="2" t="s">
        <v>1335</v>
      </c>
      <c r="Q629" s="2" t="s">
        <v>4079</v>
      </c>
      <c r="T629" s="2" t="s">
        <v>32</v>
      </c>
      <c r="U629" s="2" t="s">
        <v>71</v>
      </c>
    </row>
    <row r="630">
      <c r="A630" s="2">
        <v>629.0</v>
      </c>
      <c r="B630" s="2">
        <v>629.0</v>
      </c>
      <c r="C630" s="2">
        <v>629.0</v>
      </c>
      <c r="D630" s="3">
        <v>44439.0</v>
      </c>
      <c r="E630" s="2" t="s">
        <v>4080</v>
      </c>
      <c r="F630" s="2" t="s">
        <v>1046</v>
      </c>
      <c r="G630" s="2">
        <v>367.4</v>
      </c>
      <c r="H630" s="2" t="s">
        <v>4081</v>
      </c>
      <c r="I630" s="2" t="s">
        <v>4082</v>
      </c>
      <c r="J630" s="2" t="s">
        <v>4083</v>
      </c>
      <c r="K630" s="2" t="s">
        <v>137</v>
      </c>
      <c r="M630" s="2">
        <v>92.0</v>
      </c>
      <c r="N630" s="2">
        <v>591.03</v>
      </c>
      <c r="O630" s="2" t="s">
        <v>52</v>
      </c>
      <c r="P630" s="2" t="s">
        <v>4084</v>
      </c>
      <c r="Q630" s="2" t="s">
        <v>4085</v>
      </c>
      <c r="T630" s="2" t="s">
        <v>32</v>
      </c>
      <c r="U630" s="2" t="s">
        <v>33</v>
      </c>
    </row>
    <row r="631">
      <c r="A631" s="2">
        <v>630.0</v>
      </c>
      <c r="B631" s="2">
        <v>630.0</v>
      </c>
      <c r="C631" s="2">
        <v>630.0</v>
      </c>
      <c r="D631" s="3">
        <v>44157.0</v>
      </c>
      <c r="E631" s="2" t="s">
        <v>4086</v>
      </c>
      <c r="F631" s="2" t="s">
        <v>546</v>
      </c>
      <c r="G631" s="2">
        <v>19.03</v>
      </c>
      <c r="H631" s="2" t="s">
        <v>4087</v>
      </c>
      <c r="I631" s="2" t="s">
        <v>4088</v>
      </c>
      <c r="J631" s="2" t="s">
        <v>4089</v>
      </c>
      <c r="K631" s="2" t="s">
        <v>529</v>
      </c>
      <c r="L631" s="2">
        <v>30815.0</v>
      </c>
      <c r="M631" s="2">
        <v>44.0</v>
      </c>
      <c r="N631" s="2">
        <v>2204.41</v>
      </c>
      <c r="O631" s="2" t="s">
        <v>52</v>
      </c>
      <c r="P631" s="2" t="s">
        <v>4090</v>
      </c>
      <c r="Q631" s="2" t="s">
        <v>4091</v>
      </c>
      <c r="R631" s="2" t="s">
        <v>723</v>
      </c>
      <c r="S631" s="2" t="s">
        <v>4092</v>
      </c>
      <c r="T631" s="2" t="s">
        <v>163</v>
      </c>
      <c r="U631" s="2" t="s">
        <v>46</v>
      </c>
    </row>
    <row r="632">
      <c r="A632" s="2">
        <v>631.0</v>
      </c>
      <c r="B632" s="2">
        <v>631.0</v>
      </c>
      <c r="C632" s="2">
        <v>631.0</v>
      </c>
      <c r="D632" s="3">
        <v>44455.0</v>
      </c>
      <c r="E632" s="2" t="s">
        <v>1191</v>
      </c>
      <c r="F632" s="2" t="s">
        <v>501</v>
      </c>
      <c r="G632" s="2">
        <v>384.21</v>
      </c>
      <c r="H632" s="2" t="s">
        <v>4093</v>
      </c>
      <c r="I632" s="2" t="s">
        <v>4094</v>
      </c>
      <c r="J632" s="2" t="s">
        <v>4095</v>
      </c>
      <c r="K632" s="2" t="s">
        <v>163</v>
      </c>
      <c r="L632" s="2" t="s">
        <v>4096</v>
      </c>
      <c r="M632" s="2">
        <v>59.0</v>
      </c>
      <c r="N632" s="2">
        <v>2447.83</v>
      </c>
      <c r="O632" s="2" t="s">
        <v>52</v>
      </c>
      <c r="P632" s="2" t="s">
        <v>4097</v>
      </c>
      <c r="Q632" s="2" t="s">
        <v>4098</v>
      </c>
      <c r="T632" s="2" t="s">
        <v>1757</v>
      </c>
      <c r="U632" s="2" t="s">
        <v>33</v>
      </c>
    </row>
    <row r="633">
      <c r="A633" s="2">
        <v>632.0</v>
      </c>
      <c r="B633" s="2">
        <v>632.0</v>
      </c>
      <c r="C633" s="2">
        <v>632.0</v>
      </c>
      <c r="D633" s="3">
        <v>44209.0</v>
      </c>
      <c r="E633" s="2" t="s">
        <v>4099</v>
      </c>
      <c r="F633" s="2" t="s">
        <v>567</v>
      </c>
      <c r="G633" s="2">
        <v>88.01</v>
      </c>
      <c r="H633" s="2" t="s">
        <v>4100</v>
      </c>
      <c r="I633" s="2" t="s">
        <v>4101</v>
      </c>
      <c r="J633" s="2" t="s">
        <v>4102</v>
      </c>
      <c r="K633" s="2" t="s">
        <v>92</v>
      </c>
      <c r="M633" s="2">
        <v>38.0</v>
      </c>
      <c r="N633" s="2">
        <v>9974.52</v>
      </c>
      <c r="O633" s="2" t="s">
        <v>52</v>
      </c>
      <c r="P633" s="2" t="s">
        <v>4103</v>
      </c>
      <c r="Q633" s="2" t="s">
        <v>4104</v>
      </c>
      <c r="S633" s="2" t="s">
        <v>4105</v>
      </c>
      <c r="T633" s="2" t="s">
        <v>26</v>
      </c>
      <c r="U633" s="2" t="s">
        <v>71</v>
      </c>
    </row>
    <row r="634">
      <c r="A634" s="2">
        <v>633.0</v>
      </c>
      <c r="B634" s="2">
        <v>633.0</v>
      </c>
      <c r="C634" s="2">
        <v>633.0</v>
      </c>
      <c r="D634" s="3">
        <v>44126.0</v>
      </c>
      <c r="E634" s="2" t="s">
        <v>4106</v>
      </c>
      <c r="F634" s="2" t="s">
        <v>4107</v>
      </c>
      <c r="G634" s="2">
        <v>786.82</v>
      </c>
      <c r="H634" s="2" t="s">
        <v>4108</v>
      </c>
      <c r="I634" s="2" t="s">
        <v>4109</v>
      </c>
      <c r="J634" s="2" t="s">
        <v>4110</v>
      </c>
      <c r="K634" s="2" t="s">
        <v>119</v>
      </c>
      <c r="M634" s="2">
        <v>54.0</v>
      </c>
      <c r="N634" s="2">
        <v>6141.98</v>
      </c>
      <c r="O634" s="2" t="s">
        <v>41</v>
      </c>
      <c r="P634" s="2" t="s">
        <v>1540</v>
      </c>
      <c r="Q634" s="2" t="s">
        <v>4111</v>
      </c>
      <c r="S634" s="2" t="s">
        <v>4112</v>
      </c>
      <c r="T634" s="2" t="s">
        <v>26</v>
      </c>
      <c r="U634" s="2" t="s">
        <v>71</v>
      </c>
    </row>
    <row r="635">
      <c r="A635" s="2">
        <v>634.0</v>
      </c>
      <c r="B635" s="2">
        <v>634.0</v>
      </c>
      <c r="C635" s="2">
        <v>634.0</v>
      </c>
      <c r="D635" s="3">
        <v>44034.0</v>
      </c>
      <c r="E635" s="2" t="s">
        <v>622</v>
      </c>
      <c r="F635" s="2" t="s">
        <v>623</v>
      </c>
      <c r="G635" s="2">
        <v>254.86</v>
      </c>
      <c r="H635" s="2" t="s">
        <v>4113</v>
      </c>
      <c r="I635" s="2" t="s">
        <v>4114</v>
      </c>
      <c r="J635" s="2" t="s">
        <v>4115</v>
      </c>
      <c r="K635" s="2" t="s">
        <v>3792</v>
      </c>
      <c r="M635" s="2">
        <v>84.0</v>
      </c>
      <c r="N635" s="2">
        <v>3491.08</v>
      </c>
      <c r="O635" s="2" t="s">
        <v>41</v>
      </c>
      <c r="P635" s="2" t="s">
        <v>4116</v>
      </c>
      <c r="Q635" s="2" t="s">
        <v>4117</v>
      </c>
      <c r="T635" s="2" t="s">
        <v>292</v>
      </c>
      <c r="U635" s="2" t="s">
        <v>33</v>
      </c>
    </row>
    <row r="636">
      <c r="A636" s="2">
        <v>635.0</v>
      </c>
      <c r="B636" s="2">
        <v>635.0</v>
      </c>
      <c r="C636" s="2">
        <v>635.0</v>
      </c>
      <c r="D636" s="3">
        <v>44450.0</v>
      </c>
      <c r="E636" s="2" t="s">
        <v>1235</v>
      </c>
      <c r="F636" s="2" t="s">
        <v>191</v>
      </c>
      <c r="G636" s="2">
        <v>486.97</v>
      </c>
      <c r="H636" s="2" t="s">
        <v>4118</v>
      </c>
      <c r="I636" s="2" t="s">
        <v>4119</v>
      </c>
      <c r="J636" s="2" t="s">
        <v>4120</v>
      </c>
      <c r="K636" s="2" t="s">
        <v>101</v>
      </c>
      <c r="L636" s="2">
        <v>97075.0</v>
      </c>
      <c r="M636" s="2">
        <v>41.0</v>
      </c>
      <c r="N636" s="2">
        <v>1626.0</v>
      </c>
      <c r="O636" s="2" t="s">
        <v>41</v>
      </c>
      <c r="P636" s="2" t="s">
        <v>2870</v>
      </c>
      <c r="Q636" s="2" t="s">
        <v>4121</v>
      </c>
      <c r="R636" s="2" t="s">
        <v>4122</v>
      </c>
      <c r="T636" s="2" t="s">
        <v>32</v>
      </c>
      <c r="U636" s="2" t="s">
        <v>33</v>
      </c>
    </row>
    <row r="637">
      <c r="A637" s="2">
        <v>636.0</v>
      </c>
      <c r="B637" s="2">
        <v>636.0</v>
      </c>
      <c r="C637" s="2">
        <v>636.0</v>
      </c>
      <c r="D637" s="3">
        <v>44089.0</v>
      </c>
      <c r="E637" s="2" t="s">
        <v>4123</v>
      </c>
      <c r="F637" s="2" t="s">
        <v>3015</v>
      </c>
      <c r="G637" s="2">
        <v>766.93</v>
      </c>
      <c r="H637" s="2" t="s">
        <v>4124</v>
      </c>
      <c r="I637" s="2" t="s">
        <v>4125</v>
      </c>
      <c r="J637" s="2" t="s">
        <v>4126</v>
      </c>
      <c r="K637" s="2" t="s">
        <v>32</v>
      </c>
      <c r="M637" s="2">
        <v>41.0</v>
      </c>
      <c r="N637" s="2">
        <v>1067.93</v>
      </c>
      <c r="O637" s="2" t="s">
        <v>41</v>
      </c>
      <c r="P637" s="2" t="s">
        <v>391</v>
      </c>
      <c r="Q637" s="2" t="s">
        <v>4127</v>
      </c>
      <c r="S637" s="2" t="s">
        <v>4128</v>
      </c>
      <c r="T637" s="2" t="s">
        <v>114</v>
      </c>
      <c r="U637" s="2" t="s">
        <v>33</v>
      </c>
    </row>
    <row r="638">
      <c r="A638" s="2">
        <v>637.0</v>
      </c>
      <c r="B638" s="2">
        <v>637.0</v>
      </c>
      <c r="C638" s="2">
        <v>637.0</v>
      </c>
      <c r="D638" s="3">
        <v>44302.0</v>
      </c>
      <c r="E638" s="2" t="s">
        <v>4129</v>
      </c>
      <c r="F638" s="2" t="s">
        <v>22</v>
      </c>
      <c r="G638" s="2">
        <v>222.95</v>
      </c>
      <c r="H638" s="2" t="s">
        <v>4130</v>
      </c>
      <c r="I638" s="2" t="s">
        <v>4131</v>
      </c>
      <c r="J638" s="2" t="s">
        <v>4132</v>
      </c>
      <c r="K638" s="2" t="s">
        <v>32</v>
      </c>
      <c r="M638" s="2">
        <v>64.0</v>
      </c>
      <c r="N638" s="2">
        <v>8211.36</v>
      </c>
      <c r="O638" s="2" t="s">
        <v>52</v>
      </c>
      <c r="P638" s="2" t="s">
        <v>4133</v>
      </c>
      <c r="Q638" s="2" t="s">
        <v>4134</v>
      </c>
      <c r="S638" s="2" t="s">
        <v>4135</v>
      </c>
      <c r="T638" s="2" t="s">
        <v>163</v>
      </c>
      <c r="U638" s="2" t="s">
        <v>46</v>
      </c>
    </row>
    <row r="639">
      <c r="A639" s="2">
        <v>638.0</v>
      </c>
      <c r="B639" s="2">
        <v>638.0</v>
      </c>
      <c r="C639" s="2">
        <v>638.0</v>
      </c>
      <c r="D639" s="3">
        <v>43942.0</v>
      </c>
      <c r="E639" s="2" t="s">
        <v>4136</v>
      </c>
      <c r="F639" s="2" t="s">
        <v>237</v>
      </c>
      <c r="G639" s="2">
        <v>727.89</v>
      </c>
      <c r="H639" s="2" t="s">
        <v>4137</v>
      </c>
      <c r="I639" s="2" t="s">
        <v>4138</v>
      </c>
      <c r="J639" s="2" t="s">
        <v>4139</v>
      </c>
      <c r="K639" s="2" t="s">
        <v>101</v>
      </c>
      <c r="L639" s="2">
        <v>23612.0</v>
      </c>
      <c r="M639" s="2">
        <v>12.0</v>
      </c>
      <c r="N639" s="2">
        <v>1794.8</v>
      </c>
      <c r="O639" s="2" t="s">
        <v>41</v>
      </c>
      <c r="P639" s="2" t="s">
        <v>42</v>
      </c>
      <c r="Q639" s="2" t="s">
        <v>4140</v>
      </c>
      <c r="R639" s="2" t="s">
        <v>4141</v>
      </c>
      <c r="S639" s="2">
        <v>7104.0</v>
      </c>
      <c r="T639" s="2" t="s">
        <v>101</v>
      </c>
      <c r="U639" s="2" t="s">
        <v>33</v>
      </c>
    </row>
    <row r="640">
      <c r="A640" s="2">
        <v>639.0</v>
      </c>
      <c r="B640" s="2">
        <v>639.0</v>
      </c>
      <c r="C640" s="2">
        <v>639.0</v>
      </c>
      <c r="D640" s="3">
        <v>44396.0</v>
      </c>
      <c r="E640" s="2" t="s">
        <v>4142</v>
      </c>
      <c r="F640" s="2" t="s">
        <v>965</v>
      </c>
      <c r="G640" s="2">
        <v>869.41</v>
      </c>
      <c r="H640" s="2" t="s">
        <v>4143</v>
      </c>
      <c r="I640" s="2" t="s">
        <v>4144</v>
      </c>
      <c r="J640" s="2" t="s">
        <v>4145</v>
      </c>
      <c r="K640" s="2" t="s">
        <v>32</v>
      </c>
      <c r="M640" s="2">
        <v>54.0</v>
      </c>
      <c r="N640" s="2">
        <v>3773.07</v>
      </c>
      <c r="O640" s="2" t="s">
        <v>28</v>
      </c>
      <c r="P640" s="2" t="s">
        <v>4146</v>
      </c>
      <c r="Q640" s="2" t="s">
        <v>4147</v>
      </c>
      <c r="S640" s="2">
        <v>453703.0</v>
      </c>
      <c r="T640" s="2" t="s">
        <v>68</v>
      </c>
      <c r="U640" s="2" t="s">
        <v>71</v>
      </c>
    </row>
    <row r="641">
      <c r="A641" s="2">
        <v>640.0</v>
      </c>
      <c r="B641" s="2">
        <v>640.0</v>
      </c>
      <c r="C641" s="2">
        <v>640.0</v>
      </c>
      <c r="D641" s="3">
        <v>43866.0</v>
      </c>
      <c r="E641" s="2" t="s">
        <v>815</v>
      </c>
      <c r="F641" s="2" t="s">
        <v>165</v>
      </c>
      <c r="G641" s="2">
        <v>499.83</v>
      </c>
      <c r="H641" s="2" t="s">
        <v>4148</v>
      </c>
      <c r="I641" s="2" t="s">
        <v>4149</v>
      </c>
      <c r="J641" s="2" t="s">
        <v>4150</v>
      </c>
      <c r="K641" s="2" t="s">
        <v>885</v>
      </c>
      <c r="L641" s="2">
        <v>62421.0</v>
      </c>
      <c r="M641" s="2">
        <v>87.0</v>
      </c>
      <c r="N641" s="2">
        <v>6735.65</v>
      </c>
      <c r="O641" s="2" t="s">
        <v>41</v>
      </c>
      <c r="P641" s="2" t="s">
        <v>4151</v>
      </c>
      <c r="Q641" s="2" t="s">
        <v>4152</v>
      </c>
      <c r="S641" s="2">
        <v>4707.0</v>
      </c>
      <c r="T641" s="2" t="s">
        <v>241</v>
      </c>
      <c r="U641" s="2" t="s">
        <v>33</v>
      </c>
    </row>
    <row r="642">
      <c r="A642" s="2">
        <v>641.0</v>
      </c>
      <c r="B642" s="2">
        <v>641.0</v>
      </c>
      <c r="C642" s="2">
        <v>641.0</v>
      </c>
      <c r="D642" s="3">
        <v>44349.0</v>
      </c>
      <c r="E642" s="2" t="s">
        <v>4153</v>
      </c>
      <c r="F642" s="2" t="s">
        <v>133</v>
      </c>
      <c r="G642" s="2">
        <v>130.17</v>
      </c>
      <c r="H642" s="2" t="s">
        <v>4154</v>
      </c>
      <c r="I642" s="2" t="s">
        <v>4155</v>
      </c>
      <c r="J642" s="2" t="s">
        <v>4156</v>
      </c>
      <c r="K642" s="2" t="s">
        <v>225</v>
      </c>
      <c r="M642" s="2">
        <v>42.0</v>
      </c>
      <c r="N642" s="2">
        <v>3943.49</v>
      </c>
      <c r="O642" s="2" t="s">
        <v>28</v>
      </c>
      <c r="P642" s="2" t="s">
        <v>939</v>
      </c>
      <c r="Q642" s="2" t="s">
        <v>4157</v>
      </c>
      <c r="S642" s="2">
        <v>4602.0</v>
      </c>
      <c r="T642" s="2" t="s">
        <v>241</v>
      </c>
      <c r="U642" s="2" t="s">
        <v>71</v>
      </c>
    </row>
    <row r="643">
      <c r="A643" s="2">
        <v>642.0</v>
      </c>
      <c r="B643" s="2">
        <v>642.0</v>
      </c>
      <c r="C643" s="2">
        <v>642.0</v>
      </c>
      <c r="D643" s="3">
        <v>44253.0</v>
      </c>
      <c r="E643" s="2" t="s">
        <v>3058</v>
      </c>
      <c r="F643" s="2" t="s">
        <v>237</v>
      </c>
      <c r="G643" s="2">
        <v>756.11</v>
      </c>
      <c r="H643" s="2" t="s">
        <v>4158</v>
      </c>
      <c r="I643" s="2" t="s">
        <v>4159</v>
      </c>
      <c r="J643" s="2" t="s">
        <v>4160</v>
      </c>
      <c r="K643" s="2" t="s">
        <v>292</v>
      </c>
      <c r="M643" s="2">
        <v>22.0</v>
      </c>
      <c r="N643" s="2">
        <v>5007.1</v>
      </c>
      <c r="O643" s="2" t="s">
        <v>52</v>
      </c>
      <c r="P643" s="2" t="s">
        <v>3697</v>
      </c>
      <c r="Q643" s="2" t="s">
        <v>4161</v>
      </c>
      <c r="T643" s="2" t="s">
        <v>292</v>
      </c>
      <c r="U643" s="2" t="s">
        <v>71</v>
      </c>
    </row>
    <row r="644">
      <c r="A644" s="2">
        <v>643.0</v>
      </c>
      <c r="B644" s="2">
        <v>643.0</v>
      </c>
      <c r="C644" s="2">
        <v>643.0</v>
      </c>
      <c r="D644" s="3">
        <v>43913.0</v>
      </c>
      <c r="E644" s="2" t="s">
        <v>1516</v>
      </c>
      <c r="F644" s="2" t="s">
        <v>198</v>
      </c>
      <c r="G644" s="2">
        <v>605.57</v>
      </c>
      <c r="H644" s="2" t="s">
        <v>2699</v>
      </c>
      <c r="I644" s="2" t="s">
        <v>4162</v>
      </c>
      <c r="J644" s="2" t="s">
        <v>4163</v>
      </c>
      <c r="K644" s="2" t="s">
        <v>1908</v>
      </c>
      <c r="M644" s="2">
        <v>61.0</v>
      </c>
      <c r="N644" s="2">
        <v>194.22</v>
      </c>
      <c r="O644" s="2" t="s">
        <v>52</v>
      </c>
      <c r="P644" s="2" t="s">
        <v>4164</v>
      </c>
      <c r="Q644" s="2" t="s">
        <v>4165</v>
      </c>
      <c r="T644" s="2" t="s">
        <v>137</v>
      </c>
      <c r="U644" s="2" t="s">
        <v>33</v>
      </c>
    </row>
    <row r="645">
      <c r="A645" s="2">
        <v>644.0</v>
      </c>
      <c r="B645" s="2">
        <v>644.0</v>
      </c>
      <c r="C645" s="2">
        <v>644.0</v>
      </c>
      <c r="D645" s="3">
        <v>44402.0</v>
      </c>
      <c r="E645" s="2" t="s">
        <v>4166</v>
      </c>
      <c r="F645" s="2" t="s">
        <v>4167</v>
      </c>
      <c r="G645" s="2">
        <v>72.26</v>
      </c>
      <c r="H645" s="2" t="s">
        <v>4168</v>
      </c>
      <c r="I645" s="2" t="s">
        <v>4169</v>
      </c>
      <c r="J645" s="2" t="s">
        <v>4170</v>
      </c>
      <c r="K645" s="2" t="s">
        <v>292</v>
      </c>
      <c r="M645" s="2">
        <v>10.0</v>
      </c>
      <c r="N645" s="2">
        <v>52.04</v>
      </c>
      <c r="O645" s="2" t="s">
        <v>52</v>
      </c>
      <c r="P645" s="2" t="s">
        <v>4171</v>
      </c>
      <c r="Q645" s="2" t="s">
        <v>4172</v>
      </c>
      <c r="T645" s="2" t="s">
        <v>292</v>
      </c>
      <c r="U645" s="2" t="s">
        <v>33</v>
      </c>
    </row>
    <row r="646">
      <c r="A646" s="2">
        <v>645.0</v>
      </c>
      <c r="B646" s="2">
        <v>645.0</v>
      </c>
      <c r="C646" s="2">
        <v>645.0</v>
      </c>
      <c r="D646" s="3">
        <v>44092.0</v>
      </c>
      <c r="E646" s="2" t="s">
        <v>4173</v>
      </c>
      <c r="F646" s="2" t="s">
        <v>623</v>
      </c>
      <c r="G646" s="2">
        <v>783.54</v>
      </c>
      <c r="H646" s="2" t="s">
        <v>4174</v>
      </c>
      <c r="I646" s="2" t="s">
        <v>4175</v>
      </c>
      <c r="J646" s="2" t="s">
        <v>4176</v>
      </c>
      <c r="K646" s="2" t="s">
        <v>330</v>
      </c>
      <c r="M646" s="2">
        <v>35.0</v>
      </c>
      <c r="N646" s="2">
        <v>9514.1</v>
      </c>
      <c r="O646" s="2" t="s">
        <v>28</v>
      </c>
      <c r="P646" s="2" t="s">
        <v>4177</v>
      </c>
      <c r="Q646" s="2" t="s">
        <v>1323</v>
      </c>
      <c r="T646" s="2" t="s">
        <v>137</v>
      </c>
      <c r="U646" s="2" t="s">
        <v>33</v>
      </c>
    </row>
    <row r="647">
      <c r="A647" s="2">
        <v>646.0</v>
      </c>
      <c r="B647" s="2">
        <v>646.0</v>
      </c>
      <c r="C647" s="2">
        <v>646.0</v>
      </c>
      <c r="D647" s="3">
        <v>44281.0</v>
      </c>
      <c r="E647" s="2" t="s">
        <v>4178</v>
      </c>
      <c r="F647" s="2" t="s">
        <v>191</v>
      </c>
      <c r="G647" s="2">
        <v>861.25</v>
      </c>
      <c r="H647" s="2" t="s">
        <v>4179</v>
      </c>
      <c r="I647" s="2" t="s">
        <v>4180</v>
      </c>
      <c r="J647" s="2" t="s">
        <v>4181</v>
      </c>
      <c r="K647" s="2" t="s">
        <v>241</v>
      </c>
      <c r="L647" s="2">
        <v>5039.0</v>
      </c>
      <c r="M647" s="2">
        <v>95.0</v>
      </c>
      <c r="N647" s="2">
        <v>9733.32</v>
      </c>
      <c r="O647" s="2" t="s">
        <v>28</v>
      </c>
      <c r="P647" s="2" t="s">
        <v>4182</v>
      </c>
      <c r="Q647" s="2" t="s">
        <v>4183</v>
      </c>
      <c r="S647" s="2">
        <v>5630.0</v>
      </c>
      <c r="T647" s="2" t="s">
        <v>460</v>
      </c>
      <c r="U647" s="2" t="s">
        <v>33</v>
      </c>
    </row>
    <row r="648">
      <c r="A648" s="2">
        <v>647.0</v>
      </c>
      <c r="B648" s="2">
        <v>647.0</v>
      </c>
      <c r="C648" s="2">
        <v>647.0</v>
      </c>
      <c r="D648" s="3">
        <v>43835.0</v>
      </c>
      <c r="E648" s="2" t="s">
        <v>4184</v>
      </c>
      <c r="F648" s="2" t="s">
        <v>567</v>
      </c>
      <c r="G648" s="2">
        <v>428.88</v>
      </c>
      <c r="H648" s="2" t="s">
        <v>4185</v>
      </c>
      <c r="I648" s="2" t="s">
        <v>4186</v>
      </c>
      <c r="J648" s="2" t="s">
        <v>4187</v>
      </c>
      <c r="K648" s="2" t="s">
        <v>114</v>
      </c>
      <c r="L648" s="2" t="s">
        <v>4188</v>
      </c>
      <c r="M648" s="2">
        <v>23.0</v>
      </c>
      <c r="N648" s="2">
        <v>5047.75</v>
      </c>
      <c r="O648" s="2" t="s">
        <v>52</v>
      </c>
      <c r="P648" s="2" t="s">
        <v>4189</v>
      </c>
      <c r="Q648" s="2" t="s">
        <v>4190</v>
      </c>
      <c r="S648" s="2">
        <v>21485.0</v>
      </c>
      <c r="T648" s="2" t="s">
        <v>217</v>
      </c>
      <c r="U648" s="2" t="s">
        <v>33</v>
      </c>
    </row>
    <row r="649">
      <c r="A649" s="2">
        <v>648.0</v>
      </c>
      <c r="B649" s="2">
        <v>648.0</v>
      </c>
      <c r="C649" s="2">
        <v>648.0</v>
      </c>
      <c r="D649" s="3">
        <v>44401.0</v>
      </c>
      <c r="E649" s="2" t="s">
        <v>4166</v>
      </c>
      <c r="F649" s="2" t="s">
        <v>4167</v>
      </c>
      <c r="G649" s="2">
        <v>909.15</v>
      </c>
      <c r="H649" s="2" t="s">
        <v>4191</v>
      </c>
      <c r="I649" s="2" t="s">
        <v>4192</v>
      </c>
      <c r="J649" s="2" t="s">
        <v>4193</v>
      </c>
      <c r="K649" s="2" t="s">
        <v>32</v>
      </c>
      <c r="M649" s="2">
        <v>84.0</v>
      </c>
      <c r="N649" s="2">
        <v>6349.94</v>
      </c>
      <c r="O649" s="2" t="s">
        <v>41</v>
      </c>
      <c r="P649" s="2" t="s">
        <v>4177</v>
      </c>
      <c r="Q649" s="2" t="s">
        <v>4194</v>
      </c>
      <c r="T649" s="2" t="s">
        <v>119</v>
      </c>
      <c r="U649" s="2" t="s">
        <v>71</v>
      </c>
    </row>
    <row r="650">
      <c r="A650" s="2">
        <v>649.0</v>
      </c>
      <c r="B650" s="2">
        <v>649.0</v>
      </c>
      <c r="C650" s="2">
        <v>649.0</v>
      </c>
      <c r="D650" s="3">
        <v>44486.0</v>
      </c>
      <c r="E650" s="2" t="s">
        <v>4195</v>
      </c>
      <c r="F650" s="2" t="s">
        <v>1671</v>
      </c>
      <c r="G650" s="2">
        <v>860.77</v>
      </c>
      <c r="H650" s="2" t="s">
        <v>1092</v>
      </c>
      <c r="I650" s="2" t="s">
        <v>4196</v>
      </c>
      <c r="J650" s="2" t="s">
        <v>4197</v>
      </c>
      <c r="K650" s="2" t="s">
        <v>119</v>
      </c>
      <c r="M650" s="2">
        <v>58.0</v>
      </c>
      <c r="N650" s="2">
        <v>5263.13</v>
      </c>
      <c r="O650" s="2" t="s">
        <v>28</v>
      </c>
      <c r="P650" s="2" t="s">
        <v>4198</v>
      </c>
      <c r="Q650" s="2" t="s">
        <v>4199</v>
      </c>
      <c r="T650" s="2" t="s">
        <v>32</v>
      </c>
      <c r="U650" s="2" t="s">
        <v>71</v>
      </c>
    </row>
    <row r="651">
      <c r="A651" s="2">
        <v>650.0</v>
      </c>
      <c r="B651" s="2">
        <v>650.0</v>
      </c>
      <c r="C651" s="2">
        <v>650.0</v>
      </c>
      <c r="D651" s="3">
        <v>44317.0</v>
      </c>
      <c r="E651" s="2" t="s">
        <v>4200</v>
      </c>
      <c r="F651" s="2" t="s">
        <v>97</v>
      </c>
      <c r="G651" s="2">
        <v>236.61</v>
      </c>
      <c r="H651" s="2" t="s">
        <v>4201</v>
      </c>
      <c r="I651" s="2" t="s">
        <v>4202</v>
      </c>
      <c r="J651" s="2" t="s">
        <v>4203</v>
      </c>
      <c r="K651" s="2" t="s">
        <v>32</v>
      </c>
      <c r="M651" s="2">
        <v>41.0</v>
      </c>
      <c r="N651" s="2">
        <v>6327.52</v>
      </c>
      <c r="O651" s="2" t="s">
        <v>28</v>
      </c>
      <c r="P651" s="2" t="s">
        <v>4204</v>
      </c>
      <c r="Q651" s="2" t="s">
        <v>4205</v>
      </c>
      <c r="T651" s="2" t="s">
        <v>1328</v>
      </c>
      <c r="U651" s="2" t="s">
        <v>46</v>
      </c>
    </row>
    <row r="652">
      <c r="A652" s="2">
        <v>651.0</v>
      </c>
      <c r="B652" s="2">
        <v>651.0</v>
      </c>
      <c r="C652" s="2">
        <v>651.0</v>
      </c>
      <c r="D652" s="3">
        <v>44497.0</v>
      </c>
      <c r="E652" s="2" t="s">
        <v>4206</v>
      </c>
      <c r="F652" s="2" t="s">
        <v>965</v>
      </c>
      <c r="G652" s="2">
        <v>725.05</v>
      </c>
      <c r="H652" s="2" t="s">
        <v>4207</v>
      </c>
      <c r="I652" s="2" t="s">
        <v>4208</v>
      </c>
      <c r="J652" s="2" t="s">
        <v>4209</v>
      </c>
      <c r="K652" s="2" t="s">
        <v>585</v>
      </c>
      <c r="M652" s="2">
        <v>18.0</v>
      </c>
      <c r="N652" s="2">
        <v>161.65</v>
      </c>
      <c r="O652" s="2" t="s">
        <v>52</v>
      </c>
      <c r="P652" s="2" t="s">
        <v>4210</v>
      </c>
      <c r="Q652" s="2" t="s">
        <v>4211</v>
      </c>
      <c r="S652" s="2">
        <v>7737.0</v>
      </c>
      <c r="T652" s="2" t="s">
        <v>453</v>
      </c>
      <c r="U652" s="2" t="s">
        <v>33</v>
      </c>
    </row>
    <row r="653">
      <c r="A653" s="2">
        <v>652.0</v>
      </c>
      <c r="B653" s="2">
        <v>652.0</v>
      </c>
      <c r="C653" s="2">
        <v>652.0</v>
      </c>
      <c r="D653" s="3">
        <v>43906.0</v>
      </c>
      <c r="E653" s="2" t="s">
        <v>4212</v>
      </c>
      <c r="F653" s="2" t="s">
        <v>272</v>
      </c>
      <c r="G653" s="2">
        <v>224.79</v>
      </c>
      <c r="H653" s="2" t="s">
        <v>4213</v>
      </c>
      <c r="I653" s="2" t="s">
        <v>4214</v>
      </c>
      <c r="J653" s="2" t="s">
        <v>4215</v>
      </c>
      <c r="K653" s="2" t="s">
        <v>241</v>
      </c>
      <c r="L653" s="2">
        <v>8427.0</v>
      </c>
      <c r="M653" s="2">
        <v>90.0</v>
      </c>
      <c r="N653" s="2">
        <v>7125.6</v>
      </c>
      <c r="O653" s="2" t="s">
        <v>28</v>
      </c>
      <c r="P653" s="2" t="s">
        <v>300</v>
      </c>
      <c r="Q653" s="2" t="s">
        <v>3370</v>
      </c>
      <c r="T653" s="2" t="s">
        <v>4216</v>
      </c>
      <c r="U653" s="2" t="s">
        <v>71</v>
      </c>
    </row>
    <row r="654">
      <c r="A654" s="2">
        <v>653.0</v>
      </c>
      <c r="B654" s="2">
        <v>653.0</v>
      </c>
      <c r="C654" s="2">
        <v>653.0</v>
      </c>
      <c r="D654" s="3">
        <v>43833.0</v>
      </c>
      <c r="E654" s="2" t="s">
        <v>4217</v>
      </c>
      <c r="F654" s="2" t="s">
        <v>1626</v>
      </c>
      <c r="G654" s="2">
        <v>460.24</v>
      </c>
      <c r="H654" s="2" t="s">
        <v>4218</v>
      </c>
      <c r="I654" s="2" t="s">
        <v>4219</v>
      </c>
      <c r="J654" s="2" t="s">
        <v>4220</v>
      </c>
      <c r="K654" s="2" t="s">
        <v>119</v>
      </c>
      <c r="M654" s="2">
        <v>72.0</v>
      </c>
      <c r="N654" s="2">
        <v>6263.0</v>
      </c>
      <c r="O654" s="2" t="s">
        <v>52</v>
      </c>
      <c r="P654" s="2" t="s">
        <v>4221</v>
      </c>
      <c r="Q654" s="2" t="s">
        <v>4222</v>
      </c>
      <c r="S654" s="2">
        <v>5507.0</v>
      </c>
      <c r="T654" s="2" t="s">
        <v>241</v>
      </c>
      <c r="U654" s="2" t="s">
        <v>33</v>
      </c>
    </row>
    <row r="655">
      <c r="A655" s="2">
        <v>654.0</v>
      </c>
      <c r="B655" s="2">
        <v>654.0</v>
      </c>
      <c r="C655" s="2">
        <v>654.0</v>
      </c>
      <c r="D655" s="3">
        <v>44219.0</v>
      </c>
      <c r="E655" s="2" t="s">
        <v>1606</v>
      </c>
      <c r="F655" s="2" t="s">
        <v>56</v>
      </c>
      <c r="G655" s="2">
        <v>109.6</v>
      </c>
      <c r="H655" s="2" t="s">
        <v>4223</v>
      </c>
      <c r="I655" s="2" t="s">
        <v>4224</v>
      </c>
      <c r="J655" s="2" t="s">
        <v>4225</v>
      </c>
      <c r="K655" s="2" t="s">
        <v>327</v>
      </c>
      <c r="L655" s="2">
        <v>5049.0</v>
      </c>
      <c r="M655" s="2">
        <v>7.0</v>
      </c>
      <c r="N655" s="2">
        <v>7048.93</v>
      </c>
      <c r="O655" s="2" t="s">
        <v>52</v>
      </c>
      <c r="P655" s="2" t="s">
        <v>469</v>
      </c>
      <c r="Q655" s="2" t="s">
        <v>4226</v>
      </c>
      <c r="S655" s="2">
        <v>5413.0</v>
      </c>
      <c r="T655" s="2" t="s">
        <v>178</v>
      </c>
      <c r="U655" s="2" t="s">
        <v>71</v>
      </c>
    </row>
    <row r="656">
      <c r="A656" s="2">
        <v>655.0</v>
      </c>
      <c r="B656" s="2">
        <v>655.0</v>
      </c>
      <c r="C656" s="2">
        <v>655.0</v>
      </c>
      <c r="D656" s="3">
        <v>44175.0</v>
      </c>
      <c r="E656" s="2" t="s">
        <v>4227</v>
      </c>
      <c r="F656" s="2" t="s">
        <v>88</v>
      </c>
      <c r="G656" s="2">
        <v>240.45</v>
      </c>
      <c r="H656" s="2" t="s">
        <v>3122</v>
      </c>
      <c r="I656" s="2" t="s">
        <v>4228</v>
      </c>
      <c r="J656" s="2" t="s">
        <v>4229</v>
      </c>
      <c r="K656" s="2" t="s">
        <v>114</v>
      </c>
      <c r="L656" s="2" t="s">
        <v>4230</v>
      </c>
      <c r="M656" s="2">
        <v>16.0</v>
      </c>
      <c r="N656" s="2">
        <v>6185.09</v>
      </c>
      <c r="O656" s="2" t="s">
        <v>28</v>
      </c>
      <c r="P656" s="2" t="s">
        <v>277</v>
      </c>
      <c r="Q656" s="2" t="s">
        <v>4231</v>
      </c>
      <c r="T656" s="2" t="s">
        <v>119</v>
      </c>
      <c r="U656" s="2" t="s">
        <v>71</v>
      </c>
    </row>
    <row r="657">
      <c r="A657" s="2">
        <v>656.0</v>
      </c>
      <c r="B657" s="2">
        <v>656.0</v>
      </c>
      <c r="C657" s="2">
        <v>656.0</v>
      </c>
      <c r="D657" s="3">
        <v>44546.0</v>
      </c>
      <c r="E657" s="2" t="s">
        <v>4232</v>
      </c>
      <c r="F657" s="2" t="s">
        <v>1184</v>
      </c>
      <c r="G657" s="2">
        <v>894.6</v>
      </c>
      <c r="H657" s="2" t="s">
        <v>4233</v>
      </c>
      <c r="I657" s="2" t="s">
        <v>4234</v>
      </c>
      <c r="J657" s="2" t="s">
        <v>4235</v>
      </c>
      <c r="K657" s="2" t="s">
        <v>106</v>
      </c>
      <c r="L657" s="2" t="s">
        <v>4236</v>
      </c>
      <c r="M657" s="2">
        <v>92.0</v>
      </c>
      <c r="N657" s="2">
        <v>4609.8</v>
      </c>
      <c r="O657" s="2" t="s">
        <v>52</v>
      </c>
      <c r="P657" s="2" t="s">
        <v>4237</v>
      </c>
      <c r="Q657" s="2" t="s">
        <v>4238</v>
      </c>
      <c r="S657" s="2">
        <v>23273.0</v>
      </c>
      <c r="T657" s="2" t="s">
        <v>217</v>
      </c>
      <c r="U657" s="2" t="s">
        <v>33</v>
      </c>
    </row>
    <row r="658">
      <c r="A658" s="2">
        <v>657.0</v>
      </c>
      <c r="B658" s="2">
        <v>657.0</v>
      </c>
      <c r="C658" s="2">
        <v>657.0</v>
      </c>
      <c r="D658" s="3">
        <v>44451.0</v>
      </c>
      <c r="E658" s="2" t="s">
        <v>2146</v>
      </c>
      <c r="F658" s="2" t="s">
        <v>2147</v>
      </c>
      <c r="G658" s="2">
        <v>274.94</v>
      </c>
      <c r="H658" s="2" t="s">
        <v>4239</v>
      </c>
      <c r="I658" s="2" t="s">
        <v>4240</v>
      </c>
      <c r="J658" s="2" t="s">
        <v>4241</v>
      </c>
      <c r="K658" s="2" t="s">
        <v>327</v>
      </c>
      <c r="L658" s="2">
        <v>8890.0</v>
      </c>
      <c r="M658" s="2">
        <v>22.0</v>
      </c>
      <c r="N658" s="2">
        <v>9006.42</v>
      </c>
      <c r="O658" s="2" t="s">
        <v>41</v>
      </c>
      <c r="P658" s="2" t="s">
        <v>600</v>
      </c>
      <c r="Q658" s="2" t="s">
        <v>4242</v>
      </c>
      <c r="T658" s="2" t="s">
        <v>32</v>
      </c>
      <c r="U658" s="2" t="s">
        <v>33</v>
      </c>
    </row>
    <row r="659">
      <c r="A659" s="2">
        <v>658.0</v>
      </c>
      <c r="B659" s="2">
        <v>658.0</v>
      </c>
      <c r="C659" s="2">
        <v>658.0</v>
      </c>
      <c r="D659" s="3">
        <v>44005.0</v>
      </c>
      <c r="E659" s="2" t="s">
        <v>3039</v>
      </c>
      <c r="F659" s="2" t="s">
        <v>2120</v>
      </c>
      <c r="G659" s="2">
        <v>256.49</v>
      </c>
      <c r="H659" s="2" t="s">
        <v>3188</v>
      </c>
      <c r="I659" s="2" t="s">
        <v>4243</v>
      </c>
      <c r="J659" s="2" t="s">
        <v>4244</v>
      </c>
      <c r="K659" s="2" t="s">
        <v>32</v>
      </c>
      <c r="M659" s="2">
        <v>93.0</v>
      </c>
      <c r="N659" s="2">
        <v>5356.93</v>
      </c>
      <c r="O659" s="2" t="s">
        <v>28</v>
      </c>
      <c r="P659" s="2" t="s">
        <v>234</v>
      </c>
      <c r="Q659" s="2" t="s">
        <v>4245</v>
      </c>
      <c r="T659" s="2" t="s">
        <v>225</v>
      </c>
      <c r="U659" s="2" t="s">
        <v>33</v>
      </c>
    </row>
    <row r="660">
      <c r="A660" s="2">
        <v>659.0</v>
      </c>
      <c r="B660" s="2">
        <v>659.0</v>
      </c>
      <c r="C660" s="2">
        <v>659.0</v>
      </c>
      <c r="D660" s="3">
        <v>44335.0</v>
      </c>
      <c r="E660" s="2" t="s">
        <v>3997</v>
      </c>
      <c r="F660" s="2" t="s">
        <v>501</v>
      </c>
      <c r="G660" s="2">
        <v>333.24</v>
      </c>
      <c r="H660" s="2" t="s">
        <v>4246</v>
      </c>
      <c r="I660" s="2" t="s">
        <v>4247</v>
      </c>
      <c r="J660" s="2" t="s">
        <v>4248</v>
      </c>
      <c r="K660" s="2" t="s">
        <v>32</v>
      </c>
      <c r="M660" s="2">
        <v>35.0</v>
      </c>
      <c r="N660" s="2">
        <v>6668.15</v>
      </c>
      <c r="O660" s="2" t="s">
        <v>41</v>
      </c>
      <c r="P660" s="2" t="s">
        <v>4249</v>
      </c>
      <c r="Q660" s="2" t="s">
        <v>4250</v>
      </c>
      <c r="S660" s="2" t="s">
        <v>4251</v>
      </c>
      <c r="T660" s="2" t="s">
        <v>163</v>
      </c>
      <c r="U660" s="2" t="s">
        <v>46</v>
      </c>
    </row>
    <row r="661">
      <c r="A661" s="2">
        <v>660.0</v>
      </c>
      <c r="B661" s="2">
        <v>660.0</v>
      </c>
      <c r="C661" s="2">
        <v>660.0</v>
      </c>
      <c r="D661" s="3">
        <v>44476.0</v>
      </c>
      <c r="E661" s="2" t="s">
        <v>4007</v>
      </c>
      <c r="F661" s="2" t="s">
        <v>310</v>
      </c>
      <c r="G661" s="2">
        <v>500.49</v>
      </c>
      <c r="H661" s="2" t="s">
        <v>4252</v>
      </c>
      <c r="I661" s="2" t="s">
        <v>4253</v>
      </c>
      <c r="J661" s="2" t="s">
        <v>4254</v>
      </c>
      <c r="K661" s="2" t="s">
        <v>114</v>
      </c>
      <c r="L661" s="2" t="s">
        <v>4255</v>
      </c>
      <c r="M661" s="2">
        <v>32.0</v>
      </c>
      <c r="N661" s="2">
        <v>3607.35</v>
      </c>
      <c r="O661" s="2" t="s">
        <v>41</v>
      </c>
      <c r="P661" s="2" t="s">
        <v>4256</v>
      </c>
      <c r="Q661" s="2" t="s">
        <v>4257</v>
      </c>
      <c r="S661" s="2" t="s">
        <v>4258</v>
      </c>
      <c r="T661" s="2" t="s">
        <v>163</v>
      </c>
      <c r="U661" s="2" t="s">
        <v>33</v>
      </c>
    </row>
    <row r="662">
      <c r="A662" s="2">
        <v>661.0</v>
      </c>
      <c r="B662" s="2">
        <v>661.0</v>
      </c>
      <c r="C662" s="2">
        <v>661.0</v>
      </c>
      <c r="D662" s="3">
        <v>43867.0</v>
      </c>
      <c r="E662" s="2" t="s">
        <v>3575</v>
      </c>
      <c r="F662" s="2" t="s">
        <v>1671</v>
      </c>
      <c r="G662" s="2">
        <v>636.31</v>
      </c>
      <c r="H662" s="2" t="s">
        <v>4259</v>
      </c>
      <c r="I662" s="2" t="s">
        <v>4260</v>
      </c>
      <c r="J662" s="2" t="s">
        <v>4261</v>
      </c>
      <c r="K662" s="2" t="s">
        <v>114</v>
      </c>
      <c r="L662" s="2" t="s">
        <v>4262</v>
      </c>
      <c r="M662" s="2">
        <v>37.0</v>
      </c>
      <c r="N662" s="2">
        <v>3890.84</v>
      </c>
      <c r="O662" s="2" t="s">
        <v>52</v>
      </c>
      <c r="P662" s="2" t="s">
        <v>1929</v>
      </c>
      <c r="Q662" s="2" t="s">
        <v>4263</v>
      </c>
      <c r="S662" s="2" t="s">
        <v>4264</v>
      </c>
      <c r="T662" s="2" t="s">
        <v>114</v>
      </c>
      <c r="U662" s="2" t="s">
        <v>46</v>
      </c>
    </row>
    <row r="663">
      <c r="A663" s="2">
        <v>662.0</v>
      </c>
      <c r="B663" s="2">
        <v>662.0</v>
      </c>
      <c r="C663" s="2">
        <v>662.0</v>
      </c>
      <c r="D663" s="3">
        <v>44308.0</v>
      </c>
      <c r="E663" s="2" t="s">
        <v>675</v>
      </c>
      <c r="F663" s="2" t="s">
        <v>332</v>
      </c>
      <c r="G663" s="2">
        <v>636.84</v>
      </c>
      <c r="H663" s="2" t="s">
        <v>4265</v>
      </c>
      <c r="I663" s="2" t="s">
        <v>4266</v>
      </c>
      <c r="J663" s="2" t="s">
        <v>4267</v>
      </c>
      <c r="K663" s="2" t="s">
        <v>26</v>
      </c>
      <c r="L663" s="2" t="s">
        <v>4268</v>
      </c>
      <c r="M663" s="2">
        <v>19.0</v>
      </c>
      <c r="N663" s="2">
        <v>4477.55</v>
      </c>
      <c r="O663" s="2" t="s">
        <v>52</v>
      </c>
      <c r="P663" s="2" t="s">
        <v>4269</v>
      </c>
      <c r="Q663" s="2" t="s">
        <v>4270</v>
      </c>
      <c r="R663" s="2" t="s">
        <v>31</v>
      </c>
      <c r="T663" s="2" t="s">
        <v>292</v>
      </c>
      <c r="U663" s="2" t="s">
        <v>46</v>
      </c>
    </row>
    <row r="664">
      <c r="A664" s="2">
        <v>663.0</v>
      </c>
      <c r="B664" s="2">
        <v>663.0</v>
      </c>
      <c r="C664" s="2">
        <v>663.0</v>
      </c>
      <c r="D664" s="3">
        <v>44188.0</v>
      </c>
      <c r="E664" s="2" t="s">
        <v>4271</v>
      </c>
      <c r="F664" s="2" t="s">
        <v>142</v>
      </c>
      <c r="G664" s="2">
        <v>553.23</v>
      </c>
      <c r="H664" s="2" t="s">
        <v>4272</v>
      </c>
      <c r="I664" s="2" t="s">
        <v>4273</v>
      </c>
      <c r="J664" s="2" t="s">
        <v>4274</v>
      </c>
      <c r="K664" s="2" t="s">
        <v>32</v>
      </c>
      <c r="M664" s="2">
        <v>15.0</v>
      </c>
      <c r="N664" s="2">
        <v>9240.39</v>
      </c>
      <c r="O664" s="2" t="s">
        <v>28</v>
      </c>
      <c r="P664" s="2" t="s">
        <v>4275</v>
      </c>
      <c r="Q664" s="2" t="s">
        <v>4276</v>
      </c>
      <c r="S664" s="2" t="s">
        <v>4277</v>
      </c>
      <c r="T664" s="2" t="s">
        <v>379</v>
      </c>
      <c r="U664" s="2" t="s">
        <v>33</v>
      </c>
    </row>
    <row r="665">
      <c r="A665" s="2">
        <v>664.0</v>
      </c>
      <c r="B665" s="2">
        <v>664.0</v>
      </c>
      <c r="C665" s="2">
        <v>664.0</v>
      </c>
      <c r="D665" s="3">
        <v>44002.0</v>
      </c>
      <c r="E665" s="2" t="s">
        <v>4278</v>
      </c>
      <c r="F665" s="2" t="s">
        <v>97</v>
      </c>
      <c r="G665" s="2">
        <v>878.31</v>
      </c>
      <c r="H665" s="2" t="s">
        <v>4279</v>
      </c>
      <c r="I665" s="2" t="s">
        <v>4280</v>
      </c>
      <c r="J665" s="2" t="s">
        <v>4281</v>
      </c>
      <c r="K665" s="2" t="s">
        <v>119</v>
      </c>
      <c r="M665" s="2">
        <v>100.0</v>
      </c>
      <c r="N665" s="2">
        <v>9659.11</v>
      </c>
      <c r="O665" s="2" t="s">
        <v>41</v>
      </c>
      <c r="P665" s="2" t="s">
        <v>469</v>
      </c>
      <c r="Q665" s="2" t="s">
        <v>4282</v>
      </c>
      <c r="S665" s="2">
        <v>36210.0</v>
      </c>
      <c r="T665" s="2" t="s">
        <v>3335</v>
      </c>
      <c r="U665" s="2" t="s">
        <v>46</v>
      </c>
    </row>
    <row r="666">
      <c r="A666" s="2">
        <v>665.0</v>
      </c>
      <c r="B666" s="2">
        <v>665.0</v>
      </c>
      <c r="C666" s="2">
        <v>665.0</v>
      </c>
      <c r="D666" s="3">
        <v>44486.0</v>
      </c>
      <c r="E666" s="2" t="s">
        <v>244</v>
      </c>
      <c r="F666" s="2" t="s">
        <v>245</v>
      </c>
      <c r="G666" s="2">
        <v>72.01</v>
      </c>
      <c r="H666" s="2" t="s">
        <v>4283</v>
      </c>
      <c r="I666" s="2" t="s">
        <v>4284</v>
      </c>
      <c r="J666" s="2" t="s">
        <v>4285</v>
      </c>
      <c r="K666" s="2" t="s">
        <v>1328</v>
      </c>
      <c r="M666" s="2">
        <v>41.0</v>
      </c>
      <c r="N666" s="2">
        <v>8783.2</v>
      </c>
      <c r="O666" s="2" t="s">
        <v>28</v>
      </c>
      <c r="P666" s="2" t="s">
        <v>4286</v>
      </c>
      <c r="Q666" s="2" t="s">
        <v>4287</v>
      </c>
      <c r="T666" s="2" t="s">
        <v>119</v>
      </c>
      <c r="U666" s="2" t="s">
        <v>33</v>
      </c>
    </row>
    <row r="667">
      <c r="A667" s="2">
        <v>666.0</v>
      </c>
      <c r="B667" s="2">
        <v>666.0</v>
      </c>
      <c r="C667" s="2">
        <v>666.0</v>
      </c>
      <c r="D667" s="3">
        <v>44080.0</v>
      </c>
      <c r="E667" s="2" t="s">
        <v>4288</v>
      </c>
      <c r="F667" s="2" t="s">
        <v>142</v>
      </c>
      <c r="G667" s="2">
        <v>962.48</v>
      </c>
      <c r="H667" s="2" t="s">
        <v>4289</v>
      </c>
      <c r="I667" s="2" t="s">
        <v>4290</v>
      </c>
      <c r="J667" s="2" t="s">
        <v>4291</v>
      </c>
      <c r="K667" s="2" t="s">
        <v>32</v>
      </c>
      <c r="M667" s="2">
        <v>100.0</v>
      </c>
      <c r="N667" s="2">
        <v>1345.95</v>
      </c>
      <c r="O667" s="2" t="s">
        <v>52</v>
      </c>
      <c r="P667" s="2" t="s">
        <v>4292</v>
      </c>
      <c r="Q667" s="2" t="s">
        <v>4293</v>
      </c>
      <c r="T667" s="2" t="s">
        <v>292</v>
      </c>
      <c r="U667" s="2" t="s">
        <v>71</v>
      </c>
    </row>
    <row r="668">
      <c r="A668" s="2">
        <v>667.0</v>
      </c>
      <c r="B668" s="2">
        <v>667.0</v>
      </c>
      <c r="C668" s="2">
        <v>667.0</v>
      </c>
      <c r="D668" s="3">
        <v>44325.0</v>
      </c>
      <c r="E668" s="2" t="s">
        <v>4294</v>
      </c>
      <c r="F668" s="2" t="s">
        <v>436</v>
      </c>
      <c r="G668" s="2">
        <v>751.36</v>
      </c>
      <c r="H668" s="2" t="s">
        <v>4295</v>
      </c>
      <c r="I668" s="2" t="s">
        <v>4296</v>
      </c>
      <c r="J668" s="2" t="s">
        <v>4297</v>
      </c>
      <c r="K668" s="2" t="s">
        <v>241</v>
      </c>
      <c r="L668" s="2">
        <v>1211.0</v>
      </c>
      <c r="M668" s="2">
        <v>64.0</v>
      </c>
      <c r="N668" s="2">
        <v>6167.59</v>
      </c>
      <c r="O668" s="2" t="s">
        <v>41</v>
      </c>
      <c r="P668" s="2" t="s">
        <v>1188</v>
      </c>
      <c r="Q668" s="2" t="s">
        <v>4298</v>
      </c>
      <c r="T668" s="2" t="s">
        <v>32</v>
      </c>
      <c r="U668" s="2" t="s">
        <v>33</v>
      </c>
    </row>
    <row r="669">
      <c r="A669" s="2">
        <v>668.0</v>
      </c>
      <c r="B669" s="2">
        <v>668.0</v>
      </c>
      <c r="C669" s="2">
        <v>668.0</v>
      </c>
      <c r="D669" s="3">
        <v>44291.0</v>
      </c>
      <c r="E669" s="2" t="s">
        <v>3417</v>
      </c>
      <c r="F669" s="2" t="s">
        <v>142</v>
      </c>
      <c r="G669" s="2">
        <v>441.75</v>
      </c>
      <c r="H669" s="2" t="s">
        <v>4299</v>
      </c>
      <c r="I669" s="2" t="s">
        <v>4300</v>
      </c>
      <c r="J669" s="2" t="s">
        <v>4301</v>
      </c>
      <c r="K669" s="2" t="s">
        <v>68</v>
      </c>
      <c r="L669" s="2">
        <v>243429.0</v>
      </c>
      <c r="M669" s="2">
        <v>33.0</v>
      </c>
      <c r="N669" s="2">
        <v>7653.26</v>
      </c>
      <c r="O669" s="2" t="s">
        <v>28</v>
      </c>
      <c r="P669" s="2" t="s">
        <v>4302</v>
      </c>
      <c r="Q669" s="2" t="s">
        <v>4303</v>
      </c>
      <c r="S669" s="2" t="s">
        <v>4304</v>
      </c>
      <c r="T669" s="2" t="s">
        <v>114</v>
      </c>
      <c r="U669" s="2" t="s">
        <v>71</v>
      </c>
    </row>
    <row r="670">
      <c r="A670" s="2">
        <v>669.0</v>
      </c>
      <c r="B670" s="2">
        <v>669.0</v>
      </c>
      <c r="C670" s="2">
        <v>669.0</v>
      </c>
      <c r="D670" s="3">
        <v>44472.0</v>
      </c>
      <c r="E670" s="2" t="s">
        <v>4305</v>
      </c>
      <c r="F670" s="2" t="s">
        <v>3600</v>
      </c>
      <c r="G670" s="2">
        <v>304.48</v>
      </c>
      <c r="H670" s="2" t="s">
        <v>4306</v>
      </c>
      <c r="I670" s="2" t="s">
        <v>4307</v>
      </c>
      <c r="J670" s="2" t="s">
        <v>4308</v>
      </c>
      <c r="K670" s="2" t="s">
        <v>68</v>
      </c>
      <c r="L670" s="2">
        <v>690922.0</v>
      </c>
      <c r="M670" s="2">
        <v>92.0</v>
      </c>
      <c r="N670" s="2">
        <v>1918.9</v>
      </c>
      <c r="O670" s="2" t="s">
        <v>28</v>
      </c>
      <c r="P670" s="2" t="s">
        <v>4309</v>
      </c>
      <c r="Q670" s="2" t="s">
        <v>4310</v>
      </c>
      <c r="T670" s="2" t="s">
        <v>32</v>
      </c>
      <c r="U670" s="2" t="s">
        <v>46</v>
      </c>
    </row>
    <row r="671">
      <c r="A671" s="2">
        <v>670.0</v>
      </c>
      <c r="B671" s="2">
        <v>670.0</v>
      </c>
      <c r="C671" s="2">
        <v>670.0</v>
      </c>
      <c r="D671" s="3">
        <v>44199.0</v>
      </c>
      <c r="E671" s="2" t="s">
        <v>4311</v>
      </c>
      <c r="F671" s="2" t="s">
        <v>142</v>
      </c>
      <c r="G671" s="2">
        <v>563.21</v>
      </c>
      <c r="H671" s="2" t="s">
        <v>4312</v>
      </c>
      <c r="I671" s="2" t="s">
        <v>4313</v>
      </c>
      <c r="J671" s="2" t="s">
        <v>4314</v>
      </c>
      <c r="K671" s="2" t="s">
        <v>534</v>
      </c>
      <c r="M671" s="2">
        <v>96.0</v>
      </c>
      <c r="N671" s="2">
        <v>6062.46</v>
      </c>
      <c r="O671" s="2" t="s">
        <v>52</v>
      </c>
      <c r="P671" s="2" t="s">
        <v>4315</v>
      </c>
      <c r="Q671" s="2" t="s">
        <v>4316</v>
      </c>
      <c r="S671" s="2">
        <v>88564.0</v>
      </c>
      <c r="T671" s="2" t="s">
        <v>905</v>
      </c>
      <c r="U671" s="2" t="s">
        <v>46</v>
      </c>
    </row>
    <row r="672">
      <c r="A672" s="2">
        <v>671.0</v>
      </c>
      <c r="B672" s="2">
        <v>671.0</v>
      </c>
      <c r="C672" s="2">
        <v>671.0</v>
      </c>
      <c r="D672" s="3">
        <v>43867.0</v>
      </c>
      <c r="E672" s="2" t="s">
        <v>807</v>
      </c>
      <c r="F672" s="2" t="s">
        <v>546</v>
      </c>
      <c r="G672" s="2">
        <v>953.64</v>
      </c>
      <c r="H672" s="2" t="s">
        <v>4317</v>
      </c>
      <c r="I672" s="2" t="s">
        <v>4318</v>
      </c>
      <c r="J672" s="2" t="s">
        <v>4319</v>
      </c>
      <c r="K672" s="2" t="s">
        <v>92</v>
      </c>
      <c r="M672" s="2">
        <v>10.0</v>
      </c>
      <c r="N672" s="2">
        <v>767.77</v>
      </c>
      <c r="O672" s="2" t="s">
        <v>52</v>
      </c>
      <c r="P672" s="2" t="s">
        <v>4320</v>
      </c>
      <c r="Q672" s="2" t="s">
        <v>4321</v>
      </c>
      <c r="T672" s="2" t="s">
        <v>1180</v>
      </c>
      <c r="U672" s="2" t="s">
        <v>46</v>
      </c>
    </row>
    <row r="673">
      <c r="A673" s="2">
        <v>672.0</v>
      </c>
      <c r="B673" s="2">
        <v>672.0</v>
      </c>
      <c r="C673" s="2">
        <v>672.0</v>
      </c>
      <c r="D673" s="3">
        <v>43838.0</v>
      </c>
      <c r="E673" s="2" t="s">
        <v>4023</v>
      </c>
      <c r="F673" s="2" t="s">
        <v>887</v>
      </c>
      <c r="G673" s="2">
        <v>183.93</v>
      </c>
      <c r="H673" s="2" t="s">
        <v>4322</v>
      </c>
      <c r="I673" s="2" t="s">
        <v>4323</v>
      </c>
      <c r="J673" s="2" t="s">
        <v>4324</v>
      </c>
      <c r="K673" s="2" t="s">
        <v>627</v>
      </c>
      <c r="L673" s="2">
        <v>13130.0</v>
      </c>
      <c r="M673" s="2">
        <v>41.0</v>
      </c>
      <c r="N673" s="2">
        <v>1702.51</v>
      </c>
      <c r="O673" s="2" t="s">
        <v>41</v>
      </c>
      <c r="P673" s="2" t="s">
        <v>2172</v>
      </c>
      <c r="Q673" s="2" t="s">
        <v>4325</v>
      </c>
      <c r="S673" s="2">
        <v>2512.0</v>
      </c>
      <c r="T673" s="2" t="s">
        <v>241</v>
      </c>
      <c r="U673" s="2" t="s">
        <v>33</v>
      </c>
    </row>
    <row r="674">
      <c r="A674" s="2">
        <v>673.0</v>
      </c>
      <c r="B674" s="2">
        <v>673.0</v>
      </c>
      <c r="C674" s="2">
        <v>673.0</v>
      </c>
      <c r="D674" s="3">
        <v>44466.0</v>
      </c>
      <c r="E674" s="2" t="s">
        <v>4326</v>
      </c>
      <c r="F674" s="2" t="s">
        <v>342</v>
      </c>
      <c r="G674" s="2">
        <v>780.7</v>
      </c>
      <c r="H674" s="2" t="s">
        <v>2952</v>
      </c>
      <c r="I674" s="2" t="s">
        <v>4327</v>
      </c>
      <c r="J674" s="2" t="s">
        <v>4328</v>
      </c>
      <c r="K674" s="2" t="s">
        <v>68</v>
      </c>
      <c r="L674" s="2">
        <v>391833.0</v>
      </c>
      <c r="M674" s="2">
        <v>44.0</v>
      </c>
      <c r="N674" s="2">
        <v>622.38</v>
      </c>
      <c r="O674" s="2" t="s">
        <v>28</v>
      </c>
      <c r="P674" s="2" t="s">
        <v>2978</v>
      </c>
      <c r="Q674" s="2" t="s">
        <v>4329</v>
      </c>
      <c r="T674" s="2" t="s">
        <v>225</v>
      </c>
      <c r="U674" s="2" t="s">
        <v>46</v>
      </c>
    </row>
    <row r="675">
      <c r="A675" s="2">
        <v>674.0</v>
      </c>
      <c r="B675" s="2">
        <v>674.0</v>
      </c>
      <c r="C675" s="2">
        <v>674.0</v>
      </c>
      <c r="D675" s="3">
        <v>44139.0</v>
      </c>
      <c r="E675" s="2" t="s">
        <v>4330</v>
      </c>
      <c r="F675" s="2" t="s">
        <v>73</v>
      </c>
      <c r="G675" s="2">
        <v>12.94</v>
      </c>
      <c r="H675" s="2" t="s">
        <v>4331</v>
      </c>
      <c r="I675" s="2" t="s">
        <v>4332</v>
      </c>
      <c r="J675" s="2" t="s">
        <v>4333</v>
      </c>
      <c r="K675" s="2" t="s">
        <v>4334</v>
      </c>
      <c r="M675" s="2">
        <v>14.0</v>
      </c>
      <c r="N675" s="2">
        <v>7356.76</v>
      </c>
      <c r="O675" s="2" t="s">
        <v>52</v>
      </c>
      <c r="P675" s="2" t="s">
        <v>4335</v>
      </c>
      <c r="Q675" s="2" t="s">
        <v>4336</v>
      </c>
      <c r="S675" s="2" t="s">
        <v>4337</v>
      </c>
      <c r="T675" s="2" t="s">
        <v>163</v>
      </c>
      <c r="U675" s="2" t="s">
        <v>71</v>
      </c>
    </row>
    <row r="676">
      <c r="A676" s="2">
        <v>675.0</v>
      </c>
      <c r="B676" s="2">
        <v>675.0</v>
      </c>
      <c r="C676" s="2">
        <v>675.0</v>
      </c>
      <c r="D676" s="3">
        <v>43963.0</v>
      </c>
      <c r="E676" s="2" t="s">
        <v>523</v>
      </c>
      <c r="F676" s="2" t="s">
        <v>97</v>
      </c>
      <c r="G676" s="2">
        <v>450.79</v>
      </c>
      <c r="H676" s="2" t="s">
        <v>4338</v>
      </c>
      <c r="I676" s="2" t="s">
        <v>4339</v>
      </c>
      <c r="J676" s="2" t="s">
        <v>4340</v>
      </c>
      <c r="K676" s="2" t="s">
        <v>4334</v>
      </c>
      <c r="M676" s="2">
        <v>93.0</v>
      </c>
      <c r="N676" s="2">
        <v>5972.11</v>
      </c>
      <c r="O676" s="2" t="s">
        <v>28</v>
      </c>
      <c r="P676" s="2" t="s">
        <v>4341</v>
      </c>
      <c r="Q676" s="2" t="s">
        <v>4342</v>
      </c>
      <c r="S676" s="2">
        <v>1618.0</v>
      </c>
      <c r="T676" s="2" t="s">
        <v>1603</v>
      </c>
      <c r="U676" s="2" t="s">
        <v>46</v>
      </c>
    </row>
    <row r="677">
      <c r="A677" s="2">
        <v>676.0</v>
      </c>
      <c r="B677" s="2">
        <v>676.0</v>
      </c>
      <c r="C677" s="2">
        <v>676.0</v>
      </c>
      <c r="D677" s="3">
        <v>44367.0</v>
      </c>
      <c r="E677" s="2" t="s">
        <v>4343</v>
      </c>
      <c r="F677" s="2" t="s">
        <v>97</v>
      </c>
      <c r="G677" s="2">
        <v>269.48</v>
      </c>
      <c r="H677" s="2" t="s">
        <v>4344</v>
      </c>
      <c r="I677" s="2" t="s">
        <v>4345</v>
      </c>
      <c r="J677" s="2" t="s">
        <v>4346</v>
      </c>
      <c r="K677" s="2" t="s">
        <v>163</v>
      </c>
      <c r="L677" s="2" t="s">
        <v>4347</v>
      </c>
      <c r="M677" s="2">
        <v>98.0</v>
      </c>
      <c r="N677" s="2">
        <v>4313.15</v>
      </c>
      <c r="O677" s="2" t="s">
        <v>28</v>
      </c>
      <c r="P677" s="2" t="s">
        <v>1641</v>
      </c>
      <c r="Q677" s="2" t="s">
        <v>4348</v>
      </c>
      <c r="T677" s="2" t="s">
        <v>32</v>
      </c>
      <c r="U677" s="2" t="s">
        <v>33</v>
      </c>
    </row>
    <row r="678">
      <c r="A678" s="2">
        <v>677.0</v>
      </c>
      <c r="B678" s="2">
        <v>677.0</v>
      </c>
      <c r="C678" s="2">
        <v>677.0</v>
      </c>
      <c r="D678" s="3">
        <v>43877.0</v>
      </c>
      <c r="E678" s="2" t="s">
        <v>2967</v>
      </c>
      <c r="F678" s="2" t="s">
        <v>73</v>
      </c>
      <c r="G678" s="2">
        <v>844.23</v>
      </c>
      <c r="H678" s="2" t="s">
        <v>4349</v>
      </c>
      <c r="I678" s="2" t="s">
        <v>4350</v>
      </c>
      <c r="J678" s="2" t="s">
        <v>4351</v>
      </c>
      <c r="K678" s="2" t="s">
        <v>119</v>
      </c>
      <c r="M678" s="2">
        <v>94.0</v>
      </c>
      <c r="N678" s="2">
        <v>7342.88</v>
      </c>
      <c r="O678" s="2" t="s">
        <v>52</v>
      </c>
      <c r="P678" s="2" t="s">
        <v>4352</v>
      </c>
      <c r="Q678" s="2" t="s">
        <v>4353</v>
      </c>
      <c r="S678" s="2" t="s">
        <v>4354</v>
      </c>
      <c r="T678" s="2" t="s">
        <v>106</v>
      </c>
      <c r="U678" s="2" t="s">
        <v>71</v>
      </c>
    </row>
    <row r="679">
      <c r="A679" s="2">
        <v>678.0</v>
      </c>
      <c r="B679" s="2">
        <v>678.0</v>
      </c>
      <c r="C679" s="2">
        <v>678.0</v>
      </c>
      <c r="D679" s="3">
        <v>43888.0</v>
      </c>
      <c r="E679" s="2" t="s">
        <v>2736</v>
      </c>
      <c r="F679" s="2" t="s">
        <v>413</v>
      </c>
      <c r="G679" s="2">
        <v>463.3</v>
      </c>
      <c r="H679" s="2" t="s">
        <v>4355</v>
      </c>
      <c r="I679" s="2" t="s">
        <v>4356</v>
      </c>
      <c r="J679" s="2" t="s">
        <v>4357</v>
      </c>
      <c r="K679" s="2" t="s">
        <v>68</v>
      </c>
      <c r="L679" s="2">
        <v>238450.0</v>
      </c>
      <c r="M679" s="2">
        <v>100.0</v>
      </c>
      <c r="N679" s="2">
        <v>3305.18</v>
      </c>
      <c r="O679" s="2" t="s">
        <v>41</v>
      </c>
      <c r="P679" s="2" t="s">
        <v>1031</v>
      </c>
      <c r="Q679" s="2" t="s">
        <v>4358</v>
      </c>
      <c r="S679" s="2">
        <v>175038.0</v>
      </c>
      <c r="T679" s="2" t="s">
        <v>819</v>
      </c>
      <c r="U679" s="2" t="s">
        <v>33</v>
      </c>
    </row>
    <row r="680">
      <c r="A680" s="2">
        <v>679.0</v>
      </c>
      <c r="B680" s="2">
        <v>679.0</v>
      </c>
      <c r="C680" s="2">
        <v>679.0</v>
      </c>
      <c r="D680" s="3">
        <v>44304.0</v>
      </c>
      <c r="E680" s="2" t="s">
        <v>3592</v>
      </c>
      <c r="F680" s="2" t="s">
        <v>342</v>
      </c>
      <c r="G680" s="2">
        <v>633.66</v>
      </c>
      <c r="H680" s="2" t="s">
        <v>4359</v>
      </c>
      <c r="I680" s="2" t="s">
        <v>4360</v>
      </c>
      <c r="J680" s="2" t="s">
        <v>4361</v>
      </c>
      <c r="K680" s="2" t="s">
        <v>119</v>
      </c>
      <c r="M680" s="2">
        <v>95.0</v>
      </c>
      <c r="N680" s="2">
        <v>2891.29</v>
      </c>
      <c r="O680" s="2" t="s">
        <v>41</v>
      </c>
      <c r="P680" s="2" t="s">
        <v>4362</v>
      </c>
      <c r="Q680" s="2" t="s">
        <v>4363</v>
      </c>
      <c r="S680" s="2" t="s">
        <v>4364</v>
      </c>
      <c r="T680" s="2" t="s">
        <v>106</v>
      </c>
      <c r="U680" s="2" t="s">
        <v>46</v>
      </c>
    </row>
    <row r="681">
      <c r="A681" s="2">
        <v>680.0</v>
      </c>
      <c r="B681" s="2">
        <v>680.0</v>
      </c>
      <c r="C681" s="2">
        <v>680.0</v>
      </c>
      <c r="D681" s="3">
        <v>44388.0</v>
      </c>
      <c r="E681" s="2" t="s">
        <v>4365</v>
      </c>
      <c r="F681" s="2" t="s">
        <v>623</v>
      </c>
      <c r="G681" s="2">
        <v>93.22</v>
      </c>
      <c r="H681" s="2" t="s">
        <v>4366</v>
      </c>
      <c r="I681" s="2" t="s">
        <v>4367</v>
      </c>
      <c r="J681" s="2" t="s">
        <v>4368</v>
      </c>
      <c r="K681" s="2" t="s">
        <v>32</v>
      </c>
      <c r="M681" s="2">
        <v>97.0</v>
      </c>
      <c r="N681" s="2">
        <v>536.5</v>
      </c>
      <c r="O681" s="2" t="s">
        <v>28</v>
      </c>
      <c r="P681" s="2" t="s">
        <v>4369</v>
      </c>
      <c r="Q681" s="2" t="s">
        <v>4370</v>
      </c>
      <c r="T681" s="2" t="s">
        <v>4371</v>
      </c>
      <c r="U681" s="2" t="s">
        <v>33</v>
      </c>
    </row>
    <row r="682">
      <c r="A682" s="2">
        <v>681.0</v>
      </c>
      <c r="B682" s="2">
        <v>681.0</v>
      </c>
      <c r="C682" s="2">
        <v>681.0</v>
      </c>
      <c r="D682" s="3">
        <v>44409.0</v>
      </c>
      <c r="E682" s="2" t="s">
        <v>4372</v>
      </c>
      <c r="F682" s="2" t="s">
        <v>755</v>
      </c>
      <c r="G682" s="2">
        <v>251.66</v>
      </c>
      <c r="H682" s="2" t="s">
        <v>4373</v>
      </c>
      <c r="I682" s="2" t="s">
        <v>4374</v>
      </c>
      <c r="J682" s="2" t="s">
        <v>4375</v>
      </c>
      <c r="K682" s="2" t="s">
        <v>119</v>
      </c>
      <c r="M682" s="2">
        <v>51.0</v>
      </c>
      <c r="N682" s="2">
        <v>1355.58</v>
      </c>
      <c r="O682" s="2" t="s">
        <v>28</v>
      </c>
      <c r="P682" s="2" t="s">
        <v>300</v>
      </c>
      <c r="Q682" s="2" t="s">
        <v>4376</v>
      </c>
      <c r="S682" s="2">
        <v>8924.0</v>
      </c>
      <c r="T682" s="2" t="s">
        <v>131</v>
      </c>
      <c r="U682" s="2" t="s">
        <v>71</v>
      </c>
    </row>
    <row r="683">
      <c r="A683" s="2">
        <v>682.0</v>
      </c>
      <c r="B683" s="2">
        <v>682.0</v>
      </c>
      <c r="C683" s="2">
        <v>682.0</v>
      </c>
      <c r="D683" s="3">
        <v>44097.0</v>
      </c>
      <c r="E683" s="2" t="s">
        <v>4377</v>
      </c>
      <c r="F683" s="2" t="s">
        <v>142</v>
      </c>
      <c r="G683" s="2">
        <v>410.18</v>
      </c>
      <c r="H683" s="2" t="s">
        <v>4378</v>
      </c>
      <c r="I683" s="2" t="s">
        <v>4379</v>
      </c>
      <c r="J683" s="2" t="s">
        <v>4380</v>
      </c>
      <c r="K683" s="2" t="s">
        <v>146</v>
      </c>
      <c r="M683" s="2">
        <v>3.0</v>
      </c>
      <c r="N683" s="2">
        <v>7381.75</v>
      </c>
      <c r="O683" s="2" t="s">
        <v>41</v>
      </c>
      <c r="P683" s="2" t="s">
        <v>4381</v>
      </c>
      <c r="Q683" s="2" t="s">
        <v>4382</v>
      </c>
      <c r="T683" s="2" t="s">
        <v>119</v>
      </c>
      <c r="U683" s="2" t="s">
        <v>33</v>
      </c>
    </row>
    <row r="684">
      <c r="A684" s="2">
        <v>683.0</v>
      </c>
      <c r="B684" s="2">
        <v>683.0</v>
      </c>
      <c r="C684" s="2">
        <v>683.0</v>
      </c>
      <c r="D684" s="3">
        <v>44048.0</v>
      </c>
      <c r="E684" s="2" t="s">
        <v>4383</v>
      </c>
      <c r="F684" s="2" t="s">
        <v>123</v>
      </c>
      <c r="G684" s="2">
        <v>528.32</v>
      </c>
      <c r="H684" s="2" t="s">
        <v>4384</v>
      </c>
      <c r="I684" s="2" t="s">
        <v>4385</v>
      </c>
      <c r="J684" s="2" t="s">
        <v>4386</v>
      </c>
      <c r="K684" s="2" t="s">
        <v>257</v>
      </c>
      <c r="L684" s="2" t="s">
        <v>4387</v>
      </c>
      <c r="M684" s="2">
        <v>45.0</v>
      </c>
      <c r="N684" s="2">
        <v>3415.78</v>
      </c>
      <c r="O684" s="2" t="s">
        <v>52</v>
      </c>
      <c r="P684" s="2" t="s">
        <v>1368</v>
      </c>
      <c r="Q684" s="2" t="s">
        <v>4388</v>
      </c>
      <c r="R684" s="2" t="s">
        <v>858</v>
      </c>
      <c r="T684" s="2" t="s">
        <v>2042</v>
      </c>
      <c r="U684" s="2" t="s">
        <v>33</v>
      </c>
    </row>
    <row r="685">
      <c r="A685" s="2">
        <v>684.0</v>
      </c>
      <c r="B685" s="2">
        <v>684.0</v>
      </c>
      <c r="C685" s="2">
        <v>684.0</v>
      </c>
      <c r="D685" s="3">
        <v>44308.0</v>
      </c>
      <c r="E685" s="2" t="s">
        <v>3336</v>
      </c>
      <c r="F685" s="2" t="s">
        <v>48</v>
      </c>
      <c r="G685" s="2">
        <v>21.63</v>
      </c>
      <c r="H685" s="2" t="s">
        <v>4389</v>
      </c>
      <c r="I685" s="2" t="s">
        <v>4390</v>
      </c>
      <c r="J685" s="2" t="s">
        <v>4391</v>
      </c>
      <c r="K685" s="2" t="s">
        <v>137</v>
      </c>
      <c r="M685" s="2">
        <v>89.0</v>
      </c>
      <c r="N685" s="2">
        <v>6388.38</v>
      </c>
      <c r="O685" s="2" t="s">
        <v>41</v>
      </c>
      <c r="P685" s="2" t="s">
        <v>4392</v>
      </c>
      <c r="Q685" s="2" t="s">
        <v>4393</v>
      </c>
      <c r="S685" s="2">
        <v>52551.0</v>
      </c>
      <c r="T685" s="2" t="s">
        <v>885</v>
      </c>
      <c r="U685" s="2" t="s">
        <v>46</v>
      </c>
    </row>
    <row r="686">
      <c r="A686" s="2">
        <v>685.0</v>
      </c>
      <c r="B686" s="2">
        <v>685.0</v>
      </c>
      <c r="C686" s="2">
        <v>685.0</v>
      </c>
      <c r="D686" s="3">
        <v>44479.0</v>
      </c>
      <c r="E686" s="2" t="s">
        <v>2413</v>
      </c>
      <c r="F686" s="2" t="s">
        <v>142</v>
      </c>
      <c r="G686" s="2">
        <v>931.75</v>
      </c>
      <c r="H686" s="2" t="s">
        <v>4394</v>
      </c>
      <c r="I686" s="2" t="s">
        <v>4395</v>
      </c>
      <c r="J686" s="2" t="s">
        <v>4396</v>
      </c>
      <c r="K686" s="2" t="s">
        <v>4397</v>
      </c>
      <c r="M686" s="2">
        <v>10.0</v>
      </c>
      <c r="N686" s="2">
        <v>2912.67</v>
      </c>
      <c r="O686" s="2" t="s">
        <v>28</v>
      </c>
      <c r="P686" s="2" t="s">
        <v>4398</v>
      </c>
      <c r="Q686" s="2" t="s">
        <v>4399</v>
      </c>
      <c r="T686" s="2" t="s">
        <v>2213</v>
      </c>
      <c r="U686" s="2" t="s">
        <v>33</v>
      </c>
    </row>
    <row r="687">
      <c r="A687" s="2">
        <v>686.0</v>
      </c>
      <c r="B687" s="2">
        <v>686.0</v>
      </c>
      <c r="C687" s="2">
        <v>686.0</v>
      </c>
      <c r="D687" s="3">
        <v>43977.0</v>
      </c>
      <c r="E687" s="2" t="s">
        <v>4400</v>
      </c>
      <c r="F687" s="2" t="s">
        <v>822</v>
      </c>
      <c r="G687" s="2">
        <v>269.27</v>
      </c>
      <c r="H687" s="2" t="s">
        <v>2519</v>
      </c>
      <c r="I687" s="2" t="s">
        <v>4401</v>
      </c>
      <c r="J687" s="2" t="s">
        <v>4402</v>
      </c>
      <c r="K687" s="2" t="s">
        <v>2261</v>
      </c>
      <c r="M687" s="2">
        <v>16.0</v>
      </c>
      <c r="N687" s="2">
        <v>6472.76</v>
      </c>
      <c r="O687" s="2" t="s">
        <v>28</v>
      </c>
      <c r="P687" s="2" t="s">
        <v>454</v>
      </c>
      <c r="Q687" s="2" t="s">
        <v>4403</v>
      </c>
      <c r="S687" s="2">
        <v>53180.0</v>
      </c>
      <c r="T687" s="2" t="s">
        <v>627</v>
      </c>
      <c r="U687" s="2" t="s">
        <v>71</v>
      </c>
    </row>
    <row r="688">
      <c r="A688" s="2">
        <v>687.0</v>
      </c>
      <c r="B688" s="2">
        <v>687.0</v>
      </c>
      <c r="C688" s="2">
        <v>687.0</v>
      </c>
      <c r="D688" s="3">
        <v>44016.0</v>
      </c>
      <c r="E688" s="2" t="s">
        <v>2328</v>
      </c>
      <c r="F688" s="2" t="s">
        <v>538</v>
      </c>
      <c r="G688" s="2">
        <v>965.26</v>
      </c>
      <c r="H688" s="2" t="s">
        <v>4404</v>
      </c>
      <c r="I688" s="2" t="s">
        <v>4405</v>
      </c>
      <c r="J688" s="2" t="s">
        <v>4406</v>
      </c>
      <c r="K688" s="2" t="s">
        <v>26</v>
      </c>
      <c r="L688" s="2" t="s">
        <v>4407</v>
      </c>
      <c r="M688" s="2">
        <v>40.0</v>
      </c>
      <c r="N688" s="2">
        <v>6401.91</v>
      </c>
      <c r="O688" s="2" t="s">
        <v>52</v>
      </c>
      <c r="P688" s="2" t="s">
        <v>4408</v>
      </c>
      <c r="Q688" s="2" t="s">
        <v>4409</v>
      </c>
      <c r="R688" s="2" t="s">
        <v>433</v>
      </c>
      <c r="S688" s="2" t="s">
        <v>4410</v>
      </c>
      <c r="T688" s="2" t="s">
        <v>39</v>
      </c>
      <c r="U688" s="2" t="s">
        <v>71</v>
      </c>
    </row>
    <row r="689">
      <c r="A689" s="2">
        <v>688.0</v>
      </c>
      <c r="B689" s="2">
        <v>688.0</v>
      </c>
      <c r="C689" s="2">
        <v>688.0</v>
      </c>
      <c r="D689" s="3">
        <v>44170.0</v>
      </c>
      <c r="E689" s="2" t="s">
        <v>4411</v>
      </c>
      <c r="F689" s="2" t="s">
        <v>546</v>
      </c>
      <c r="G689" s="2">
        <v>101.05</v>
      </c>
      <c r="H689" s="2" t="s">
        <v>4412</v>
      </c>
      <c r="I689" s="2" t="s">
        <v>4413</v>
      </c>
      <c r="J689" s="2" t="s">
        <v>4414</v>
      </c>
      <c r="K689" s="2" t="s">
        <v>1826</v>
      </c>
      <c r="M689" s="2">
        <v>88.0</v>
      </c>
      <c r="N689" s="2">
        <v>2797.03</v>
      </c>
      <c r="O689" s="2" t="s">
        <v>52</v>
      </c>
      <c r="P689" s="2" t="s">
        <v>600</v>
      </c>
      <c r="Q689" s="2" t="s">
        <v>4415</v>
      </c>
      <c r="S689" s="2">
        <v>366101.0</v>
      </c>
      <c r="T689" s="2" t="s">
        <v>68</v>
      </c>
      <c r="U689" s="2" t="s">
        <v>71</v>
      </c>
    </row>
    <row r="690">
      <c r="A690" s="2">
        <v>689.0</v>
      </c>
      <c r="B690" s="2">
        <v>689.0</v>
      </c>
      <c r="C690" s="2">
        <v>689.0</v>
      </c>
      <c r="D690" s="3">
        <v>44560.0</v>
      </c>
      <c r="E690" s="2" t="s">
        <v>2685</v>
      </c>
      <c r="F690" s="2" t="s">
        <v>2686</v>
      </c>
      <c r="G690" s="2">
        <v>795.24</v>
      </c>
      <c r="H690" s="2" t="s">
        <v>4416</v>
      </c>
      <c r="I690" s="2" t="s">
        <v>4417</v>
      </c>
      <c r="J690" s="2" t="s">
        <v>4418</v>
      </c>
      <c r="K690" s="2" t="s">
        <v>119</v>
      </c>
      <c r="M690" s="2">
        <v>81.0</v>
      </c>
      <c r="N690" s="2">
        <v>2691.97</v>
      </c>
      <c r="O690" s="2" t="s">
        <v>41</v>
      </c>
      <c r="P690" s="2" t="s">
        <v>4419</v>
      </c>
      <c r="Q690" s="2" t="s">
        <v>4420</v>
      </c>
      <c r="S690" s="2">
        <v>141309.0</v>
      </c>
      <c r="T690" s="2" t="s">
        <v>68</v>
      </c>
      <c r="U690" s="2" t="s">
        <v>46</v>
      </c>
    </row>
    <row r="691">
      <c r="A691" s="2">
        <v>690.0</v>
      </c>
      <c r="B691" s="2">
        <v>690.0</v>
      </c>
      <c r="C691" s="2">
        <v>690.0</v>
      </c>
      <c r="D691" s="3">
        <v>44498.0</v>
      </c>
      <c r="E691" s="2" t="s">
        <v>2062</v>
      </c>
      <c r="F691" s="2" t="s">
        <v>639</v>
      </c>
      <c r="G691" s="2">
        <v>119.47</v>
      </c>
      <c r="H691" s="2" t="s">
        <v>4421</v>
      </c>
      <c r="I691" s="2" t="s">
        <v>4422</v>
      </c>
      <c r="J691" s="2" t="s">
        <v>4423</v>
      </c>
      <c r="K691" s="2" t="s">
        <v>119</v>
      </c>
      <c r="M691" s="2">
        <v>49.0</v>
      </c>
      <c r="N691" s="2">
        <v>9797.36</v>
      </c>
      <c r="O691" s="2" t="s">
        <v>52</v>
      </c>
      <c r="P691" s="2" t="s">
        <v>4424</v>
      </c>
      <c r="Q691" s="2" t="s">
        <v>4425</v>
      </c>
      <c r="S691" s="2" t="s">
        <v>4426</v>
      </c>
      <c r="T691" s="2" t="s">
        <v>163</v>
      </c>
      <c r="U691" s="2" t="s">
        <v>71</v>
      </c>
    </row>
    <row r="692">
      <c r="A692" s="2">
        <v>691.0</v>
      </c>
      <c r="B692" s="2">
        <v>691.0</v>
      </c>
      <c r="C692" s="2">
        <v>691.0</v>
      </c>
      <c r="D692" s="3">
        <v>44558.0</v>
      </c>
      <c r="E692" s="2" t="s">
        <v>4427</v>
      </c>
      <c r="F692" s="2" t="s">
        <v>22</v>
      </c>
      <c r="G692" s="2">
        <v>177.24</v>
      </c>
      <c r="H692" s="2" t="s">
        <v>4428</v>
      </c>
      <c r="I692" s="2" t="s">
        <v>4429</v>
      </c>
      <c r="J692" s="2" t="s">
        <v>4430</v>
      </c>
      <c r="K692" s="2" t="s">
        <v>68</v>
      </c>
      <c r="L692" s="2">
        <v>186326.0</v>
      </c>
      <c r="M692" s="2">
        <v>51.0</v>
      </c>
      <c r="N692" s="2">
        <v>5956.89</v>
      </c>
      <c r="O692" s="2" t="s">
        <v>52</v>
      </c>
      <c r="P692" s="2" t="s">
        <v>4431</v>
      </c>
      <c r="Q692" s="2" t="s">
        <v>4432</v>
      </c>
      <c r="T692" s="2" t="s">
        <v>2684</v>
      </c>
      <c r="U692" s="2" t="s">
        <v>71</v>
      </c>
    </row>
    <row r="693">
      <c r="A693" s="2">
        <v>692.0</v>
      </c>
      <c r="B693" s="2">
        <v>692.0</v>
      </c>
      <c r="C693" s="2">
        <v>692.0</v>
      </c>
      <c r="D693" s="3">
        <v>44534.0</v>
      </c>
      <c r="E693" s="2" t="s">
        <v>4433</v>
      </c>
      <c r="F693" s="2" t="s">
        <v>97</v>
      </c>
      <c r="G693" s="2">
        <v>812.42</v>
      </c>
      <c r="H693" s="2" t="s">
        <v>4434</v>
      </c>
      <c r="I693" s="2" t="s">
        <v>4435</v>
      </c>
      <c r="J693" s="2" t="s">
        <v>4436</v>
      </c>
      <c r="K693" s="2" t="s">
        <v>1492</v>
      </c>
      <c r="L693" s="2" t="s">
        <v>4437</v>
      </c>
      <c r="M693" s="2">
        <v>76.0</v>
      </c>
      <c r="N693" s="2">
        <v>7677.94</v>
      </c>
      <c r="O693" s="2" t="s">
        <v>41</v>
      </c>
      <c r="P693" s="2" t="s">
        <v>1883</v>
      </c>
      <c r="Q693" s="2" t="s">
        <v>4438</v>
      </c>
      <c r="S693" s="2">
        <v>39260.0</v>
      </c>
      <c r="T693" s="2" t="s">
        <v>529</v>
      </c>
      <c r="U693" s="2" t="s">
        <v>71</v>
      </c>
    </row>
    <row r="694">
      <c r="A694" s="2">
        <v>693.0</v>
      </c>
      <c r="B694" s="2">
        <v>693.0</v>
      </c>
      <c r="C694" s="2">
        <v>693.0</v>
      </c>
      <c r="D694" s="3">
        <v>44536.0</v>
      </c>
      <c r="E694" s="2" t="s">
        <v>4439</v>
      </c>
      <c r="F694" s="2" t="s">
        <v>56</v>
      </c>
      <c r="G694" s="2">
        <v>838.86</v>
      </c>
      <c r="H694" s="2" t="s">
        <v>4440</v>
      </c>
      <c r="I694" s="2" t="s">
        <v>4441</v>
      </c>
      <c r="J694" s="2" t="s">
        <v>4442</v>
      </c>
      <c r="K694" s="2" t="s">
        <v>106</v>
      </c>
      <c r="L694" s="2" t="s">
        <v>4443</v>
      </c>
      <c r="M694" s="2">
        <v>94.0</v>
      </c>
      <c r="N694" s="2">
        <v>8850.69</v>
      </c>
      <c r="O694" s="2" t="s">
        <v>52</v>
      </c>
      <c r="P694" s="2" t="s">
        <v>600</v>
      </c>
      <c r="Q694" s="2" t="s">
        <v>4444</v>
      </c>
      <c r="S694" s="2">
        <v>2624.0</v>
      </c>
      <c r="T694" s="2" t="s">
        <v>241</v>
      </c>
      <c r="U694" s="2" t="s">
        <v>71</v>
      </c>
    </row>
    <row r="695">
      <c r="A695" s="2">
        <v>694.0</v>
      </c>
      <c r="B695" s="2">
        <v>694.0</v>
      </c>
      <c r="C695" s="2">
        <v>694.0</v>
      </c>
      <c r="D695" s="3">
        <v>44262.0</v>
      </c>
      <c r="E695" s="2" t="s">
        <v>4445</v>
      </c>
      <c r="F695" s="2" t="s">
        <v>4446</v>
      </c>
      <c r="G695" s="2">
        <v>322.3</v>
      </c>
      <c r="H695" s="2" t="s">
        <v>4447</v>
      </c>
      <c r="I695" s="2" t="s">
        <v>4448</v>
      </c>
      <c r="J695" s="2" t="s">
        <v>4449</v>
      </c>
      <c r="K695" s="2" t="s">
        <v>32</v>
      </c>
      <c r="M695" s="2">
        <v>68.0</v>
      </c>
      <c r="N695" s="2">
        <v>1014.12</v>
      </c>
      <c r="O695" s="2" t="s">
        <v>41</v>
      </c>
      <c r="P695" s="2" t="s">
        <v>4450</v>
      </c>
      <c r="Q695" s="2" t="s">
        <v>4451</v>
      </c>
      <c r="S695" s="2" t="s">
        <v>4452</v>
      </c>
      <c r="T695" s="2" t="s">
        <v>1492</v>
      </c>
      <c r="U695" s="2" t="s">
        <v>33</v>
      </c>
    </row>
    <row r="696">
      <c r="A696" s="2">
        <v>695.0</v>
      </c>
      <c r="B696" s="2">
        <v>695.0</v>
      </c>
      <c r="C696" s="2">
        <v>695.0</v>
      </c>
      <c r="D696" s="3">
        <v>44015.0</v>
      </c>
      <c r="E696" s="2" t="s">
        <v>4453</v>
      </c>
      <c r="F696" s="2" t="s">
        <v>342</v>
      </c>
      <c r="G696" s="2">
        <v>741.62</v>
      </c>
      <c r="H696" s="2" t="s">
        <v>4454</v>
      </c>
      <c r="I696" s="2" t="s">
        <v>4455</v>
      </c>
      <c r="J696" s="2" t="s">
        <v>4456</v>
      </c>
      <c r="K696" s="2" t="s">
        <v>163</v>
      </c>
      <c r="L696" s="2" t="s">
        <v>4457</v>
      </c>
      <c r="M696" s="2">
        <v>29.0</v>
      </c>
      <c r="N696" s="2">
        <v>2096.1</v>
      </c>
      <c r="O696" s="2" t="s">
        <v>41</v>
      </c>
      <c r="P696" s="2" t="s">
        <v>259</v>
      </c>
      <c r="Q696" s="2" t="s">
        <v>4458</v>
      </c>
      <c r="T696" s="2" t="s">
        <v>1473</v>
      </c>
      <c r="U696" s="2" t="s">
        <v>33</v>
      </c>
    </row>
    <row r="697">
      <c r="A697" s="2">
        <v>696.0</v>
      </c>
      <c r="B697" s="2">
        <v>696.0</v>
      </c>
      <c r="C697" s="2">
        <v>696.0</v>
      </c>
      <c r="D697" s="3">
        <v>44206.0</v>
      </c>
      <c r="E697" s="2" t="s">
        <v>212</v>
      </c>
      <c r="F697" s="2" t="s">
        <v>213</v>
      </c>
      <c r="G697" s="2">
        <v>782.7</v>
      </c>
      <c r="H697" s="2" t="s">
        <v>4459</v>
      </c>
      <c r="I697" s="2" t="s">
        <v>4460</v>
      </c>
      <c r="J697" s="2" t="s">
        <v>4461</v>
      </c>
      <c r="K697" s="2" t="s">
        <v>68</v>
      </c>
      <c r="L697" s="2">
        <v>368219.0</v>
      </c>
      <c r="M697" s="2">
        <v>74.0</v>
      </c>
      <c r="N697" s="2">
        <v>1877.37</v>
      </c>
      <c r="O697" s="2" t="s">
        <v>28</v>
      </c>
      <c r="P697" s="2" t="s">
        <v>4462</v>
      </c>
      <c r="Q697" s="2" t="s">
        <v>4463</v>
      </c>
      <c r="S697" s="2" t="s">
        <v>4464</v>
      </c>
      <c r="T697" s="2" t="s">
        <v>257</v>
      </c>
      <c r="U697" s="2" t="s">
        <v>46</v>
      </c>
    </row>
    <row r="698">
      <c r="A698" s="2">
        <v>697.0</v>
      </c>
      <c r="B698" s="2">
        <v>697.0</v>
      </c>
      <c r="C698" s="2">
        <v>697.0</v>
      </c>
      <c r="D698" s="3">
        <v>43924.0</v>
      </c>
      <c r="E698" s="2" t="s">
        <v>4465</v>
      </c>
      <c r="F698" s="2" t="s">
        <v>191</v>
      </c>
      <c r="G698" s="2">
        <v>799.22</v>
      </c>
      <c r="H698" s="2" t="s">
        <v>4466</v>
      </c>
      <c r="I698" s="2" t="s">
        <v>4467</v>
      </c>
      <c r="J698" s="2" t="s">
        <v>4468</v>
      </c>
      <c r="K698" s="2" t="s">
        <v>32</v>
      </c>
      <c r="M698" s="2">
        <v>37.0</v>
      </c>
      <c r="N698" s="2">
        <v>2965.91</v>
      </c>
      <c r="O698" s="2" t="s">
        <v>52</v>
      </c>
      <c r="P698" s="2" t="s">
        <v>4469</v>
      </c>
      <c r="Q698" s="2" t="s">
        <v>4470</v>
      </c>
      <c r="S698" s="2" t="s">
        <v>4471</v>
      </c>
      <c r="T698" s="2" t="s">
        <v>379</v>
      </c>
      <c r="U698" s="2" t="s">
        <v>71</v>
      </c>
    </row>
    <row r="699">
      <c r="A699" s="2">
        <v>698.0</v>
      </c>
      <c r="B699" s="2">
        <v>698.0</v>
      </c>
      <c r="C699" s="2">
        <v>698.0</v>
      </c>
      <c r="D699" s="3">
        <v>44067.0</v>
      </c>
      <c r="E699" s="2" t="s">
        <v>2343</v>
      </c>
      <c r="F699" s="2" t="s">
        <v>2344</v>
      </c>
      <c r="G699" s="2">
        <v>304.02</v>
      </c>
      <c r="H699" s="2" t="s">
        <v>4472</v>
      </c>
      <c r="I699" s="2" t="s">
        <v>4473</v>
      </c>
      <c r="J699" s="2" t="s">
        <v>4474</v>
      </c>
      <c r="K699" s="2" t="s">
        <v>529</v>
      </c>
      <c r="L699" s="2">
        <v>78436.0</v>
      </c>
      <c r="M699" s="2">
        <v>26.0</v>
      </c>
      <c r="N699" s="2">
        <v>4685.28</v>
      </c>
      <c r="O699" s="2" t="s">
        <v>28</v>
      </c>
      <c r="P699" s="2" t="s">
        <v>4475</v>
      </c>
      <c r="Q699" s="2" t="s">
        <v>1980</v>
      </c>
      <c r="R699" s="2" t="s">
        <v>4476</v>
      </c>
      <c r="T699" s="2" t="s">
        <v>32</v>
      </c>
      <c r="U699" s="2" t="s">
        <v>71</v>
      </c>
    </row>
    <row r="700">
      <c r="A700" s="2">
        <v>699.0</v>
      </c>
      <c r="B700" s="2">
        <v>699.0</v>
      </c>
      <c r="C700" s="2">
        <v>699.0</v>
      </c>
      <c r="D700" s="3">
        <v>44516.0</v>
      </c>
      <c r="E700" s="2" t="s">
        <v>4477</v>
      </c>
      <c r="F700" s="2" t="s">
        <v>35</v>
      </c>
      <c r="G700" s="2">
        <v>360.46</v>
      </c>
      <c r="H700" s="2" t="s">
        <v>4478</v>
      </c>
      <c r="I700" s="2" t="s">
        <v>4479</v>
      </c>
      <c r="J700" s="2" t="s">
        <v>4480</v>
      </c>
      <c r="K700" s="2" t="s">
        <v>32</v>
      </c>
      <c r="M700" s="2">
        <v>20.0</v>
      </c>
      <c r="N700" s="2">
        <v>2460.22</v>
      </c>
      <c r="O700" s="2" t="s">
        <v>41</v>
      </c>
      <c r="P700" s="2" t="s">
        <v>4481</v>
      </c>
      <c r="Q700" s="2" t="s">
        <v>4482</v>
      </c>
      <c r="T700" s="2" t="s">
        <v>32</v>
      </c>
      <c r="U700" s="2" t="s">
        <v>46</v>
      </c>
    </row>
    <row r="701">
      <c r="A701" s="2">
        <v>700.0</v>
      </c>
      <c r="B701" s="2">
        <v>700.0</v>
      </c>
      <c r="C701" s="2">
        <v>700.0</v>
      </c>
      <c r="D701" s="3">
        <v>43855.0</v>
      </c>
      <c r="E701" s="2" t="s">
        <v>3322</v>
      </c>
      <c r="F701" s="2" t="s">
        <v>198</v>
      </c>
      <c r="G701" s="2">
        <v>255.11</v>
      </c>
      <c r="H701" s="2" t="s">
        <v>4483</v>
      </c>
      <c r="I701" s="2" t="s">
        <v>4484</v>
      </c>
      <c r="J701" s="2" t="s">
        <v>4485</v>
      </c>
      <c r="K701" s="2" t="s">
        <v>32</v>
      </c>
      <c r="M701" s="2">
        <v>35.0</v>
      </c>
      <c r="N701" s="2">
        <v>1272.27</v>
      </c>
      <c r="O701" s="2" t="s">
        <v>41</v>
      </c>
      <c r="P701" s="2" t="s">
        <v>4486</v>
      </c>
      <c r="Q701" s="2" t="s">
        <v>4487</v>
      </c>
      <c r="T701" s="2" t="s">
        <v>3662</v>
      </c>
      <c r="U701" s="2" t="s">
        <v>33</v>
      </c>
    </row>
    <row r="702">
      <c r="A702" s="2">
        <v>701.0</v>
      </c>
      <c r="B702" s="2">
        <v>701.0</v>
      </c>
      <c r="C702" s="2">
        <v>701.0</v>
      </c>
      <c r="D702" s="3">
        <v>44232.0</v>
      </c>
      <c r="E702" s="2" t="s">
        <v>4488</v>
      </c>
      <c r="F702" s="2" t="s">
        <v>64</v>
      </c>
      <c r="G702" s="2">
        <v>213.35</v>
      </c>
      <c r="H702" s="2" t="s">
        <v>4489</v>
      </c>
      <c r="I702" s="2" t="s">
        <v>4490</v>
      </c>
      <c r="J702" s="2" t="s">
        <v>4491</v>
      </c>
      <c r="K702" s="2" t="s">
        <v>39</v>
      </c>
      <c r="L702" s="2" t="s">
        <v>4492</v>
      </c>
      <c r="M702" s="2">
        <v>46.0</v>
      </c>
      <c r="N702" s="2">
        <v>8533.16</v>
      </c>
      <c r="O702" s="2" t="s">
        <v>52</v>
      </c>
      <c r="P702" s="2" t="s">
        <v>1812</v>
      </c>
      <c r="Q702" s="2" t="s">
        <v>4493</v>
      </c>
      <c r="R702" s="2" t="s">
        <v>4494</v>
      </c>
      <c r="S702" s="2" t="s">
        <v>4495</v>
      </c>
      <c r="T702" s="2" t="s">
        <v>1660</v>
      </c>
      <c r="U702" s="2" t="s">
        <v>71</v>
      </c>
    </row>
    <row r="703">
      <c r="A703" s="2">
        <v>702.0</v>
      </c>
      <c r="B703" s="2">
        <v>702.0</v>
      </c>
      <c r="C703" s="2">
        <v>702.0</v>
      </c>
      <c r="D703" s="3">
        <v>44413.0</v>
      </c>
      <c r="E703" s="2" t="s">
        <v>4496</v>
      </c>
      <c r="F703" s="2" t="s">
        <v>22</v>
      </c>
      <c r="G703" s="2">
        <v>558.94</v>
      </c>
      <c r="H703" s="2" t="s">
        <v>4497</v>
      </c>
      <c r="I703" s="2" t="s">
        <v>4498</v>
      </c>
      <c r="J703" s="2" t="s">
        <v>4499</v>
      </c>
      <c r="K703" s="2" t="s">
        <v>106</v>
      </c>
      <c r="L703" s="2" t="s">
        <v>4500</v>
      </c>
      <c r="M703" s="2">
        <v>42.0</v>
      </c>
      <c r="N703" s="2">
        <v>5405.0</v>
      </c>
      <c r="O703" s="2" t="s">
        <v>28</v>
      </c>
      <c r="P703" s="2" t="s">
        <v>4501</v>
      </c>
      <c r="Q703" s="2" t="s">
        <v>4502</v>
      </c>
      <c r="T703" s="2" t="s">
        <v>137</v>
      </c>
      <c r="U703" s="2" t="s">
        <v>71</v>
      </c>
    </row>
    <row r="704">
      <c r="A704" s="2">
        <v>703.0</v>
      </c>
      <c r="B704" s="2">
        <v>703.0</v>
      </c>
      <c r="C704" s="2">
        <v>703.0</v>
      </c>
      <c r="D704" s="3">
        <v>44307.0</v>
      </c>
      <c r="E704" s="2" t="s">
        <v>4503</v>
      </c>
      <c r="F704" s="2" t="s">
        <v>237</v>
      </c>
      <c r="G704" s="2">
        <v>375.33</v>
      </c>
      <c r="H704" s="2" t="s">
        <v>4504</v>
      </c>
      <c r="I704" s="2" t="s">
        <v>4505</v>
      </c>
      <c r="J704" s="2" t="s">
        <v>4506</v>
      </c>
      <c r="K704" s="2" t="s">
        <v>119</v>
      </c>
      <c r="M704" s="2">
        <v>9.0</v>
      </c>
      <c r="N704" s="2">
        <v>9605.0</v>
      </c>
      <c r="O704" s="2" t="s">
        <v>41</v>
      </c>
      <c r="P704" s="2" t="s">
        <v>4507</v>
      </c>
      <c r="Q704" s="2" t="s">
        <v>4508</v>
      </c>
      <c r="S704" s="2" t="s">
        <v>4509</v>
      </c>
      <c r="T704" s="2" t="s">
        <v>114</v>
      </c>
      <c r="U704" s="2" t="s">
        <v>46</v>
      </c>
    </row>
    <row r="705">
      <c r="A705" s="2">
        <v>704.0</v>
      </c>
      <c r="B705" s="2">
        <v>704.0</v>
      </c>
      <c r="C705" s="2">
        <v>704.0</v>
      </c>
      <c r="D705" s="3">
        <v>44218.0</v>
      </c>
      <c r="E705" s="2" t="s">
        <v>4510</v>
      </c>
      <c r="F705" s="2" t="s">
        <v>501</v>
      </c>
      <c r="G705" s="2">
        <v>972.95</v>
      </c>
      <c r="H705" s="2" t="s">
        <v>4511</v>
      </c>
      <c r="I705" s="2" t="s">
        <v>4512</v>
      </c>
      <c r="J705" s="2" t="s">
        <v>4513</v>
      </c>
      <c r="K705" s="2" t="s">
        <v>32</v>
      </c>
      <c r="M705" s="2">
        <v>50.0</v>
      </c>
      <c r="N705" s="2">
        <v>7943.59</v>
      </c>
      <c r="O705" s="2" t="s">
        <v>28</v>
      </c>
      <c r="P705" s="2" t="s">
        <v>4514</v>
      </c>
      <c r="Q705" s="2" t="s">
        <v>1580</v>
      </c>
      <c r="T705" s="2" t="s">
        <v>1826</v>
      </c>
      <c r="U705" s="2" t="s">
        <v>46</v>
      </c>
    </row>
    <row r="706">
      <c r="A706" s="2">
        <v>705.0</v>
      </c>
      <c r="B706" s="2">
        <v>705.0</v>
      </c>
      <c r="C706" s="2">
        <v>705.0</v>
      </c>
      <c r="D706" s="3">
        <v>43962.0</v>
      </c>
      <c r="E706" s="2" t="s">
        <v>2573</v>
      </c>
      <c r="F706" s="2" t="s">
        <v>567</v>
      </c>
      <c r="G706" s="2">
        <v>936.91</v>
      </c>
      <c r="H706" s="2" t="s">
        <v>4515</v>
      </c>
      <c r="I706" s="2" t="s">
        <v>4516</v>
      </c>
      <c r="J706" s="2" t="s">
        <v>4517</v>
      </c>
      <c r="K706" s="2" t="s">
        <v>4022</v>
      </c>
      <c r="L706" s="2" t="s">
        <v>4518</v>
      </c>
      <c r="M706" s="2">
        <v>48.0</v>
      </c>
      <c r="N706" s="2">
        <v>8324.74</v>
      </c>
      <c r="O706" s="2" t="s">
        <v>52</v>
      </c>
      <c r="P706" s="2" t="s">
        <v>1195</v>
      </c>
      <c r="Q706" s="2" t="s">
        <v>4519</v>
      </c>
      <c r="R706" s="2" t="s">
        <v>4520</v>
      </c>
      <c r="S706" s="2">
        <v>8405.0</v>
      </c>
      <c r="T706" s="2" t="s">
        <v>241</v>
      </c>
      <c r="U706" s="2" t="s">
        <v>71</v>
      </c>
    </row>
    <row r="707">
      <c r="A707" s="2">
        <v>706.0</v>
      </c>
      <c r="B707" s="2">
        <v>706.0</v>
      </c>
      <c r="C707" s="2">
        <v>706.0</v>
      </c>
      <c r="D707" s="3">
        <v>43852.0</v>
      </c>
      <c r="E707" s="2" t="s">
        <v>2294</v>
      </c>
      <c r="F707" s="2" t="s">
        <v>230</v>
      </c>
      <c r="G707" s="2">
        <v>458.03</v>
      </c>
      <c r="H707" s="2" t="s">
        <v>4521</v>
      </c>
      <c r="I707" s="2" t="s">
        <v>4522</v>
      </c>
      <c r="J707" s="2" t="s">
        <v>4523</v>
      </c>
      <c r="K707" s="2" t="s">
        <v>241</v>
      </c>
      <c r="L707" s="2">
        <v>5016.0</v>
      </c>
      <c r="M707" s="2">
        <v>85.0</v>
      </c>
      <c r="N707" s="2">
        <v>7533.04</v>
      </c>
      <c r="O707" s="2" t="s">
        <v>28</v>
      </c>
      <c r="P707" s="2" t="s">
        <v>4524</v>
      </c>
      <c r="Q707" s="2" t="s">
        <v>4525</v>
      </c>
      <c r="T707" s="2" t="s">
        <v>140</v>
      </c>
      <c r="U707" s="2" t="s">
        <v>33</v>
      </c>
    </row>
    <row r="708">
      <c r="A708" s="2">
        <v>707.0</v>
      </c>
      <c r="B708" s="2">
        <v>707.0</v>
      </c>
      <c r="C708" s="2">
        <v>707.0</v>
      </c>
      <c r="D708" s="3">
        <v>43978.0</v>
      </c>
      <c r="E708" s="2" t="s">
        <v>2872</v>
      </c>
      <c r="F708" s="2" t="s">
        <v>2088</v>
      </c>
      <c r="G708" s="2">
        <v>704.93</v>
      </c>
      <c r="H708" s="2" t="s">
        <v>4526</v>
      </c>
      <c r="I708" s="2" t="s">
        <v>4527</v>
      </c>
      <c r="J708" s="2" t="s">
        <v>4528</v>
      </c>
      <c r="K708" s="2" t="s">
        <v>32</v>
      </c>
      <c r="M708" s="2">
        <v>3.0</v>
      </c>
      <c r="N708" s="2">
        <v>7368.15</v>
      </c>
      <c r="O708" s="2" t="s">
        <v>28</v>
      </c>
      <c r="P708" s="2" t="s">
        <v>1812</v>
      </c>
      <c r="Q708" s="2" t="s">
        <v>4529</v>
      </c>
      <c r="T708" s="2" t="s">
        <v>225</v>
      </c>
      <c r="U708" s="2" t="s">
        <v>33</v>
      </c>
    </row>
    <row r="709">
      <c r="A709" s="2">
        <v>708.0</v>
      </c>
      <c r="B709" s="2">
        <v>708.0</v>
      </c>
      <c r="C709" s="2">
        <v>708.0</v>
      </c>
      <c r="D709" s="3">
        <v>43874.0</v>
      </c>
      <c r="E709" s="2" t="s">
        <v>1109</v>
      </c>
      <c r="F709" s="2" t="s">
        <v>1110</v>
      </c>
      <c r="G709" s="2">
        <v>69.04</v>
      </c>
      <c r="H709" s="2" t="s">
        <v>4530</v>
      </c>
      <c r="I709" s="2" t="s">
        <v>4531</v>
      </c>
      <c r="J709" s="2" t="s">
        <v>4532</v>
      </c>
      <c r="K709" s="2" t="s">
        <v>257</v>
      </c>
      <c r="L709" s="2" t="s">
        <v>4533</v>
      </c>
      <c r="M709" s="2">
        <v>16.0</v>
      </c>
      <c r="N709" s="2">
        <v>5549.32</v>
      </c>
      <c r="O709" s="2" t="s">
        <v>41</v>
      </c>
      <c r="P709" s="2" t="s">
        <v>4534</v>
      </c>
      <c r="Q709" s="2" t="s">
        <v>4535</v>
      </c>
      <c r="R709" s="2" t="s">
        <v>2223</v>
      </c>
      <c r="T709" s="2" t="s">
        <v>1380</v>
      </c>
      <c r="U709" s="2" t="s">
        <v>46</v>
      </c>
    </row>
    <row r="710">
      <c r="A710" s="2">
        <v>709.0</v>
      </c>
      <c r="B710" s="2">
        <v>709.0</v>
      </c>
      <c r="C710" s="2">
        <v>709.0</v>
      </c>
      <c r="D710" s="3">
        <v>44440.0</v>
      </c>
      <c r="E710" s="2" t="s">
        <v>2328</v>
      </c>
      <c r="F710" s="2" t="s">
        <v>538</v>
      </c>
      <c r="G710" s="2">
        <v>658.34</v>
      </c>
      <c r="H710" s="2" t="s">
        <v>4536</v>
      </c>
      <c r="I710" s="2" t="s">
        <v>4537</v>
      </c>
      <c r="J710" s="2" t="s">
        <v>4538</v>
      </c>
      <c r="K710" s="2" t="s">
        <v>4539</v>
      </c>
      <c r="M710" s="2">
        <v>86.0</v>
      </c>
      <c r="N710" s="2">
        <v>3728.33</v>
      </c>
      <c r="O710" s="2" t="s">
        <v>52</v>
      </c>
      <c r="P710" s="2" t="s">
        <v>293</v>
      </c>
      <c r="Q710" s="2" t="s">
        <v>4540</v>
      </c>
      <c r="S710" s="2">
        <v>50251.0</v>
      </c>
      <c r="T710" s="2" t="s">
        <v>45</v>
      </c>
      <c r="U710" s="2" t="s">
        <v>46</v>
      </c>
    </row>
    <row r="711">
      <c r="A711" s="2">
        <v>710.0</v>
      </c>
      <c r="B711" s="2">
        <v>710.0</v>
      </c>
      <c r="C711" s="2">
        <v>710.0</v>
      </c>
      <c r="D711" s="3">
        <v>44319.0</v>
      </c>
      <c r="E711" s="2" t="s">
        <v>4427</v>
      </c>
      <c r="F711" s="2" t="s">
        <v>22</v>
      </c>
      <c r="G711" s="2">
        <v>570.28</v>
      </c>
      <c r="H711" s="2" t="s">
        <v>4541</v>
      </c>
      <c r="I711" s="2" t="s">
        <v>4542</v>
      </c>
      <c r="J711" s="2" t="s">
        <v>4543</v>
      </c>
      <c r="K711" s="2" t="s">
        <v>119</v>
      </c>
      <c r="M711" s="2">
        <v>19.0</v>
      </c>
      <c r="N711" s="2">
        <v>6338.94</v>
      </c>
      <c r="O711" s="2" t="s">
        <v>41</v>
      </c>
      <c r="P711" s="2" t="s">
        <v>4544</v>
      </c>
      <c r="Q711" s="2" t="s">
        <v>4545</v>
      </c>
      <c r="S711" s="2" t="s">
        <v>4546</v>
      </c>
      <c r="T711" s="2" t="s">
        <v>379</v>
      </c>
      <c r="U711" s="2" t="s">
        <v>71</v>
      </c>
    </row>
    <row r="712">
      <c r="A712" s="2">
        <v>711.0</v>
      </c>
      <c r="B712" s="2">
        <v>711.0</v>
      </c>
      <c r="C712" s="2">
        <v>711.0</v>
      </c>
      <c r="D712" s="3">
        <v>44476.0</v>
      </c>
      <c r="E712" s="2" t="s">
        <v>4547</v>
      </c>
      <c r="F712" s="2" t="s">
        <v>546</v>
      </c>
      <c r="G712" s="2">
        <v>699.04</v>
      </c>
      <c r="H712" s="2" t="s">
        <v>4548</v>
      </c>
      <c r="I712" s="2" t="s">
        <v>4549</v>
      </c>
      <c r="J712" s="2" t="s">
        <v>4550</v>
      </c>
      <c r="K712" s="2" t="s">
        <v>819</v>
      </c>
      <c r="L712" s="2">
        <v>660017.0</v>
      </c>
      <c r="M712" s="2">
        <v>10.0</v>
      </c>
      <c r="N712" s="2">
        <v>4608.44</v>
      </c>
      <c r="O712" s="2" t="s">
        <v>28</v>
      </c>
      <c r="P712" s="2" t="s">
        <v>4551</v>
      </c>
      <c r="Q712" s="2" t="s">
        <v>4552</v>
      </c>
      <c r="T712" s="2" t="s">
        <v>62</v>
      </c>
      <c r="U712" s="2" t="s">
        <v>33</v>
      </c>
    </row>
    <row r="713">
      <c r="A713" s="2">
        <v>712.0</v>
      </c>
      <c r="B713" s="2">
        <v>712.0</v>
      </c>
      <c r="C713" s="2">
        <v>712.0</v>
      </c>
      <c r="D713" s="3">
        <v>44253.0</v>
      </c>
      <c r="E713" s="2" t="s">
        <v>4553</v>
      </c>
      <c r="F713" s="2" t="s">
        <v>237</v>
      </c>
      <c r="G713" s="2">
        <v>380.93</v>
      </c>
      <c r="H713" s="2" t="s">
        <v>4554</v>
      </c>
      <c r="I713" s="2" t="s">
        <v>4555</v>
      </c>
      <c r="J713" s="2" t="s">
        <v>4556</v>
      </c>
      <c r="K713" s="2" t="s">
        <v>32</v>
      </c>
      <c r="M713" s="2">
        <v>66.0</v>
      </c>
      <c r="N713" s="2">
        <v>1058.46</v>
      </c>
      <c r="O713" s="2" t="s">
        <v>28</v>
      </c>
      <c r="P713" s="2" t="s">
        <v>4557</v>
      </c>
      <c r="Q713" s="2" t="s">
        <v>4558</v>
      </c>
      <c r="S713" s="2">
        <v>2826.0</v>
      </c>
      <c r="T713" s="2" t="s">
        <v>241</v>
      </c>
      <c r="U713" s="2" t="s">
        <v>46</v>
      </c>
    </row>
    <row r="714">
      <c r="A714" s="2">
        <v>713.0</v>
      </c>
      <c r="B714" s="2">
        <v>713.0</v>
      </c>
      <c r="C714" s="2">
        <v>713.0</v>
      </c>
      <c r="D714" s="3">
        <v>44475.0</v>
      </c>
      <c r="E714" s="2" t="s">
        <v>1885</v>
      </c>
      <c r="F714" s="2" t="s">
        <v>35</v>
      </c>
      <c r="G714" s="2">
        <v>606.11</v>
      </c>
      <c r="H714" s="2" t="s">
        <v>4559</v>
      </c>
      <c r="I714" s="2" t="s">
        <v>4560</v>
      </c>
      <c r="J714" s="2" t="s">
        <v>4561</v>
      </c>
      <c r="K714" s="2" t="s">
        <v>225</v>
      </c>
      <c r="M714" s="2">
        <v>66.0</v>
      </c>
      <c r="N714" s="2">
        <v>5685.59</v>
      </c>
      <c r="O714" s="2" t="s">
        <v>41</v>
      </c>
      <c r="P714" s="2" t="s">
        <v>4562</v>
      </c>
      <c r="Q714" s="2" t="s">
        <v>4563</v>
      </c>
      <c r="S714" s="2">
        <v>4874.0</v>
      </c>
      <c r="T714" s="2" t="s">
        <v>131</v>
      </c>
      <c r="U714" s="2" t="s">
        <v>46</v>
      </c>
    </row>
    <row r="715">
      <c r="A715" s="2">
        <v>714.0</v>
      </c>
      <c r="B715" s="2">
        <v>714.0</v>
      </c>
      <c r="C715" s="2">
        <v>714.0</v>
      </c>
      <c r="D715" s="3">
        <v>44160.0</v>
      </c>
      <c r="E715" s="2" t="s">
        <v>4564</v>
      </c>
      <c r="F715" s="2" t="s">
        <v>237</v>
      </c>
      <c r="G715" s="2">
        <v>664.17</v>
      </c>
      <c r="H715" s="2" t="s">
        <v>3940</v>
      </c>
      <c r="I715" s="2" t="s">
        <v>4565</v>
      </c>
      <c r="J715" s="2" t="s">
        <v>4566</v>
      </c>
      <c r="K715" s="2" t="s">
        <v>119</v>
      </c>
      <c r="M715" s="2">
        <v>80.0</v>
      </c>
      <c r="N715" s="2">
        <v>1626.85</v>
      </c>
      <c r="O715" s="2" t="s">
        <v>28</v>
      </c>
      <c r="P715" s="2" t="s">
        <v>4567</v>
      </c>
      <c r="Q715" s="2" t="s">
        <v>4568</v>
      </c>
      <c r="T715" s="2" t="s">
        <v>612</v>
      </c>
      <c r="U715" s="2" t="s">
        <v>71</v>
      </c>
    </row>
    <row r="716">
      <c r="A716" s="2">
        <v>715.0</v>
      </c>
      <c r="B716" s="2">
        <v>715.0</v>
      </c>
      <c r="C716" s="2">
        <v>715.0</v>
      </c>
      <c r="D716" s="3">
        <v>44382.0</v>
      </c>
      <c r="E716" s="2" t="s">
        <v>4569</v>
      </c>
      <c r="F716" s="2" t="s">
        <v>48</v>
      </c>
      <c r="G716" s="2">
        <v>647.84</v>
      </c>
      <c r="H716" s="2" t="s">
        <v>4570</v>
      </c>
      <c r="I716" s="2" t="s">
        <v>4571</v>
      </c>
      <c r="J716" s="2" t="s">
        <v>4572</v>
      </c>
      <c r="K716" s="2" t="s">
        <v>163</v>
      </c>
      <c r="L716" s="2" t="s">
        <v>4573</v>
      </c>
      <c r="M716" s="2">
        <v>43.0</v>
      </c>
      <c r="N716" s="2">
        <v>1861.58</v>
      </c>
      <c r="O716" s="2" t="s">
        <v>41</v>
      </c>
      <c r="P716" s="2" t="s">
        <v>2172</v>
      </c>
      <c r="Q716" s="2" t="s">
        <v>4574</v>
      </c>
      <c r="S716" s="2" t="s">
        <v>4575</v>
      </c>
      <c r="T716" s="2" t="s">
        <v>106</v>
      </c>
      <c r="U716" s="2" t="s">
        <v>71</v>
      </c>
    </row>
    <row r="717">
      <c r="A717" s="2">
        <v>716.0</v>
      </c>
      <c r="B717" s="2">
        <v>716.0</v>
      </c>
      <c r="C717" s="2">
        <v>716.0</v>
      </c>
      <c r="D717" s="3">
        <v>44334.0</v>
      </c>
      <c r="E717" s="2" t="s">
        <v>3951</v>
      </c>
      <c r="F717" s="2" t="s">
        <v>133</v>
      </c>
      <c r="G717" s="2">
        <v>424.1</v>
      </c>
      <c r="H717" s="2" t="s">
        <v>4576</v>
      </c>
      <c r="I717" s="2" t="s">
        <v>4577</v>
      </c>
      <c r="J717" s="2" t="s">
        <v>4578</v>
      </c>
      <c r="K717" s="2" t="s">
        <v>68</v>
      </c>
      <c r="L717" s="2">
        <v>171067.0</v>
      </c>
      <c r="M717" s="2">
        <v>41.0</v>
      </c>
      <c r="N717" s="2">
        <v>7582.98</v>
      </c>
      <c r="O717" s="2" t="s">
        <v>28</v>
      </c>
      <c r="P717" s="2" t="s">
        <v>4579</v>
      </c>
      <c r="Q717" s="2" t="s">
        <v>4580</v>
      </c>
      <c r="T717" s="2" t="s">
        <v>32</v>
      </c>
      <c r="U717" s="2" t="s">
        <v>33</v>
      </c>
    </row>
    <row r="718">
      <c r="A718" s="2">
        <v>717.0</v>
      </c>
      <c r="B718" s="2">
        <v>717.0</v>
      </c>
      <c r="C718" s="2">
        <v>717.0</v>
      </c>
      <c r="D718" s="3">
        <v>44327.0</v>
      </c>
      <c r="E718" s="2" t="s">
        <v>4400</v>
      </c>
      <c r="F718" s="2" t="s">
        <v>822</v>
      </c>
      <c r="G718" s="2">
        <v>799.53</v>
      </c>
      <c r="H718" s="2" t="s">
        <v>4581</v>
      </c>
      <c r="I718" s="2" t="s">
        <v>4582</v>
      </c>
      <c r="J718" s="2" t="s">
        <v>4583</v>
      </c>
      <c r="K718" s="2" t="s">
        <v>32</v>
      </c>
      <c r="M718" s="2">
        <v>3.0</v>
      </c>
      <c r="N718" s="2">
        <v>2086.68</v>
      </c>
      <c r="O718" s="2" t="s">
        <v>52</v>
      </c>
      <c r="P718" s="2" t="s">
        <v>2998</v>
      </c>
      <c r="Q718" s="2" t="s">
        <v>4584</v>
      </c>
      <c r="S718" s="2" t="s">
        <v>4585</v>
      </c>
      <c r="T718" s="2" t="s">
        <v>257</v>
      </c>
      <c r="U718" s="2" t="s">
        <v>71</v>
      </c>
    </row>
    <row r="719">
      <c r="A719" s="2">
        <v>718.0</v>
      </c>
      <c r="B719" s="2">
        <v>718.0</v>
      </c>
      <c r="C719" s="2">
        <v>718.0</v>
      </c>
      <c r="D719" s="3">
        <v>44464.0</v>
      </c>
      <c r="E719" s="2" t="s">
        <v>4586</v>
      </c>
      <c r="F719" s="2" t="s">
        <v>35</v>
      </c>
      <c r="G719" s="2">
        <v>926.19</v>
      </c>
      <c r="H719" s="2" t="s">
        <v>4587</v>
      </c>
      <c r="I719" s="2" t="s">
        <v>4588</v>
      </c>
      <c r="J719" s="2" t="s">
        <v>4589</v>
      </c>
      <c r="K719" s="2" t="s">
        <v>119</v>
      </c>
      <c r="M719" s="2">
        <v>92.0</v>
      </c>
      <c r="N719" s="2">
        <v>1457.79</v>
      </c>
      <c r="O719" s="2" t="s">
        <v>52</v>
      </c>
      <c r="P719" s="2" t="s">
        <v>4590</v>
      </c>
      <c r="Q719" s="2" t="s">
        <v>4591</v>
      </c>
      <c r="T719" s="2" t="s">
        <v>119</v>
      </c>
      <c r="U719" s="2" t="s">
        <v>71</v>
      </c>
    </row>
    <row r="720">
      <c r="A720" s="2">
        <v>719.0</v>
      </c>
      <c r="B720" s="2">
        <v>719.0</v>
      </c>
      <c r="C720" s="2">
        <v>719.0</v>
      </c>
      <c r="D720" s="3">
        <v>44003.0</v>
      </c>
      <c r="E720" s="2" t="s">
        <v>4592</v>
      </c>
      <c r="F720" s="2" t="s">
        <v>639</v>
      </c>
      <c r="G720" s="2">
        <v>817.31</v>
      </c>
      <c r="H720" s="2" t="s">
        <v>4593</v>
      </c>
      <c r="I720" s="2" t="s">
        <v>4594</v>
      </c>
      <c r="J720" s="2" t="s">
        <v>4595</v>
      </c>
      <c r="K720" s="2" t="s">
        <v>32</v>
      </c>
      <c r="M720" s="2">
        <v>58.0</v>
      </c>
      <c r="N720" s="2">
        <v>7307.2</v>
      </c>
      <c r="O720" s="2" t="s">
        <v>28</v>
      </c>
      <c r="P720" s="2" t="s">
        <v>939</v>
      </c>
      <c r="Q720" s="2" t="s">
        <v>4596</v>
      </c>
      <c r="T720" s="2" t="s">
        <v>119</v>
      </c>
      <c r="U720" s="2" t="s">
        <v>71</v>
      </c>
    </row>
    <row r="721">
      <c r="A721" s="2">
        <v>720.0</v>
      </c>
      <c r="B721" s="2">
        <v>720.0</v>
      </c>
      <c r="C721" s="2">
        <v>720.0</v>
      </c>
      <c r="D721" s="3">
        <v>44242.0</v>
      </c>
      <c r="E721" s="2" t="s">
        <v>942</v>
      </c>
      <c r="F721" s="2" t="s">
        <v>142</v>
      </c>
      <c r="G721" s="2">
        <v>5.17</v>
      </c>
      <c r="H721" s="2" t="s">
        <v>4597</v>
      </c>
      <c r="I721" s="2" t="s">
        <v>4598</v>
      </c>
      <c r="J721" s="2" t="s">
        <v>4599</v>
      </c>
      <c r="K721" s="2" t="s">
        <v>163</v>
      </c>
      <c r="L721" s="2" t="s">
        <v>4600</v>
      </c>
      <c r="M721" s="2">
        <v>90.0</v>
      </c>
      <c r="N721" s="2">
        <v>2683.33</v>
      </c>
      <c r="O721" s="2" t="s">
        <v>41</v>
      </c>
      <c r="P721" s="2" t="s">
        <v>293</v>
      </c>
      <c r="Q721" s="2" t="s">
        <v>4601</v>
      </c>
      <c r="T721" s="2" t="s">
        <v>1473</v>
      </c>
      <c r="U721" s="2" t="s">
        <v>46</v>
      </c>
    </row>
    <row r="722">
      <c r="A722" s="2">
        <v>721.0</v>
      </c>
      <c r="B722" s="2">
        <v>721.0</v>
      </c>
      <c r="C722" s="2">
        <v>721.0</v>
      </c>
      <c r="D722" s="3">
        <v>44288.0</v>
      </c>
      <c r="E722" s="2" t="s">
        <v>2840</v>
      </c>
      <c r="F722" s="2" t="s">
        <v>822</v>
      </c>
      <c r="G722" s="2">
        <v>580.7</v>
      </c>
      <c r="H722" s="2" t="s">
        <v>2664</v>
      </c>
      <c r="I722" s="2" t="s">
        <v>4602</v>
      </c>
      <c r="J722" s="2" t="s">
        <v>4603</v>
      </c>
      <c r="K722" s="2" t="s">
        <v>32</v>
      </c>
      <c r="M722" s="2">
        <v>99.0</v>
      </c>
      <c r="N722" s="2">
        <v>9352.52</v>
      </c>
      <c r="O722" s="2" t="s">
        <v>41</v>
      </c>
      <c r="P722" s="2" t="s">
        <v>355</v>
      </c>
      <c r="Q722" s="2" t="s">
        <v>4604</v>
      </c>
      <c r="T722" s="2" t="s">
        <v>32</v>
      </c>
      <c r="U722" s="2" t="s">
        <v>71</v>
      </c>
    </row>
    <row r="723">
      <c r="A723" s="2">
        <v>722.0</v>
      </c>
      <c r="B723" s="2">
        <v>722.0</v>
      </c>
      <c r="C723" s="2">
        <v>722.0</v>
      </c>
      <c r="D723" s="3">
        <v>44129.0</v>
      </c>
      <c r="E723" s="2" t="s">
        <v>1702</v>
      </c>
      <c r="F723" s="2" t="s">
        <v>183</v>
      </c>
      <c r="G723" s="2">
        <v>223.61</v>
      </c>
      <c r="H723" s="2" t="s">
        <v>4605</v>
      </c>
      <c r="I723" s="2" t="s">
        <v>4606</v>
      </c>
      <c r="J723" s="2" t="s">
        <v>4607</v>
      </c>
      <c r="K723" s="2" t="s">
        <v>178</v>
      </c>
      <c r="L723" s="2">
        <v>4630.0</v>
      </c>
      <c r="M723" s="2">
        <v>63.0</v>
      </c>
      <c r="N723" s="2">
        <v>7749.97</v>
      </c>
      <c r="O723" s="2" t="s">
        <v>28</v>
      </c>
      <c r="P723" s="2" t="s">
        <v>4608</v>
      </c>
      <c r="Q723" s="2" t="s">
        <v>4609</v>
      </c>
      <c r="S723" s="2" t="s">
        <v>4610</v>
      </c>
      <c r="T723" s="2" t="s">
        <v>26</v>
      </c>
      <c r="U723" s="2" t="s">
        <v>33</v>
      </c>
    </row>
    <row r="724">
      <c r="A724" s="2">
        <v>723.0</v>
      </c>
      <c r="B724" s="2">
        <v>723.0</v>
      </c>
      <c r="C724" s="2">
        <v>723.0</v>
      </c>
      <c r="D724" s="3">
        <v>44018.0</v>
      </c>
      <c r="E724" s="2" t="s">
        <v>4611</v>
      </c>
      <c r="F724" s="2" t="s">
        <v>123</v>
      </c>
      <c r="G724" s="2">
        <v>127.48</v>
      </c>
      <c r="H724" s="2" t="s">
        <v>1916</v>
      </c>
      <c r="I724" s="2" t="s">
        <v>4612</v>
      </c>
      <c r="J724" s="2" t="s">
        <v>4613</v>
      </c>
      <c r="K724" s="2" t="s">
        <v>119</v>
      </c>
      <c r="M724" s="2">
        <v>44.0</v>
      </c>
      <c r="N724" s="2">
        <v>8679.3</v>
      </c>
      <c r="O724" s="2" t="s">
        <v>41</v>
      </c>
      <c r="P724" s="2" t="s">
        <v>218</v>
      </c>
      <c r="Q724" s="2" t="s">
        <v>4614</v>
      </c>
      <c r="S724" s="2" t="s">
        <v>4615</v>
      </c>
      <c r="T724" s="2" t="s">
        <v>26</v>
      </c>
      <c r="U724" s="2" t="s">
        <v>33</v>
      </c>
    </row>
    <row r="725">
      <c r="A725" s="2">
        <v>724.0</v>
      </c>
      <c r="B725" s="2">
        <v>724.0</v>
      </c>
      <c r="C725" s="2">
        <v>724.0</v>
      </c>
      <c r="D725" s="3">
        <v>43930.0</v>
      </c>
      <c r="E725" s="2" t="s">
        <v>4616</v>
      </c>
      <c r="F725" s="2" t="s">
        <v>639</v>
      </c>
      <c r="G725" s="2">
        <v>219.07</v>
      </c>
      <c r="H725" s="2" t="s">
        <v>4617</v>
      </c>
      <c r="I725" s="2" t="s">
        <v>4618</v>
      </c>
      <c r="J725" s="2" t="s">
        <v>4619</v>
      </c>
      <c r="K725" s="2" t="s">
        <v>257</v>
      </c>
      <c r="L725" s="2" t="s">
        <v>4620</v>
      </c>
      <c r="M725" s="2">
        <v>93.0</v>
      </c>
      <c r="N725" s="2">
        <v>4455.07</v>
      </c>
      <c r="O725" s="2" t="s">
        <v>52</v>
      </c>
      <c r="P725" s="2" t="s">
        <v>1016</v>
      </c>
      <c r="Q725" s="2" t="s">
        <v>4621</v>
      </c>
      <c r="R725" s="2" t="s">
        <v>4622</v>
      </c>
      <c r="S725" s="2">
        <v>3313.0</v>
      </c>
      <c r="T725" s="2" t="s">
        <v>178</v>
      </c>
      <c r="U725" s="2" t="s">
        <v>46</v>
      </c>
    </row>
    <row r="726">
      <c r="A726" s="2">
        <v>725.0</v>
      </c>
      <c r="B726" s="2">
        <v>725.0</v>
      </c>
      <c r="C726" s="2">
        <v>725.0</v>
      </c>
      <c r="D726" s="3">
        <v>44123.0</v>
      </c>
      <c r="E726" s="2" t="s">
        <v>829</v>
      </c>
      <c r="F726" s="2" t="s">
        <v>310</v>
      </c>
      <c r="G726" s="2">
        <v>658.58</v>
      </c>
      <c r="H726" s="2" t="s">
        <v>4623</v>
      </c>
      <c r="I726" s="2" t="s">
        <v>4624</v>
      </c>
      <c r="J726" s="2" t="s">
        <v>4625</v>
      </c>
      <c r="K726" s="2" t="s">
        <v>217</v>
      </c>
      <c r="L726" s="2">
        <v>33411.0</v>
      </c>
      <c r="M726" s="2">
        <v>56.0</v>
      </c>
      <c r="N726" s="2">
        <v>1673.04</v>
      </c>
      <c r="O726" s="2" t="s">
        <v>41</v>
      </c>
      <c r="P726" s="2" t="s">
        <v>543</v>
      </c>
      <c r="Q726" s="2" t="s">
        <v>4626</v>
      </c>
      <c r="T726" s="2" t="s">
        <v>32</v>
      </c>
      <c r="U726" s="2" t="s">
        <v>46</v>
      </c>
    </row>
    <row r="727">
      <c r="A727" s="2">
        <v>726.0</v>
      </c>
      <c r="B727" s="2">
        <v>726.0</v>
      </c>
      <c r="C727" s="2">
        <v>726.0</v>
      </c>
      <c r="D727" s="3">
        <v>44518.0</v>
      </c>
      <c r="E727" s="2" t="s">
        <v>1516</v>
      </c>
      <c r="F727" s="2" t="s">
        <v>198</v>
      </c>
      <c r="G727" s="2">
        <v>290.12</v>
      </c>
      <c r="H727" s="2" t="s">
        <v>3716</v>
      </c>
      <c r="I727" s="2" t="s">
        <v>4627</v>
      </c>
      <c r="J727" s="2" t="s">
        <v>4628</v>
      </c>
      <c r="K727" s="2" t="s">
        <v>225</v>
      </c>
      <c r="M727" s="2">
        <v>30.0</v>
      </c>
      <c r="N727" s="2">
        <v>7443.05</v>
      </c>
      <c r="O727" s="2" t="s">
        <v>52</v>
      </c>
      <c r="P727" s="2" t="s">
        <v>4629</v>
      </c>
      <c r="Q727" s="2" t="s">
        <v>4630</v>
      </c>
      <c r="T727" s="2" t="s">
        <v>1473</v>
      </c>
      <c r="U727" s="2" t="s">
        <v>33</v>
      </c>
    </row>
    <row r="728">
      <c r="A728" s="2">
        <v>727.0</v>
      </c>
      <c r="B728" s="2">
        <v>727.0</v>
      </c>
      <c r="C728" s="2">
        <v>727.0</v>
      </c>
      <c r="D728" s="3">
        <v>44198.0</v>
      </c>
      <c r="E728" s="2" t="s">
        <v>4631</v>
      </c>
      <c r="F728" s="2" t="s">
        <v>142</v>
      </c>
      <c r="G728" s="2">
        <v>772.25</v>
      </c>
      <c r="H728" s="2" t="s">
        <v>4632</v>
      </c>
      <c r="I728" s="2" t="s">
        <v>4633</v>
      </c>
      <c r="J728" s="2" t="s">
        <v>4634</v>
      </c>
      <c r="K728" s="2" t="s">
        <v>68</v>
      </c>
      <c r="L728" s="2">
        <v>606570.0</v>
      </c>
      <c r="M728" s="2">
        <v>79.0</v>
      </c>
      <c r="N728" s="2">
        <v>8864.78</v>
      </c>
      <c r="O728" s="2" t="s">
        <v>28</v>
      </c>
      <c r="P728" s="2" t="s">
        <v>3962</v>
      </c>
      <c r="Q728" s="2" t="s">
        <v>4635</v>
      </c>
      <c r="S728" s="2" t="s">
        <v>4636</v>
      </c>
      <c r="T728" s="2" t="s">
        <v>114</v>
      </c>
      <c r="U728" s="2" t="s">
        <v>33</v>
      </c>
    </row>
    <row r="729">
      <c r="A729" s="2">
        <v>728.0</v>
      </c>
      <c r="B729" s="2">
        <v>728.0</v>
      </c>
      <c r="C729" s="2">
        <v>728.0</v>
      </c>
      <c r="D729" s="3">
        <v>44073.0</v>
      </c>
      <c r="E729" s="2" t="s">
        <v>4637</v>
      </c>
      <c r="F729" s="2" t="s">
        <v>73</v>
      </c>
      <c r="G729" s="2">
        <v>506.07</v>
      </c>
      <c r="H729" s="2" t="s">
        <v>4638</v>
      </c>
      <c r="I729" s="2" t="s">
        <v>4639</v>
      </c>
      <c r="J729" s="2" t="s">
        <v>4640</v>
      </c>
      <c r="K729" s="2" t="s">
        <v>630</v>
      </c>
      <c r="L729" s="2">
        <v>1462.0</v>
      </c>
      <c r="M729" s="2">
        <v>41.0</v>
      </c>
      <c r="N729" s="2">
        <v>3614.19</v>
      </c>
      <c r="O729" s="2" t="s">
        <v>41</v>
      </c>
      <c r="P729" s="2" t="s">
        <v>3563</v>
      </c>
      <c r="Q729" s="2" t="s">
        <v>4641</v>
      </c>
      <c r="R729" s="2" t="s">
        <v>4642</v>
      </c>
      <c r="T729" s="2" t="s">
        <v>119</v>
      </c>
      <c r="U729" s="2" t="s">
        <v>46</v>
      </c>
    </row>
    <row r="730">
      <c r="A730" s="2">
        <v>729.0</v>
      </c>
      <c r="B730" s="2">
        <v>729.0</v>
      </c>
      <c r="C730" s="2">
        <v>729.0</v>
      </c>
      <c r="D730" s="3">
        <v>43992.0</v>
      </c>
      <c r="E730" s="2" t="s">
        <v>2805</v>
      </c>
      <c r="F730" s="2" t="s">
        <v>73</v>
      </c>
      <c r="G730" s="2">
        <v>251.31</v>
      </c>
      <c r="H730" s="2" t="s">
        <v>4643</v>
      </c>
      <c r="I730" s="2" t="s">
        <v>4644</v>
      </c>
      <c r="J730" s="2" t="s">
        <v>4645</v>
      </c>
      <c r="K730" s="2" t="s">
        <v>385</v>
      </c>
      <c r="L730" s="2">
        <v>7407.0</v>
      </c>
      <c r="M730" s="2">
        <v>40.0</v>
      </c>
      <c r="N730" s="2">
        <v>2220.69</v>
      </c>
      <c r="O730" s="2" t="s">
        <v>52</v>
      </c>
      <c r="P730" s="2" t="s">
        <v>4646</v>
      </c>
      <c r="Q730" s="2" t="s">
        <v>4647</v>
      </c>
      <c r="S730" s="2" t="s">
        <v>4648</v>
      </c>
      <c r="T730" s="2" t="s">
        <v>257</v>
      </c>
      <c r="U730" s="2" t="s">
        <v>46</v>
      </c>
    </row>
    <row r="731">
      <c r="A731" s="2">
        <v>730.0</v>
      </c>
      <c r="B731" s="2">
        <v>730.0</v>
      </c>
      <c r="C731" s="2">
        <v>730.0</v>
      </c>
      <c r="D731" s="3">
        <v>44425.0</v>
      </c>
      <c r="E731" s="2" t="s">
        <v>3107</v>
      </c>
      <c r="F731" s="2" t="s">
        <v>3108</v>
      </c>
      <c r="G731" s="2">
        <v>472.57</v>
      </c>
      <c r="H731" s="2" t="s">
        <v>4649</v>
      </c>
      <c r="I731" s="2" t="s">
        <v>4650</v>
      </c>
      <c r="J731" s="2" t="s">
        <v>4651</v>
      </c>
      <c r="K731" s="2" t="s">
        <v>119</v>
      </c>
      <c r="M731" s="2">
        <v>65.0</v>
      </c>
      <c r="N731" s="2">
        <v>1217.71</v>
      </c>
      <c r="O731" s="2" t="s">
        <v>52</v>
      </c>
      <c r="P731" s="2" t="s">
        <v>4652</v>
      </c>
      <c r="Q731" s="2" t="s">
        <v>4653</v>
      </c>
      <c r="T731" s="2" t="s">
        <v>1757</v>
      </c>
      <c r="U731" s="2" t="s">
        <v>33</v>
      </c>
    </row>
    <row r="732">
      <c r="A732" s="2">
        <v>731.0</v>
      </c>
      <c r="B732" s="2">
        <v>731.0</v>
      </c>
      <c r="C732" s="2">
        <v>731.0</v>
      </c>
      <c r="D732" s="3">
        <v>44487.0</v>
      </c>
      <c r="E732" s="2" t="s">
        <v>4654</v>
      </c>
      <c r="F732" s="2" t="s">
        <v>992</v>
      </c>
      <c r="G732" s="2">
        <v>76.16</v>
      </c>
      <c r="H732" s="2" t="s">
        <v>4655</v>
      </c>
      <c r="I732" s="2" t="s">
        <v>4656</v>
      </c>
      <c r="J732" s="2" t="s">
        <v>4657</v>
      </c>
      <c r="K732" s="2" t="s">
        <v>2963</v>
      </c>
      <c r="M732" s="2">
        <v>1.0</v>
      </c>
      <c r="N732" s="2">
        <v>4528.11</v>
      </c>
      <c r="O732" s="2" t="s">
        <v>41</v>
      </c>
      <c r="P732" s="2" t="s">
        <v>4658</v>
      </c>
      <c r="Q732" s="2" t="s">
        <v>4659</v>
      </c>
      <c r="T732" s="2" t="s">
        <v>119</v>
      </c>
      <c r="U732" s="2" t="s">
        <v>33</v>
      </c>
    </row>
    <row r="733">
      <c r="A733" s="2">
        <v>732.0</v>
      </c>
      <c r="B733" s="2">
        <v>732.0</v>
      </c>
      <c r="C733" s="2">
        <v>732.0</v>
      </c>
      <c r="D733" s="3">
        <v>44483.0</v>
      </c>
      <c r="E733" s="2" t="s">
        <v>4660</v>
      </c>
      <c r="F733" s="2" t="s">
        <v>951</v>
      </c>
      <c r="G733" s="2">
        <v>246.45</v>
      </c>
      <c r="H733" s="2" t="s">
        <v>3307</v>
      </c>
      <c r="I733" s="2" t="s">
        <v>4661</v>
      </c>
      <c r="J733" s="2" t="s">
        <v>4662</v>
      </c>
      <c r="K733" s="2" t="s">
        <v>529</v>
      </c>
      <c r="L733" s="2">
        <v>36200.0</v>
      </c>
      <c r="M733" s="2">
        <v>76.0</v>
      </c>
      <c r="N733" s="2">
        <v>8165.38</v>
      </c>
      <c r="O733" s="2" t="s">
        <v>41</v>
      </c>
      <c r="P733" s="2" t="s">
        <v>398</v>
      </c>
      <c r="Q733" s="2" t="s">
        <v>4663</v>
      </c>
      <c r="R733" s="2" t="s">
        <v>4664</v>
      </c>
      <c r="T733" s="2" t="s">
        <v>3263</v>
      </c>
      <c r="U733" s="2" t="s">
        <v>71</v>
      </c>
    </row>
    <row r="734">
      <c r="A734" s="2">
        <v>733.0</v>
      </c>
      <c r="B734" s="2">
        <v>733.0</v>
      </c>
      <c r="C734" s="2">
        <v>733.0</v>
      </c>
      <c r="D734" s="3">
        <v>44485.0</v>
      </c>
      <c r="E734" s="2" t="s">
        <v>4665</v>
      </c>
      <c r="F734" s="2" t="s">
        <v>198</v>
      </c>
      <c r="G734" s="2">
        <v>942.37</v>
      </c>
      <c r="H734" s="2" t="s">
        <v>4666</v>
      </c>
      <c r="I734" s="2" t="s">
        <v>4667</v>
      </c>
      <c r="J734" s="2" t="s">
        <v>4668</v>
      </c>
      <c r="K734" s="2" t="s">
        <v>32</v>
      </c>
      <c r="M734" s="2">
        <v>93.0</v>
      </c>
      <c r="N734" s="2">
        <v>4610.52</v>
      </c>
      <c r="O734" s="2" t="s">
        <v>28</v>
      </c>
      <c r="P734" s="2" t="s">
        <v>4669</v>
      </c>
      <c r="Q734" s="2" t="s">
        <v>4670</v>
      </c>
      <c r="S734" s="2" t="s">
        <v>4671</v>
      </c>
      <c r="T734" s="2" t="s">
        <v>257</v>
      </c>
      <c r="U734" s="2" t="s">
        <v>33</v>
      </c>
    </row>
    <row r="735">
      <c r="A735" s="2">
        <v>734.0</v>
      </c>
      <c r="B735" s="2">
        <v>734.0</v>
      </c>
      <c r="C735" s="2">
        <v>734.0</v>
      </c>
      <c r="D735" s="3">
        <v>44126.0</v>
      </c>
      <c r="E735" s="2" t="s">
        <v>4672</v>
      </c>
      <c r="F735" s="2" t="s">
        <v>237</v>
      </c>
      <c r="G735" s="2">
        <v>544.75</v>
      </c>
      <c r="H735" s="2" t="s">
        <v>4673</v>
      </c>
      <c r="I735" s="2" t="s">
        <v>4674</v>
      </c>
      <c r="J735" s="2" t="s">
        <v>4675</v>
      </c>
      <c r="K735" s="2" t="s">
        <v>26</v>
      </c>
      <c r="L735" s="2" t="s">
        <v>4676</v>
      </c>
      <c r="M735" s="2">
        <v>81.0</v>
      </c>
      <c r="N735" s="2">
        <v>5690.73</v>
      </c>
      <c r="O735" s="2" t="s">
        <v>52</v>
      </c>
      <c r="P735" s="2" t="s">
        <v>1335</v>
      </c>
      <c r="Q735" s="2" t="s">
        <v>4677</v>
      </c>
      <c r="R735" s="2" t="s">
        <v>433</v>
      </c>
      <c r="S735" s="2">
        <v>5039.0</v>
      </c>
      <c r="T735" s="2" t="s">
        <v>241</v>
      </c>
      <c r="U735" s="2" t="s">
        <v>46</v>
      </c>
    </row>
    <row r="736">
      <c r="A736" s="2">
        <v>735.0</v>
      </c>
      <c r="B736" s="2">
        <v>735.0</v>
      </c>
      <c r="C736" s="2">
        <v>735.0</v>
      </c>
      <c r="D736" s="3">
        <v>43970.0</v>
      </c>
      <c r="E736" s="2" t="s">
        <v>4678</v>
      </c>
      <c r="F736" s="2" t="s">
        <v>142</v>
      </c>
      <c r="G736" s="2">
        <v>392.13</v>
      </c>
      <c r="H736" s="2" t="s">
        <v>4679</v>
      </c>
      <c r="I736" s="2" t="s">
        <v>4680</v>
      </c>
      <c r="J736" s="2" t="s">
        <v>4681</v>
      </c>
      <c r="K736" s="2" t="s">
        <v>249</v>
      </c>
      <c r="M736" s="2">
        <v>51.0</v>
      </c>
      <c r="N736" s="2">
        <v>3449.62</v>
      </c>
      <c r="O736" s="2" t="s">
        <v>41</v>
      </c>
      <c r="P736" s="2" t="s">
        <v>355</v>
      </c>
      <c r="Q736" s="2" t="s">
        <v>4682</v>
      </c>
      <c r="S736" s="2" t="s">
        <v>4683</v>
      </c>
      <c r="T736" s="2" t="s">
        <v>39</v>
      </c>
      <c r="U736" s="2" t="s">
        <v>33</v>
      </c>
    </row>
    <row r="737">
      <c r="A737" s="2">
        <v>736.0</v>
      </c>
      <c r="B737" s="2">
        <v>736.0</v>
      </c>
      <c r="C737" s="2">
        <v>736.0</v>
      </c>
      <c r="D737" s="3">
        <v>44322.0</v>
      </c>
      <c r="E737" s="2" t="s">
        <v>4684</v>
      </c>
      <c r="F737" s="2" t="s">
        <v>35</v>
      </c>
      <c r="G737" s="2">
        <v>790.67</v>
      </c>
      <c r="H737" s="2" t="s">
        <v>4685</v>
      </c>
      <c r="I737" s="2" t="s">
        <v>4686</v>
      </c>
      <c r="J737" s="2" t="s">
        <v>4687</v>
      </c>
      <c r="K737" s="2" t="s">
        <v>77</v>
      </c>
      <c r="M737" s="2">
        <v>84.0</v>
      </c>
      <c r="N737" s="2">
        <v>2747.38</v>
      </c>
      <c r="O737" s="2" t="s">
        <v>28</v>
      </c>
      <c r="P737" s="2" t="s">
        <v>4688</v>
      </c>
      <c r="Q737" s="2" t="s">
        <v>4689</v>
      </c>
      <c r="S737" s="2">
        <v>12169.0</v>
      </c>
      <c r="T737" s="2" t="s">
        <v>630</v>
      </c>
      <c r="U737" s="2" t="s">
        <v>33</v>
      </c>
    </row>
    <row r="738">
      <c r="A738" s="2">
        <v>737.0</v>
      </c>
      <c r="B738" s="2">
        <v>737.0</v>
      </c>
      <c r="C738" s="2">
        <v>737.0</v>
      </c>
      <c r="D738" s="3">
        <v>44497.0</v>
      </c>
      <c r="E738" s="2" t="s">
        <v>4690</v>
      </c>
      <c r="F738" s="2" t="s">
        <v>237</v>
      </c>
      <c r="G738" s="2">
        <v>144.28</v>
      </c>
      <c r="H738" s="2" t="s">
        <v>4691</v>
      </c>
      <c r="I738" s="2" t="s">
        <v>4692</v>
      </c>
      <c r="J738" s="2" t="s">
        <v>4693</v>
      </c>
      <c r="K738" s="2" t="s">
        <v>1190</v>
      </c>
      <c r="M738" s="2">
        <v>1.0</v>
      </c>
      <c r="N738" s="2">
        <v>8609.99</v>
      </c>
      <c r="O738" s="2" t="s">
        <v>41</v>
      </c>
      <c r="P738" s="2" t="s">
        <v>1802</v>
      </c>
      <c r="Q738" s="2" t="s">
        <v>4694</v>
      </c>
      <c r="S738" s="2" t="s">
        <v>4695</v>
      </c>
      <c r="T738" s="2" t="s">
        <v>106</v>
      </c>
      <c r="U738" s="2" t="s">
        <v>46</v>
      </c>
    </row>
    <row r="739">
      <c r="A739" s="2">
        <v>738.0</v>
      </c>
      <c r="B739" s="2">
        <v>738.0</v>
      </c>
      <c r="C739" s="2">
        <v>738.0</v>
      </c>
      <c r="D739" s="3">
        <v>43838.0</v>
      </c>
      <c r="E739" s="2" t="s">
        <v>4696</v>
      </c>
      <c r="F739" s="2" t="s">
        <v>142</v>
      </c>
      <c r="G739" s="2">
        <v>488.17</v>
      </c>
      <c r="H739" s="2" t="s">
        <v>4697</v>
      </c>
      <c r="I739" s="2" t="s">
        <v>4698</v>
      </c>
      <c r="J739" s="2" t="s">
        <v>4699</v>
      </c>
      <c r="K739" s="2" t="s">
        <v>101</v>
      </c>
      <c r="L739" s="2">
        <v>55417.0</v>
      </c>
      <c r="M739" s="2">
        <v>89.0</v>
      </c>
      <c r="N739" s="2">
        <v>51.42</v>
      </c>
      <c r="O739" s="2" t="s">
        <v>52</v>
      </c>
      <c r="P739" s="2" t="s">
        <v>4700</v>
      </c>
      <c r="Q739" s="2" t="s">
        <v>4701</v>
      </c>
      <c r="R739" s="2" t="s">
        <v>338</v>
      </c>
      <c r="S739" s="2">
        <v>423524.0</v>
      </c>
      <c r="T739" s="2" t="s">
        <v>68</v>
      </c>
      <c r="U739" s="2" t="s">
        <v>33</v>
      </c>
    </row>
    <row r="740">
      <c r="A740" s="2">
        <v>739.0</v>
      </c>
      <c r="B740" s="2">
        <v>739.0</v>
      </c>
      <c r="C740" s="2">
        <v>739.0</v>
      </c>
      <c r="D740" s="3">
        <v>43841.0</v>
      </c>
      <c r="E740" s="2" t="s">
        <v>364</v>
      </c>
      <c r="F740" s="2" t="s">
        <v>73</v>
      </c>
      <c r="G740" s="2">
        <v>465.91</v>
      </c>
      <c r="H740" s="2" t="s">
        <v>2756</v>
      </c>
      <c r="I740" s="2" t="s">
        <v>4702</v>
      </c>
      <c r="J740" s="2" t="s">
        <v>4703</v>
      </c>
      <c r="K740" s="2" t="s">
        <v>32</v>
      </c>
      <c r="M740" s="2">
        <v>33.0</v>
      </c>
      <c r="N740" s="2">
        <v>3432.5</v>
      </c>
      <c r="O740" s="2" t="s">
        <v>41</v>
      </c>
      <c r="P740" s="2" t="s">
        <v>4704</v>
      </c>
      <c r="Q740" s="2" t="s">
        <v>4705</v>
      </c>
      <c r="S740" s="2" t="s">
        <v>4706</v>
      </c>
      <c r="T740" s="2" t="s">
        <v>106</v>
      </c>
      <c r="U740" s="2" t="s">
        <v>46</v>
      </c>
    </row>
    <row r="741">
      <c r="A741" s="2">
        <v>740.0</v>
      </c>
      <c r="B741" s="2">
        <v>740.0</v>
      </c>
      <c r="C741" s="2">
        <v>740.0</v>
      </c>
      <c r="D741" s="3">
        <v>44301.0</v>
      </c>
      <c r="E741" s="2" t="s">
        <v>1749</v>
      </c>
      <c r="F741" s="2" t="s">
        <v>73</v>
      </c>
      <c r="G741" s="2">
        <v>786.89</v>
      </c>
      <c r="H741" s="2" t="s">
        <v>4707</v>
      </c>
      <c r="I741" s="2" t="s">
        <v>4708</v>
      </c>
      <c r="J741" s="2" t="s">
        <v>4709</v>
      </c>
      <c r="K741" s="2" t="s">
        <v>2684</v>
      </c>
      <c r="M741" s="2">
        <v>25.0</v>
      </c>
      <c r="N741" s="2">
        <v>7873.34</v>
      </c>
      <c r="O741" s="2" t="s">
        <v>52</v>
      </c>
      <c r="P741" s="2" t="s">
        <v>4710</v>
      </c>
      <c r="Q741" s="2" t="s">
        <v>4711</v>
      </c>
      <c r="T741" s="2" t="s">
        <v>225</v>
      </c>
      <c r="U741" s="2" t="s">
        <v>71</v>
      </c>
    </row>
    <row r="742">
      <c r="A742" s="2">
        <v>741.0</v>
      </c>
      <c r="B742" s="2">
        <v>741.0</v>
      </c>
      <c r="C742" s="2">
        <v>741.0</v>
      </c>
      <c r="D742" s="3">
        <v>44257.0</v>
      </c>
      <c r="E742" s="2" t="s">
        <v>4712</v>
      </c>
      <c r="F742" s="2" t="s">
        <v>480</v>
      </c>
      <c r="G742" s="2">
        <v>188.48</v>
      </c>
      <c r="H742" s="2" t="s">
        <v>2536</v>
      </c>
      <c r="I742" s="2" t="s">
        <v>4713</v>
      </c>
      <c r="J742" s="2" t="s">
        <v>4714</v>
      </c>
      <c r="K742" s="2" t="s">
        <v>68</v>
      </c>
      <c r="L742" s="2">
        <v>102745.0</v>
      </c>
      <c r="M742" s="2">
        <v>98.0</v>
      </c>
      <c r="N742" s="2">
        <v>4350.84</v>
      </c>
      <c r="O742" s="2" t="s">
        <v>52</v>
      </c>
      <c r="P742" s="2" t="s">
        <v>4715</v>
      </c>
      <c r="Q742" s="2" t="s">
        <v>4716</v>
      </c>
      <c r="S742" s="2">
        <v>8000.0</v>
      </c>
      <c r="T742" s="2" t="s">
        <v>178</v>
      </c>
      <c r="U742" s="2" t="s">
        <v>46</v>
      </c>
    </row>
    <row r="743">
      <c r="A743" s="2">
        <v>742.0</v>
      </c>
      <c r="B743" s="2">
        <v>742.0</v>
      </c>
      <c r="C743" s="2">
        <v>742.0</v>
      </c>
      <c r="D743" s="3">
        <v>44392.0</v>
      </c>
      <c r="E743" s="2" t="s">
        <v>4717</v>
      </c>
      <c r="F743" s="2" t="s">
        <v>237</v>
      </c>
      <c r="G743" s="2">
        <v>339.64</v>
      </c>
      <c r="H743" s="2" t="s">
        <v>4718</v>
      </c>
      <c r="I743" s="2" t="s">
        <v>4719</v>
      </c>
      <c r="J743" s="2" t="s">
        <v>4720</v>
      </c>
      <c r="K743" s="2" t="s">
        <v>585</v>
      </c>
      <c r="M743" s="2">
        <v>12.0</v>
      </c>
      <c r="N743" s="2">
        <v>1238.99</v>
      </c>
      <c r="O743" s="2" t="s">
        <v>41</v>
      </c>
      <c r="P743" s="2" t="s">
        <v>469</v>
      </c>
      <c r="Q743" s="2" t="s">
        <v>4721</v>
      </c>
      <c r="S743" s="2">
        <v>5616.0</v>
      </c>
      <c r="T743" s="2" t="s">
        <v>241</v>
      </c>
      <c r="U743" s="2" t="s">
        <v>71</v>
      </c>
    </row>
    <row r="744">
      <c r="A744" s="2">
        <v>743.0</v>
      </c>
      <c r="B744" s="2">
        <v>743.0</v>
      </c>
      <c r="C744" s="2">
        <v>743.0</v>
      </c>
      <c r="D744" s="3">
        <v>44422.0</v>
      </c>
      <c r="E744" s="2" t="s">
        <v>4722</v>
      </c>
      <c r="F744" s="2" t="s">
        <v>4723</v>
      </c>
      <c r="G744" s="2">
        <v>957.56</v>
      </c>
      <c r="H744" s="2" t="s">
        <v>4724</v>
      </c>
      <c r="I744" s="2" t="s">
        <v>4725</v>
      </c>
      <c r="J744" s="2" t="s">
        <v>4726</v>
      </c>
      <c r="K744" s="2" t="s">
        <v>39</v>
      </c>
      <c r="L744" s="2" t="s">
        <v>4727</v>
      </c>
      <c r="M744" s="2">
        <v>34.0</v>
      </c>
      <c r="N744" s="2">
        <v>7377.44</v>
      </c>
      <c r="O744" s="2" t="s">
        <v>41</v>
      </c>
      <c r="P744" s="2" t="s">
        <v>4728</v>
      </c>
      <c r="Q744" s="2" t="s">
        <v>4729</v>
      </c>
      <c r="R744" s="2" t="s">
        <v>44</v>
      </c>
      <c r="T744" s="2" t="s">
        <v>119</v>
      </c>
      <c r="U744" s="2" t="s">
        <v>46</v>
      </c>
    </row>
    <row r="745">
      <c r="A745" s="2">
        <v>744.0</v>
      </c>
      <c r="B745" s="2">
        <v>744.0</v>
      </c>
      <c r="C745" s="2">
        <v>744.0</v>
      </c>
      <c r="D745" s="3">
        <v>44489.0</v>
      </c>
      <c r="E745" s="2" t="s">
        <v>4730</v>
      </c>
      <c r="F745" s="2" t="s">
        <v>97</v>
      </c>
      <c r="G745" s="2">
        <v>800.99</v>
      </c>
      <c r="H745" s="2" t="s">
        <v>4731</v>
      </c>
      <c r="I745" s="2" t="s">
        <v>4732</v>
      </c>
      <c r="J745" s="2" t="s">
        <v>4733</v>
      </c>
      <c r="K745" s="2" t="s">
        <v>26</v>
      </c>
      <c r="L745" s="2" t="s">
        <v>4734</v>
      </c>
      <c r="M745" s="2">
        <v>19.0</v>
      </c>
      <c r="N745" s="2">
        <v>6417.68</v>
      </c>
      <c r="O745" s="2" t="s">
        <v>52</v>
      </c>
      <c r="P745" s="2" t="s">
        <v>4735</v>
      </c>
      <c r="Q745" s="2" t="s">
        <v>4736</v>
      </c>
      <c r="R745" s="2" t="s">
        <v>682</v>
      </c>
      <c r="T745" s="2" t="s">
        <v>119</v>
      </c>
      <c r="U745" s="2" t="s">
        <v>71</v>
      </c>
    </row>
    <row r="746">
      <c r="A746" s="2">
        <v>745.0</v>
      </c>
      <c r="B746" s="2">
        <v>745.0</v>
      </c>
      <c r="C746" s="2">
        <v>745.0</v>
      </c>
      <c r="D746" s="3">
        <v>44040.0</v>
      </c>
      <c r="E746" s="2" t="s">
        <v>4737</v>
      </c>
      <c r="F746" s="2" t="s">
        <v>567</v>
      </c>
      <c r="G746" s="2">
        <v>466.53</v>
      </c>
      <c r="H746" s="2" t="s">
        <v>4738</v>
      </c>
      <c r="I746" s="2" t="s">
        <v>4739</v>
      </c>
      <c r="J746" s="2" t="s">
        <v>4740</v>
      </c>
      <c r="K746" s="2" t="s">
        <v>627</v>
      </c>
      <c r="L746" s="2">
        <v>14120.0</v>
      </c>
      <c r="M746" s="2">
        <v>28.0</v>
      </c>
      <c r="N746" s="2">
        <v>9964.39</v>
      </c>
      <c r="O746" s="2" t="s">
        <v>41</v>
      </c>
      <c r="P746" s="2" t="s">
        <v>293</v>
      </c>
      <c r="Q746" s="2" t="s">
        <v>4741</v>
      </c>
      <c r="T746" s="2" t="s">
        <v>1180</v>
      </c>
      <c r="U746" s="2" t="s">
        <v>46</v>
      </c>
    </row>
    <row r="747">
      <c r="A747" s="2">
        <v>746.0</v>
      </c>
      <c r="B747" s="2">
        <v>746.0</v>
      </c>
      <c r="C747" s="2">
        <v>746.0</v>
      </c>
      <c r="D747" s="3">
        <v>44157.0</v>
      </c>
      <c r="E747" s="2" t="s">
        <v>1936</v>
      </c>
      <c r="F747" s="2" t="s">
        <v>738</v>
      </c>
      <c r="G747" s="2">
        <v>193.18</v>
      </c>
      <c r="H747" s="2" t="s">
        <v>4742</v>
      </c>
      <c r="I747" s="2" t="s">
        <v>4743</v>
      </c>
      <c r="J747" s="2" t="s">
        <v>4744</v>
      </c>
      <c r="K747" s="2" t="s">
        <v>228</v>
      </c>
      <c r="M747" s="2">
        <v>2.0</v>
      </c>
      <c r="N747" s="2">
        <v>852.72</v>
      </c>
      <c r="O747" s="2" t="s">
        <v>52</v>
      </c>
      <c r="P747" s="2" t="s">
        <v>939</v>
      </c>
      <c r="Q747" s="2" t="s">
        <v>4745</v>
      </c>
      <c r="T747" s="2" t="s">
        <v>32</v>
      </c>
      <c r="U747" s="2" t="s">
        <v>46</v>
      </c>
    </row>
    <row r="748">
      <c r="A748" s="2">
        <v>747.0</v>
      </c>
      <c r="B748" s="2">
        <v>747.0</v>
      </c>
      <c r="C748" s="2">
        <v>747.0</v>
      </c>
      <c r="D748" s="3">
        <v>44341.0</v>
      </c>
      <c r="E748" s="2" t="s">
        <v>3472</v>
      </c>
      <c r="F748" s="2" t="s">
        <v>1084</v>
      </c>
      <c r="G748" s="2">
        <v>72.59</v>
      </c>
      <c r="H748" s="2" t="s">
        <v>4746</v>
      </c>
      <c r="I748" s="2" t="s">
        <v>4747</v>
      </c>
      <c r="J748" s="2" t="s">
        <v>4748</v>
      </c>
      <c r="K748" s="2" t="s">
        <v>32</v>
      </c>
      <c r="M748" s="2">
        <v>23.0</v>
      </c>
      <c r="N748" s="2">
        <v>9407.93</v>
      </c>
      <c r="O748" s="2" t="s">
        <v>52</v>
      </c>
      <c r="P748" s="2" t="s">
        <v>4749</v>
      </c>
      <c r="Q748" s="2" t="s">
        <v>4750</v>
      </c>
      <c r="S748" s="2">
        <v>353769.0</v>
      </c>
      <c r="T748" s="2" t="s">
        <v>68</v>
      </c>
      <c r="U748" s="2" t="s">
        <v>46</v>
      </c>
    </row>
    <row r="749">
      <c r="A749" s="2">
        <v>748.0</v>
      </c>
      <c r="B749" s="2">
        <v>748.0</v>
      </c>
      <c r="C749" s="2">
        <v>748.0</v>
      </c>
      <c r="D749" s="3">
        <v>44485.0</v>
      </c>
      <c r="E749" s="2" t="s">
        <v>1535</v>
      </c>
      <c r="F749" s="2" t="s">
        <v>1536</v>
      </c>
      <c r="G749" s="2">
        <v>175.32</v>
      </c>
      <c r="H749" s="2" t="s">
        <v>4751</v>
      </c>
      <c r="I749" s="2" t="s">
        <v>4752</v>
      </c>
      <c r="J749" s="2" t="s">
        <v>4753</v>
      </c>
      <c r="K749" s="2" t="s">
        <v>32</v>
      </c>
      <c r="M749" s="2">
        <v>59.0</v>
      </c>
      <c r="N749" s="2">
        <v>681.36</v>
      </c>
      <c r="O749" s="2" t="s">
        <v>52</v>
      </c>
      <c r="P749" s="2" t="s">
        <v>4754</v>
      </c>
      <c r="Q749" s="2" t="s">
        <v>4755</v>
      </c>
      <c r="S749" s="2" t="s">
        <v>4756</v>
      </c>
      <c r="T749" s="2" t="s">
        <v>39</v>
      </c>
      <c r="U749" s="2" t="s">
        <v>33</v>
      </c>
    </row>
    <row r="750">
      <c r="A750" s="2">
        <v>749.0</v>
      </c>
      <c r="B750" s="2">
        <v>749.0</v>
      </c>
      <c r="C750" s="2">
        <v>749.0</v>
      </c>
      <c r="D750" s="3">
        <v>43880.0</v>
      </c>
      <c r="E750" s="2" t="s">
        <v>317</v>
      </c>
      <c r="F750" s="2" t="s">
        <v>310</v>
      </c>
      <c r="G750" s="2">
        <v>648.39</v>
      </c>
      <c r="H750" s="2" t="s">
        <v>4757</v>
      </c>
      <c r="I750" s="2" t="s">
        <v>4758</v>
      </c>
      <c r="J750" s="2" t="s">
        <v>4759</v>
      </c>
      <c r="K750" s="2" t="s">
        <v>276</v>
      </c>
      <c r="M750" s="2">
        <v>38.0</v>
      </c>
      <c r="N750" s="2">
        <v>6862.19</v>
      </c>
      <c r="O750" s="2" t="s">
        <v>41</v>
      </c>
      <c r="P750" s="2" t="s">
        <v>4760</v>
      </c>
      <c r="Q750" s="2" t="s">
        <v>4761</v>
      </c>
      <c r="T750" s="2" t="s">
        <v>1008</v>
      </c>
      <c r="U750" s="2" t="s">
        <v>33</v>
      </c>
    </row>
    <row r="751">
      <c r="A751" s="2">
        <v>750.0</v>
      </c>
      <c r="B751" s="2">
        <v>750.0</v>
      </c>
      <c r="C751" s="2">
        <v>750.0</v>
      </c>
      <c r="D751" s="3">
        <v>44180.0</v>
      </c>
      <c r="E751" s="2" t="s">
        <v>4762</v>
      </c>
      <c r="F751" s="2" t="s">
        <v>35</v>
      </c>
      <c r="G751" s="2">
        <v>195.6</v>
      </c>
      <c r="H751" s="2" t="s">
        <v>4763</v>
      </c>
      <c r="I751" s="2" t="s">
        <v>4764</v>
      </c>
      <c r="J751" s="2" t="s">
        <v>4765</v>
      </c>
      <c r="K751" s="2" t="s">
        <v>163</v>
      </c>
      <c r="L751" s="2" t="s">
        <v>4766</v>
      </c>
      <c r="M751" s="2">
        <v>58.0</v>
      </c>
      <c r="N751" s="2">
        <v>6015.59</v>
      </c>
      <c r="O751" s="2" t="s">
        <v>41</v>
      </c>
      <c r="P751" s="2" t="s">
        <v>4767</v>
      </c>
      <c r="Q751" s="2" t="s">
        <v>4768</v>
      </c>
      <c r="S751" s="2">
        <v>6330.0</v>
      </c>
      <c r="T751" s="2" t="s">
        <v>178</v>
      </c>
      <c r="U751" s="2" t="s">
        <v>46</v>
      </c>
    </row>
    <row r="752">
      <c r="A752" s="2">
        <v>751.0</v>
      </c>
      <c r="B752" s="2">
        <v>751.0</v>
      </c>
      <c r="C752" s="2">
        <v>751.0</v>
      </c>
      <c r="D752" s="3">
        <v>44369.0</v>
      </c>
      <c r="E752" s="2" t="s">
        <v>4769</v>
      </c>
      <c r="F752" s="2" t="s">
        <v>1671</v>
      </c>
      <c r="G752" s="2">
        <v>987.38</v>
      </c>
      <c r="H752" s="2" t="s">
        <v>4770</v>
      </c>
      <c r="I752" s="2" t="s">
        <v>4771</v>
      </c>
      <c r="J752" s="2" t="s">
        <v>4772</v>
      </c>
      <c r="K752" s="2" t="s">
        <v>627</v>
      </c>
      <c r="L752" s="2">
        <v>84150.0</v>
      </c>
      <c r="M752" s="2">
        <v>95.0</v>
      </c>
      <c r="N752" s="2">
        <v>3295.14</v>
      </c>
      <c r="O752" s="2" t="s">
        <v>28</v>
      </c>
      <c r="P752" s="2" t="s">
        <v>4773</v>
      </c>
      <c r="Q752" s="2" t="s">
        <v>4774</v>
      </c>
      <c r="S752" s="2" t="s">
        <v>4775</v>
      </c>
      <c r="T752" s="2" t="s">
        <v>127</v>
      </c>
      <c r="U752" s="2" t="s">
        <v>71</v>
      </c>
    </row>
    <row r="753">
      <c r="A753" s="2">
        <v>752.0</v>
      </c>
      <c r="B753" s="2">
        <v>752.0</v>
      </c>
      <c r="C753" s="2">
        <v>752.0</v>
      </c>
      <c r="D753" s="3">
        <v>44070.0</v>
      </c>
      <c r="E753" s="2" t="s">
        <v>4776</v>
      </c>
      <c r="F753" s="2" t="s">
        <v>191</v>
      </c>
      <c r="G753" s="2">
        <v>467.71</v>
      </c>
      <c r="H753" s="2" t="s">
        <v>4051</v>
      </c>
      <c r="I753" s="2" t="s">
        <v>4777</v>
      </c>
      <c r="J753" s="2" t="s">
        <v>4778</v>
      </c>
      <c r="K753" s="2" t="s">
        <v>26</v>
      </c>
      <c r="L753" s="2" t="s">
        <v>4779</v>
      </c>
      <c r="M753" s="2">
        <v>17.0</v>
      </c>
      <c r="N753" s="2">
        <v>1715.95</v>
      </c>
      <c r="O753" s="2" t="s">
        <v>52</v>
      </c>
      <c r="P753" s="2" t="s">
        <v>594</v>
      </c>
      <c r="Q753" s="2" t="s">
        <v>4780</v>
      </c>
      <c r="R753" s="2" t="s">
        <v>1756</v>
      </c>
      <c r="T753" s="2" t="s">
        <v>119</v>
      </c>
      <c r="U753" s="2" t="s">
        <v>46</v>
      </c>
    </row>
    <row r="754">
      <c r="A754" s="2">
        <v>753.0</v>
      </c>
      <c r="B754" s="2">
        <v>753.0</v>
      </c>
      <c r="C754" s="2">
        <v>753.0</v>
      </c>
      <c r="D754" s="3">
        <v>44059.0</v>
      </c>
      <c r="E754" s="2" t="s">
        <v>4781</v>
      </c>
      <c r="F754" s="2" t="s">
        <v>639</v>
      </c>
      <c r="G754" s="2">
        <v>964.12</v>
      </c>
      <c r="H754" s="2" t="s">
        <v>4782</v>
      </c>
      <c r="I754" s="2" t="s">
        <v>4783</v>
      </c>
      <c r="J754" s="2" t="s">
        <v>4784</v>
      </c>
      <c r="K754" s="2" t="s">
        <v>119</v>
      </c>
      <c r="M754" s="2">
        <v>99.0</v>
      </c>
      <c r="N754" s="2">
        <v>3676.36</v>
      </c>
      <c r="O754" s="2" t="s">
        <v>28</v>
      </c>
      <c r="P754" s="2" t="s">
        <v>4785</v>
      </c>
      <c r="Q754" s="2" t="s">
        <v>4786</v>
      </c>
      <c r="S754" s="2">
        <v>2250.0</v>
      </c>
      <c r="T754" s="2" t="s">
        <v>460</v>
      </c>
      <c r="U754" s="2" t="s">
        <v>33</v>
      </c>
    </row>
    <row r="755">
      <c r="A755" s="2">
        <v>754.0</v>
      </c>
      <c r="B755" s="2">
        <v>754.0</v>
      </c>
      <c r="C755" s="2">
        <v>754.0</v>
      </c>
      <c r="D755" s="3">
        <v>44356.0</v>
      </c>
      <c r="E755" s="2" t="s">
        <v>4787</v>
      </c>
      <c r="F755" s="2" t="s">
        <v>213</v>
      </c>
      <c r="G755" s="2">
        <v>944.94</v>
      </c>
      <c r="H755" s="2" t="s">
        <v>4788</v>
      </c>
      <c r="I755" s="2" t="s">
        <v>4789</v>
      </c>
      <c r="J755" s="2" t="s">
        <v>4790</v>
      </c>
      <c r="K755" s="2" t="s">
        <v>32</v>
      </c>
      <c r="M755" s="2">
        <v>95.0</v>
      </c>
      <c r="N755" s="2">
        <v>5745.78</v>
      </c>
      <c r="O755" s="2" t="s">
        <v>41</v>
      </c>
      <c r="P755" s="2" t="s">
        <v>939</v>
      </c>
      <c r="Q755" s="2" t="s">
        <v>4791</v>
      </c>
      <c r="S755" s="2">
        <v>67140.0</v>
      </c>
      <c r="T755" s="2" t="s">
        <v>627</v>
      </c>
      <c r="U755" s="2" t="s">
        <v>71</v>
      </c>
    </row>
    <row r="756">
      <c r="A756" s="2">
        <v>755.0</v>
      </c>
      <c r="B756" s="2">
        <v>755.0</v>
      </c>
      <c r="C756" s="2">
        <v>755.0</v>
      </c>
      <c r="D756" s="3">
        <v>44167.0</v>
      </c>
      <c r="E756" s="2" t="s">
        <v>3276</v>
      </c>
      <c r="F756" s="2" t="s">
        <v>413</v>
      </c>
      <c r="G756" s="2">
        <v>241.26</v>
      </c>
      <c r="H756" s="2" t="s">
        <v>4792</v>
      </c>
      <c r="I756" s="2" t="s">
        <v>4793</v>
      </c>
      <c r="J756" s="2" t="s">
        <v>4794</v>
      </c>
      <c r="K756" s="2" t="s">
        <v>241</v>
      </c>
      <c r="L756" s="2">
        <v>7030.0</v>
      </c>
      <c r="M756" s="2">
        <v>12.0</v>
      </c>
      <c r="N756" s="2">
        <v>6353.37</v>
      </c>
      <c r="O756" s="2" t="s">
        <v>41</v>
      </c>
      <c r="P756" s="2" t="s">
        <v>3928</v>
      </c>
      <c r="Q756" s="2" t="s">
        <v>4795</v>
      </c>
      <c r="T756" s="2" t="s">
        <v>119</v>
      </c>
      <c r="U756" s="2" t="s">
        <v>46</v>
      </c>
    </row>
    <row r="757">
      <c r="A757" s="2">
        <v>756.0</v>
      </c>
      <c r="B757" s="2">
        <v>756.0</v>
      </c>
      <c r="C757" s="2">
        <v>756.0</v>
      </c>
      <c r="D757" s="3">
        <v>44378.0</v>
      </c>
      <c r="E757" s="2" t="s">
        <v>4796</v>
      </c>
      <c r="F757" s="2" t="s">
        <v>142</v>
      </c>
      <c r="G757" s="2">
        <v>75.76</v>
      </c>
      <c r="H757" s="2" t="s">
        <v>4797</v>
      </c>
      <c r="I757" s="2" t="s">
        <v>4798</v>
      </c>
      <c r="J757" s="2" t="s">
        <v>4799</v>
      </c>
      <c r="K757" s="2" t="s">
        <v>529</v>
      </c>
      <c r="L757" s="2">
        <v>88930.0</v>
      </c>
      <c r="M757" s="2">
        <v>78.0</v>
      </c>
      <c r="N757" s="2">
        <v>16.78</v>
      </c>
      <c r="O757" s="2" t="s">
        <v>28</v>
      </c>
      <c r="P757" s="2" t="s">
        <v>4800</v>
      </c>
      <c r="Q757" s="2" t="s">
        <v>4801</v>
      </c>
      <c r="R757" s="2" t="s">
        <v>948</v>
      </c>
      <c r="S757" s="2">
        <v>6700.0</v>
      </c>
      <c r="T757" s="2" t="s">
        <v>241</v>
      </c>
      <c r="U757" s="2" t="s">
        <v>33</v>
      </c>
    </row>
    <row r="758">
      <c r="A758" s="2">
        <v>757.0</v>
      </c>
      <c r="B758" s="2">
        <v>757.0</v>
      </c>
      <c r="C758" s="2">
        <v>757.0</v>
      </c>
      <c r="D758" s="3">
        <v>44289.0</v>
      </c>
      <c r="E758" s="2" t="s">
        <v>4802</v>
      </c>
      <c r="F758" s="2" t="s">
        <v>64</v>
      </c>
      <c r="G758" s="2">
        <v>141.72</v>
      </c>
      <c r="H758" s="2" t="s">
        <v>4803</v>
      </c>
      <c r="I758" s="2" t="s">
        <v>4804</v>
      </c>
      <c r="J758" s="2" t="s">
        <v>4805</v>
      </c>
      <c r="K758" s="2" t="s">
        <v>882</v>
      </c>
      <c r="L758" s="2">
        <v>50201.0</v>
      </c>
      <c r="M758" s="2">
        <v>70.0</v>
      </c>
      <c r="N758" s="2">
        <v>7517.01</v>
      </c>
      <c r="O758" s="2" t="s">
        <v>52</v>
      </c>
      <c r="P758" s="2" t="s">
        <v>4806</v>
      </c>
      <c r="Q758" s="2" t="s">
        <v>4807</v>
      </c>
      <c r="S758" s="2" t="s">
        <v>4808</v>
      </c>
      <c r="T758" s="2" t="s">
        <v>163</v>
      </c>
      <c r="U758" s="2" t="s">
        <v>33</v>
      </c>
    </row>
    <row r="759">
      <c r="A759" s="2">
        <v>758.0</v>
      </c>
      <c r="B759" s="2">
        <v>758.0</v>
      </c>
      <c r="C759" s="2">
        <v>758.0</v>
      </c>
      <c r="D759" s="3">
        <v>44232.0</v>
      </c>
      <c r="E759" s="2" t="s">
        <v>4809</v>
      </c>
      <c r="F759" s="2" t="s">
        <v>2225</v>
      </c>
      <c r="G759" s="2">
        <v>715.47</v>
      </c>
      <c r="H759" s="2" t="s">
        <v>4810</v>
      </c>
      <c r="I759" s="2" t="s">
        <v>4811</v>
      </c>
      <c r="J759" s="2" t="s">
        <v>4812</v>
      </c>
      <c r="K759" s="2" t="s">
        <v>241</v>
      </c>
      <c r="L759" s="2">
        <v>9505.0</v>
      </c>
      <c r="M759" s="2">
        <v>52.0</v>
      </c>
      <c r="N759" s="2">
        <v>2520.92</v>
      </c>
      <c r="O759" s="2" t="s">
        <v>28</v>
      </c>
      <c r="P759" s="2" t="s">
        <v>4813</v>
      </c>
      <c r="Q759" s="2" t="s">
        <v>4814</v>
      </c>
      <c r="S759" s="2" t="s">
        <v>4815</v>
      </c>
      <c r="T759" s="2" t="s">
        <v>257</v>
      </c>
      <c r="U759" s="2" t="s">
        <v>46</v>
      </c>
    </row>
    <row r="760">
      <c r="A760" s="2">
        <v>759.0</v>
      </c>
      <c r="B760" s="2">
        <v>759.0</v>
      </c>
      <c r="C760" s="2">
        <v>759.0</v>
      </c>
      <c r="D760" s="3">
        <v>44284.0</v>
      </c>
      <c r="E760" s="2" t="s">
        <v>4816</v>
      </c>
      <c r="F760" s="2" t="s">
        <v>97</v>
      </c>
      <c r="G760" s="2">
        <v>81.78</v>
      </c>
      <c r="H760" s="2" t="s">
        <v>4817</v>
      </c>
      <c r="I760" s="2" t="s">
        <v>4818</v>
      </c>
      <c r="J760" s="2" t="s">
        <v>4819</v>
      </c>
      <c r="K760" s="2" t="s">
        <v>32</v>
      </c>
      <c r="M760" s="2">
        <v>99.0</v>
      </c>
      <c r="N760" s="2">
        <v>5053.15</v>
      </c>
      <c r="O760" s="2" t="s">
        <v>52</v>
      </c>
      <c r="P760" s="2" t="s">
        <v>2221</v>
      </c>
      <c r="Q760" s="2" t="s">
        <v>4820</v>
      </c>
      <c r="S760" s="2" t="s">
        <v>4821</v>
      </c>
      <c r="T760" s="2" t="s">
        <v>163</v>
      </c>
      <c r="U760" s="2" t="s">
        <v>71</v>
      </c>
    </row>
    <row r="761">
      <c r="A761" s="2">
        <v>760.0</v>
      </c>
      <c r="B761" s="2">
        <v>760.0</v>
      </c>
      <c r="C761" s="2">
        <v>760.0</v>
      </c>
      <c r="D761" s="3">
        <v>44042.0</v>
      </c>
      <c r="E761" s="2" t="s">
        <v>4822</v>
      </c>
      <c r="F761" s="2" t="s">
        <v>546</v>
      </c>
      <c r="G761" s="2">
        <v>177.55</v>
      </c>
      <c r="H761" s="2" t="s">
        <v>4823</v>
      </c>
      <c r="I761" s="2" t="s">
        <v>4824</v>
      </c>
      <c r="J761" s="2" t="s">
        <v>4825</v>
      </c>
      <c r="K761" s="2" t="s">
        <v>32</v>
      </c>
      <c r="M761" s="2">
        <v>83.0</v>
      </c>
      <c r="N761" s="2">
        <v>2833.17</v>
      </c>
      <c r="O761" s="2" t="s">
        <v>28</v>
      </c>
      <c r="P761" s="2" t="s">
        <v>4826</v>
      </c>
      <c r="Q761" s="2" t="s">
        <v>4827</v>
      </c>
      <c r="S761" s="2">
        <v>2201.0</v>
      </c>
      <c r="T761" s="2" t="s">
        <v>241</v>
      </c>
      <c r="U761" s="2" t="s">
        <v>33</v>
      </c>
    </row>
    <row r="762">
      <c r="A762" s="2">
        <v>761.0</v>
      </c>
      <c r="B762" s="2">
        <v>761.0</v>
      </c>
      <c r="C762" s="2">
        <v>761.0</v>
      </c>
      <c r="D762" s="3">
        <v>44487.0</v>
      </c>
      <c r="E762" s="2" t="s">
        <v>4828</v>
      </c>
      <c r="F762" s="2" t="s">
        <v>73</v>
      </c>
      <c r="G762" s="2">
        <v>299.97</v>
      </c>
      <c r="H762" s="2" t="s">
        <v>4829</v>
      </c>
      <c r="I762" s="2" t="s">
        <v>4830</v>
      </c>
      <c r="J762" s="2" t="s">
        <v>4831</v>
      </c>
      <c r="K762" s="2" t="s">
        <v>32</v>
      </c>
      <c r="M762" s="2">
        <v>25.0</v>
      </c>
      <c r="N762" s="2">
        <v>8504.0</v>
      </c>
      <c r="O762" s="2" t="s">
        <v>41</v>
      </c>
      <c r="P762" s="2" t="s">
        <v>4832</v>
      </c>
      <c r="Q762" s="2" t="s">
        <v>4833</v>
      </c>
      <c r="T762" s="2" t="s">
        <v>225</v>
      </c>
      <c r="U762" s="2" t="s">
        <v>46</v>
      </c>
    </row>
    <row r="763">
      <c r="A763" s="2">
        <v>762.0</v>
      </c>
      <c r="B763" s="2">
        <v>762.0</v>
      </c>
      <c r="C763" s="2">
        <v>762.0</v>
      </c>
      <c r="D763" s="3">
        <v>44344.0</v>
      </c>
      <c r="E763" s="2" t="s">
        <v>4834</v>
      </c>
      <c r="F763" s="2" t="s">
        <v>64</v>
      </c>
      <c r="G763" s="2">
        <v>460.35</v>
      </c>
      <c r="H763" s="2" t="s">
        <v>4835</v>
      </c>
      <c r="I763" s="2" t="s">
        <v>4836</v>
      </c>
      <c r="J763" s="2" t="s">
        <v>4837</v>
      </c>
      <c r="K763" s="2" t="s">
        <v>1380</v>
      </c>
      <c r="M763" s="2">
        <v>57.0</v>
      </c>
      <c r="N763" s="2">
        <v>5939.67</v>
      </c>
      <c r="O763" s="2" t="s">
        <v>41</v>
      </c>
      <c r="P763" s="2" t="s">
        <v>4838</v>
      </c>
      <c r="Q763" s="2" t="s">
        <v>4839</v>
      </c>
      <c r="T763" s="2" t="s">
        <v>119</v>
      </c>
      <c r="U763" s="2" t="s">
        <v>33</v>
      </c>
    </row>
    <row r="764">
      <c r="A764" s="2">
        <v>763.0</v>
      </c>
      <c r="B764" s="2">
        <v>763.0</v>
      </c>
      <c r="C764" s="2">
        <v>763.0</v>
      </c>
      <c r="D764" s="3">
        <v>43946.0</v>
      </c>
      <c r="E764" s="2" t="s">
        <v>4840</v>
      </c>
      <c r="F764" s="2" t="s">
        <v>56</v>
      </c>
      <c r="G764" s="2">
        <v>845.94</v>
      </c>
      <c r="H764" s="2" t="s">
        <v>4289</v>
      </c>
      <c r="I764" s="2" t="s">
        <v>4841</v>
      </c>
      <c r="J764" s="2" t="s">
        <v>4842</v>
      </c>
      <c r="K764" s="2" t="s">
        <v>1473</v>
      </c>
      <c r="M764" s="2">
        <v>86.0</v>
      </c>
      <c r="N764" s="2">
        <v>7010.92</v>
      </c>
      <c r="O764" s="2" t="s">
        <v>52</v>
      </c>
      <c r="P764" s="2" t="s">
        <v>3563</v>
      </c>
      <c r="Q764" s="2" t="s">
        <v>4843</v>
      </c>
      <c r="S764" s="2">
        <v>606135.0</v>
      </c>
      <c r="T764" s="2" t="s">
        <v>68</v>
      </c>
      <c r="U764" s="2" t="s">
        <v>71</v>
      </c>
    </row>
    <row r="765">
      <c r="A765" s="2">
        <v>764.0</v>
      </c>
      <c r="B765" s="2">
        <v>764.0</v>
      </c>
      <c r="C765" s="2">
        <v>764.0</v>
      </c>
      <c r="D765" s="3">
        <v>44218.0</v>
      </c>
      <c r="E765" s="2" t="s">
        <v>1709</v>
      </c>
      <c r="F765" s="2" t="s">
        <v>567</v>
      </c>
      <c r="G765" s="2">
        <v>662.1</v>
      </c>
      <c r="H765" s="2" t="s">
        <v>4844</v>
      </c>
      <c r="I765" s="2" t="s">
        <v>4845</v>
      </c>
      <c r="J765" s="2" t="s">
        <v>4846</v>
      </c>
      <c r="K765" s="2" t="s">
        <v>257</v>
      </c>
      <c r="L765" s="2" t="s">
        <v>4847</v>
      </c>
      <c r="M765" s="2">
        <v>59.0</v>
      </c>
      <c r="N765" s="2">
        <v>9572.94</v>
      </c>
      <c r="O765" s="2" t="s">
        <v>28</v>
      </c>
      <c r="P765" s="2" t="s">
        <v>933</v>
      </c>
      <c r="Q765" s="2" t="s">
        <v>4848</v>
      </c>
      <c r="R765" s="2" t="s">
        <v>349</v>
      </c>
      <c r="S765" s="2">
        <v>33673.0</v>
      </c>
      <c r="T765" s="2" t="s">
        <v>101</v>
      </c>
      <c r="U765" s="2" t="s">
        <v>33</v>
      </c>
    </row>
    <row r="766">
      <c r="A766" s="2">
        <v>765.0</v>
      </c>
      <c r="B766" s="2">
        <v>765.0</v>
      </c>
      <c r="C766" s="2">
        <v>765.0</v>
      </c>
      <c r="D766" s="3">
        <v>44504.0</v>
      </c>
      <c r="E766" s="2" t="s">
        <v>4849</v>
      </c>
      <c r="F766" s="2" t="s">
        <v>237</v>
      </c>
      <c r="G766" s="2">
        <v>631.18</v>
      </c>
      <c r="H766" s="2" t="s">
        <v>4850</v>
      </c>
      <c r="I766" s="2" t="s">
        <v>4851</v>
      </c>
      <c r="J766" s="2" t="s">
        <v>4852</v>
      </c>
      <c r="K766" s="2" t="s">
        <v>163</v>
      </c>
      <c r="L766" s="2" t="s">
        <v>4853</v>
      </c>
      <c r="M766" s="2">
        <v>95.0</v>
      </c>
      <c r="N766" s="2">
        <v>2442.74</v>
      </c>
      <c r="O766" s="2" t="s">
        <v>41</v>
      </c>
      <c r="P766" s="2" t="s">
        <v>4854</v>
      </c>
      <c r="Q766" s="2" t="s">
        <v>4855</v>
      </c>
      <c r="S766" s="2">
        <v>42201.0</v>
      </c>
      <c r="T766" s="2" t="s">
        <v>45</v>
      </c>
      <c r="U766" s="2" t="s">
        <v>33</v>
      </c>
    </row>
    <row r="767">
      <c r="A767" s="2">
        <v>766.0</v>
      </c>
      <c r="B767" s="2">
        <v>766.0</v>
      </c>
      <c r="C767" s="2">
        <v>766.0</v>
      </c>
      <c r="D767" s="3">
        <v>44222.0</v>
      </c>
      <c r="E767" s="2" t="s">
        <v>4856</v>
      </c>
      <c r="F767" s="2" t="s">
        <v>73</v>
      </c>
      <c r="G767" s="2">
        <v>523.57</v>
      </c>
      <c r="H767" s="2" t="s">
        <v>4857</v>
      </c>
      <c r="I767" s="2" t="s">
        <v>4858</v>
      </c>
      <c r="J767" s="2" t="s">
        <v>4859</v>
      </c>
      <c r="K767" s="2" t="s">
        <v>39</v>
      </c>
      <c r="L767" s="2" t="s">
        <v>4860</v>
      </c>
      <c r="M767" s="2">
        <v>85.0</v>
      </c>
      <c r="N767" s="2">
        <v>5979.91</v>
      </c>
      <c r="O767" s="2" t="s">
        <v>41</v>
      </c>
      <c r="P767" s="2" t="s">
        <v>424</v>
      </c>
      <c r="Q767" s="2" t="s">
        <v>4861</v>
      </c>
      <c r="R767" s="2" t="s">
        <v>4862</v>
      </c>
      <c r="S767" s="2">
        <v>607224.0</v>
      </c>
      <c r="T767" s="2" t="s">
        <v>68</v>
      </c>
      <c r="U767" s="2" t="s">
        <v>46</v>
      </c>
    </row>
    <row r="768">
      <c r="A768" s="2">
        <v>767.0</v>
      </c>
      <c r="B768" s="2">
        <v>767.0</v>
      </c>
      <c r="C768" s="2">
        <v>767.0</v>
      </c>
      <c r="D768" s="3">
        <v>44453.0</v>
      </c>
      <c r="E768" s="2" t="s">
        <v>4863</v>
      </c>
      <c r="F768" s="2" t="s">
        <v>191</v>
      </c>
      <c r="G768" s="2">
        <v>434.87</v>
      </c>
      <c r="H768" s="2" t="s">
        <v>4864</v>
      </c>
      <c r="I768" s="2" t="s">
        <v>4865</v>
      </c>
      <c r="J768" s="2" t="s">
        <v>4866</v>
      </c>
      <c r="K768" s="2" t="s">
        <v>379</v>
      </c>
      <c r="L768" s="2" t="s">
        <v>4867</v>
      </c>
      <c r="M768" s="2">
        <v>81.0</v>
      </c>
      <c r="N768" s="2">
        <v>7907.18</v>
      </c>
      <c r="O768" s="2" t="s">
        <v>41</v>
      </c>
      <c r="P768" s="2" t="s">
        <v>4868</v>
      </c>
      <c r="Q768" s="2" t="s">
        <v>4869</v>
      </c>
      <c r="R768" s="2" t="s">
        <v>3089</v>
      </c>
      <c r="T768" s="2" t="s">
        <v>32</v>
      </c>
      <c r="U768" s="2" t="s">
        <v>33</v>
      </c>
    </row>
    <row r="769">
      <c r="A769" s="2">
        <v>768.0</v>
      </c>
      <c r="B769" s="2">
        <v>768.0</v>
      </c>
      <c r="C769" s="2">
        <v>768.0</v>
      </c>
      <c r="D769" s="3">
        <v>43979.0</v>
      </c>
      <c r="E769" s="2" t="s">
        <v>4870</v>
      </c>
      <c r="F769" s="2" t="s">
        <v>567</v>
      </c>
      <c r="G769" s="2">
        <v>442.37</v>
      </c>
      <c r="H769" s="2" t="s">
        <v>4871</v>
      </c>
      <c r="I769" s="2" t="s">
        <v>4872</v>
      </c>
      <c r="J769" s="2" t="s">
        <v>4873</v>
      </c>
      <c r="K769" s="2" t="s">
        <v>4874</v>
      </c>
      <c r="M769" s="2">
        <v>35.0</v>
      </c>
      <c r="N769" s="2">
        <v>6578.16</v>
      </c>
      <c r="O769" s="2" t="s">
        <v>28</v>
      </c>
      <c r="P769" s="2" t="s">
        <v>4875</v>
      </c>
      <c r="Q769" s="2" t="s">
        <v>4876</v>
      </c>
      <c r="T769" s="2" t="s">
        <v>32</v>
      </c>
      <c r="U769" s="2" t="s">
        <v>71</v>
      </c>
    </row>
    <row r="770">
      <c r="A770" s="2">
        <v>769.0</v>
      </c>
      <c r="B770" s="2">
        <v>769.0</v>
      </c>
      <c r="C770" s="2">
        <v>769.0</v>
      </c>
      <c r="D770" s="3">
        <v>44503.0</v>
      </c>
      <c r="E770" s="2" t="s">
        <v>4877</v>
      </c>
      <c r="F770" s="2" t="s">
        <v>1012</v>
      </c>
      <c r="G770" s="2">
        <v>407.24</v>
      </c>
      <c r="H770" s="2" t="s">
        <v>4878</v>
      </c>
      <c r="I770" s="2" t="s">
        <v>4879</v>
      </c>
      <c r="J770" s="2" t="s">
        <v>4880</v>
      </c>
      <c r="K770" s="2" t="s">
        <v>1826</v>
      </c>
      <c r="M770" s="2">
        <v>82.0</v>
      </c>
      <c r="N770" s="2">
        <v>9243.93</v>
      </c>
      <c r="O770" s="2" t="s">
        <v>28</v>
      </c>
      <c r="P770" s="2" t="s">
        <v>424</v>
      </c>
      <c r="Q770" s="2" t="s">
        <v>4881</v>
      </c>
      <c r="T770" s="2" t="s">
        <v>32</v>
      </c>
      <c r="U770" s="2" t="s">
        <v>46</v>
      </c>
    </row>
    <row r="771">
      <c r="A771" s="2">
        <v>770.0</v>
      </c>
      <c r="B771" s="2">
        <v>770.0</v>
      </c>
      <c r="C771" s="2">
        <v>770.0</v>
      </c>
      <c r="D771" s="3">
        <v>44507.0</v>
      </c>
      <c r="E771" s="2" t="s">
        <v>4882</v>
      </c>
      <c r="F771" s="2" t="s">
        <v>191</v>
      </c>
      <c r="G771" s="2">
        <v>163.15</v>
      </c>
      <c r="H771" s="2" t="s">
        <v>4883</v>
      </c>
      <c r="I771" s="2" t="s">
        <v>4884</v>
      </c>
      <c r="J771" s="2" t="s">
        <v>4885</v>
      </c>
      <c r="K771" s="2" t="s">
        <v>119</v>
      </c>
      <c r="M771" s="2">
        <v>90.0</v>
      </c>
      <c r="N771" s="2">
        <v>5423.73</v>
      </c>
      <c r="O771" s="2" t="s">
        <v>52</v>
      </c>
      <c r="P771" s="2" t="s">
        <v>1812</v>
      </c>
      <c r="Q771" s="2" t="s">
        <v>4886</v>
      </c>
      <c r="S771" s="2" t="s">
        <v>4887</v>
      </c>
      <c r="T771" s="2" t="s">
        <v>26</v>
      </c>
      <c r="U771" s="2" t="s">
        <v>33</v>
      </c>
    </row>
    <row r="772">
      <c r="A772" s="2">
        <v>771.0</v>
      </c>
      <c r="B772" s="2">
        <v>771.0</v>
      </c>
      <c r="C772" s="2">
        <v>771.0</v>
      </c>
      <c r="D772" s="3">
        <v>43883.0</v>
      </c>
      <c r="E772" s="2" t="s">
        <v>4888</v>
      </c>
      <c r="F772" s="2" t="s">
        <v>413</v>
      </c>
      <c r="G772" s="2">
        <v>671.41</v>
      </c>
      <c r="H772" s="2" t="s">
        <v>4889</v>
      </c>
      <c r="I772" s="2" t="s">
        <v>4890</v>
      </c>
      <c r="J772" s="2" t="s">
        <v>4891</v>
      </c>
      <c r="K772" s="2" t="s">
        <v>241</v>
      </c>
      <c r="L772" s="2">
        <v>5203.0</v>
      </c>
      <c r="M772" s="2">
        <v>93.0</v>
      </c>
      <c r="N772" s="2">
        <v>8660.97</v>
      </c>
      <c r="O772" s="2" t="s">
        <v>28</v>
      </c>
      <c r="P772" s="2" t="s">
        <v>2066</v>
      </c>
      <c r="Q772" s="2" t="s">
        <v>4892</v>
      </c>
      <c r="T772" s="2" t="s">
        <v>137</v>
      </c>
      <c r="U772" s="2" t="s">
        <v>71</v>
      </c>
    </row>
    <row r="773">
      <c r="A773" s="2">
        <v>772.0</v>
      </c>
      <c r="B773" s="2">
        <v>772.0</v>
      </c>
      <c r="C773" s="2">
        <v>772.0</v>
      </c>
      <c r="D773" s="3">
        <v>43873.0</v>
      </c>
      <c r="E773" s="2" t="s">
        <v>1039</v>
      </c>
      <c r="F773" s="2" t="s">
        <v>237</v>
      </c>
      <c r="G773" s="2">
        <v>800.01</v>
      </c>
      <c r="H773" s="2" t="s">
        <v>4893</v>
      </c>
      <c r="I773" s="2" t="s">
        <v>4894</v>
      </c>
      <c r="J773" s="2" t="s">
        <v>4895</v>
      </c>
      <c r="K773" s="2" t="s">
        <v>1492</v>
      </c>
      <c r="L773" s="2" t="s">
        <v>4896</v>
      </c>
      <c r="M773" s="2">
        <v>1.0</v>
      </c>
      <c r="N773" s="2">
        <v>6246.65</v>
      </c>
      <c r="O773" s="2" t="s">
        <v>41</v>
      </c>
      <c r="P773" s="2" t="s">
        <v>4897</v>
      </c>
      <c r="Q773" s="2" t="s">
        <v>4898</v>
      </c>
      <c r="S773" s="2">
        <v>235048.0</v>
      </c>
      <c r="T773" s="2" t="s">
        <v>819</v>
      </c>
      <c r="U773" s="2" t="s">
        <v>46</v>
      </c>
    </row>
    <row r="774">
      <c r="A774" s="2">
        <v>773.0</v>
      </c>
      <c r="B774" s="2">
        <v>773.0</v>
      </c>
      <c r="C774" s="2">
        <v>773.0</v>
      </c>
      <c r="D774" s="3">
        <v>44022.0</v>
      </c>
      <c r="E774" s="2" t="s">
        <v>4899</v>
      </c>
      <c r="F774" s="2" t="s">
        <v>3015</v>
      </c>
      <c r="G774" s="2">
        <v>172.87</v>
      </c>
      <c r="H774" s="2" t="s">
        <v>4900</v>
      </c>
      <c r="I774" s="2" t="s">
        <v>4901</v>
      </c>
      <c r="J774" s="2" t="s">
        <v>4902</v>
      </c>
      <c r="K774" s="2" t="s">
        <v>1399</v>
      </c>
      <c r="M774" s="2">
        <v>60.0</v>
      </c>
      <c r="N774" s="2">
        <v>4992.68</v>
      </c>
      <c r="O774" s="2" t="s">
        <v>41</v>
      </c>
      <c r="P774" s="2" t="s">
        <v>4903</v>
      </c>
      <c r="Q774" s="2" t="s">
        <v>4904</v>
      </c>
      <c r="T774" s="2" t="s">
        <v>119</v>
      </c>
      <c r="U774" s="2" t="s">
        <v>71</v>
      </c>
    </row>
    <row r="775">
      <c r="A775" s="2">
        <v>774.0</v>
      </c>
      <c r="B775" s="2">
        <v>774.0</v>
      </c>
      <c r="C775" s="2">
        <v>774.0</v>
      </c>
      <c r="D775" s="3">
        <v>44279.0</v>
      </c>
      <c r="E775" s="2" t="s">
        <v>4905</v>
      </c>
      <c r="F775" s="2" t="s">
        <v>1184</v>
      </c>
      <c r="G775" s="2">
        <v>244.63</v>
      </c>
      <c r="H775" s="2" t="s">
        <v>4906</v>
      </c>
      <c r="I775" s="2" t="s">
        <v>4907</v>
      </c>
      <c r="J775" s="2" t="s">
        <v>4908</v>
      </c>
      <c r="K775" s="2" t="s">
        <v>1180</v>
      </c>
      <c r="M775" s="2">
        <v>86.0</v>
      </c>
      <c r="N775" s="2">
        <v>310.04</v>
      </c>
      <c r="O775" s="2" t="s">
        <v>52</v>
      </c>
      <c r="P775" s="2" t="s">
        <v>1690</v>
      </c>
      <c r="Q775" s="2" t="s">
        <v>4909</v>
      </c>
      <c r="T775" s="2" t="s">
        <v>32</v>
      </c>
      <c r="U775" s="2" t="s">
        <v>46</v>
      </c>
    </row>
    <row r="776">
      <c r="A776" s="2">
        <v>775.0</v>
      </c>
      <c r="B776" s="2">
        <v>775.0</v>
      </c>
      <c r="C776" s="2">
        <v>775.0</v>
      </c>
      <c r="D776" s="3">
        <v>44083.0</v>
      </c>
      <c r="E776" s="2" t="s">
        <v>4910</v>
      </c>
      <c r="F776" s="2" t="s">
        <v>623</v>
      </c>
      <c r="G776" s="2">
        <v>451.21</v>
      </c>
      <c r="H776" s="2" t="s">
        <v>4911</v>
      </c>
      <c r="I776" s="2" t="s">
        <v>4912</v>
      </c>
      <c r="J776" s="2" t="s">
        <v>4913</v>
      </c>
      <c r="K776" s="2" t="s">
        <v>189</v>
      </c>
      <c r="M776" s="2">
        <v>69.0</v>
      </c>
      <c r="N776" s="2">
        <v>2591.36</v>
      </c>
      <c r="O776" s="2" t="s">
        <v>28</v>
      </c>
      <c r="P776" s="2" t="s">
        <v>4914</v>
      </c>
      <c r="Q776" s="2" t="s">
        <v>4915</v>
      </c>
      <c r="T776" s="2" t="s">
        <v>1227</v>
      </c>
      <c r="U776" s="2" t="s">
        <v>33</v>
      </c>
    </row>
    <row r="777">
      <c r="A777" s="2">
        <v>776.0</v>
      </c>
      <c r="B777" s="2">
        <v>776.0</v>
      </c>
      <c r="C777" s="2">
        <v>776.0</v>
      </c>
      <c r="D777" s="3">
        <v>44148.0</v>
      </c>
      <c r="E777" s="2" t="s">
        <v>2185</v>
      </c>
      <c r="F777" s="2" t="s">
        <v>2186</v>
      </c>
      <c r="G777" s="2">
        <v>614.49</v>
      </c>
      <c r="H777" s="2" t="s">
        <v>4916</v>
      </c>
      <c r="I777" s="2" t="s">
        <v>4917</v>
      </c>
      <c r="J777" s="2" t="s">
        <v>4918</v>
      </c>
      <c r="K777" s="2" t="s">
        <v>650</v>
      </c>
      <c r="M777" s="2">
        <v>15.0</v>
      </c>
      <c r="N777" s="2">
        <v>7705.17</v>
      </c>
      <c r="O777" s="2" t="s">
        <v>52</v>
      </c>
      <c r="P777" s="2" t="s">
        <v>4919</v>
      </c>
      <c r="Q777" s="2" t="s">
        <v>4920</v>
      </c>
      <c r="T777" s="2" t="s">
        <v>32</v>
      </c>
      <c r="U777" s="2" t="s">
        <v>71</v>
      </c>
    </row>
    <row r="778">
      <c r="A778" s="2">
        <v>777.0</v>
      </c>
      <c r="B778" s="2">
        <v>777.0</v>
      </c>
      <c r="C778" s="2">
        <v>777.0</v>
      </c>
      <c r="D778" s="3">
        <v>44175.0</v>
      </c>
      <c r="E778" s="2" t="s">
        <v>4921</v>
      </c>
      <c r="F778" s="2" t="s">
        <v>3015</v>
      </c>
      <c r="G778" s="2">
        <v>622.67</v>
      </c>
      <c r="H778" s="2" t="s">
        <v>4922</v>
      </c>
      <c r="I778" s="2" t="s">
        <v>4923</v>
      </c>
      <c r="J778" s="2" t="s">
        <v>4924</v>
      </c>
      <c r="K778" s="2" t="s">
        <v>217</v>
      </c>
      <c r="L778" s="2">
        <v>35403.0</v>
      </c>
      <c r="M778" s="2">
        <v>34.0</v>
      </c>
      <c r="N778" s="2">
        <v>4935.67</v>
      </c>
      <c r="O778" s="2" t="s">
        <v>41</v>
      </c>
      <c r="P778" s="2" t="s">
        <v>4925</v>
      </c>
      <c r="Q778" s="2" t="s">
        <v>4926</v>
      </c>
      <c r="T778" s="2" t="s">
        <v>119</v>
      </c>
      <c r="U778" s="2" t="s">
        <v>46</v>
      </c>
    </row>
    <row r="779">
      <c r="A779" s="2">
        <v>778.0</v>
      </c>
      <c r="B779" s="2">
        <v>778.0</v>
      </c>
      <c r="C779" s="2">
        <v>778.0</v>
      </c>
      <c r="D779" s="3">
        <v>44162.0</v>
      </c>
      <c r="E779" s="2" t="s">
        <v>4927</v>
      </c>
      <c r="F779" s="2" t="s">
        <v>73</v>
      </c>
      <c r="G779" s="2">
        <v>869.96</v>
      </c>
      <c r="H779" s="2" t="s">
        <v>4928</v>
      </c>
      <c r="I779" s="2" t="s">
        <v>4929</v>
      </c>
      <c r="J779" s="2" t="s">
        <v>4930</v>
      </c>
      <c r="K779" s="2" t="s">
        <v>119</v>
      </c>
      <c r="M779" s="2">
        <v>36.0</v>
      </c>
      <c r="N779" s="2">
        <v>7771.14</v>
      </c>
      <c r="O779" s="2" t="s">
        <v>28</v>
      </c>
      <c r="P779" s="2" t="s">
        <v>4931</v>
      </c>
      <c r="Q779" s="2" t="s">
        <v>4932</v>
      </c>
      <c r="T779" s="2" t="s">
        <v>1008</v>
      </c>
      <c r="U779" s="2" t="s">
        <v>33</v>
      </c>
    </row>
    <row r="780">
      <c r="A780" s="2">
        <v>779.0</v>
      </c>
      <c r="B780" s="2">
        <v>779.0</v>
      </c>
      <c r="C780" s="2">
        <v>779.0</v>
      </c>
      <c r="D780" s="3">
        <v>44531.0</v>
      </c>
      <c r="E780" s="2" t="s">
        <v>4933</v>
      </c>
      <c r="F780" s="2" t="s">
        <v>342</v>
      </c>
      <c r="G780" s="2">
        <v>959.19</v>
      </c>
      <c r="H780" s="2" t="s">
        <v>4934</v>
      </c>
      <c r="I780" s="2" t="s">
        <v>4935</v>
      </c>
      <c r="J780" s="2" t="s">
        <v>4936</v>
      </c>
      <c r="K780" s="2" t="s">
        <v>257</v>
      </c>
      <c r="L780" s="2" t="s">
        <v>4937</v>
      </c>
      <c r="M780" s="2">
        <v>90.0</v>
      </c>
      <c r="N780" s="2">
        <v>7124.36</v>
      </c>
      <c r="O780" s="2" t="s">
        <v>41</v>
      </c>
      <c r="P780" s="2" t="s">
        <v>4938</v>
      </c>
      <c r="Q780" s="2" t="s">
        <v>4939</v>
      </c>
      <c r="R780" s="2" t="s">
        <v>3525</v>
      </c>
      <c r="T780" s="2" t="s">
        <v>32</v>
      </c>
      <c r="U780" s="2" t="s">
        <v>46</v>
      </c>
    </row>
    <row r="781">
      <c r="A781" s="2">
        <v>780.0</v>
      </c>
      <c r="B781" s="2">
        <v>780.0</v>
      </c>
      <c r="C781" s="2">
        <v>780.0</v>
      </c>
      <c r="D781" s="3">
        <v>44024.0</v>
      </c>
      <c r="E781" s="2" t="s">
        <v>4940</v>
      </c>
      <c r="F781" s="2" t="s">
        <v>123</v>
      </c>
      <c r="G781" s="2">
        <v>240.25</v>
      </c>
      <c r="H781" s="2" t="s">
        <v>4941</v>
      </c>
      <c r="I781" s="2" t="s">
        <v>4942</v>
      </c>
      <c r="J781" s="2" t="s">
        <v>4943</v>
      </c>
      <c r="K781" s="2" t="s">
        <v>163</v>
      </c>
      <c r="L781" s="2" t="s">
        <v>4944</v>
      </c>
      <c r="M781" s="2">
        <v>75.0</v>
      </c>
      <c r="N781" s="2">
        <v>399.23</v>
      </c>
      <c r="O781" s="2" t="s">
        <v>52</v>
      </c>
      <c r="P781" s="2" t="s">
        <v>3765</v>
      </c>
      <c r="Q781" s="2" t="s">
        <v>4945</v>
      </c>
      <c r="S781" s="2" t="s">
        <v>4946</v>
      </c>
      <c r="T781" s="2" t="s">
        <v>379</v>
      </c>
      <c r="U781" s="2" t="s">
        <v>33</v>
      </c>
    </row>
    <row r="782">
      <c r="A782" s="2">
        <v>781.0</v>
      </c>
      <c r="B782" s="2">
        <v>781.0</v>
      </c>
      <c r="C782" s="2">
        <v>781.0</v>
      </c>
      <c r="D782" s="3">
        <v>44120.0</v>
      </c>
      <c r="E782" s="2" t="s">
        <v>3997</v>
      </c>
      <c r="F782" s="2" t="s">
        <v>501</v>
      </c>
      <c r="G782" s="2">
        <v>257.9</v>
      </c>
      <c r="H782" s="2" t="s">
        <v>4947</v>
      </c>
      <c r="I782" s="2" t="s">
        <v>4948</v>
      </c>
      <c r="J782" s="2" t="s">
        <v>4949</v>
      </c>
      <c r="K782" s="2" t="s">
        <v>1008</v>
      </c>
      <c r="M782" s="2">
        <v>27.0</v>
      </c>
      <c r="N782" s="2">
        <v>4568.97</v>
      </c>
      <c r="O782" s="2" t="s">
        <v>52</v>
      </c>
      <c r="P782" s="2" t="s">
        <v>4950</v>
      </c>
      <c r="Q782" s="2" t="s">
        <v>4951</v>
      </c>
      <c r="T782" s="2" t="s">
        <v>316</v>
      </c>
      <c r="U782" s="2" t="s">
        <v>71</v>
      </c>
    </row>
    <row r="783">
      <c r="A783" s="2">
        <v>782.0</v>
      </c>
      <c r="B783" s="2">
        <v>782.0</v>
      </c>
      <c r="C783" s="2">
        <v>782.0</v>
      </c>
      <c r="D783" s="3">
        <v>44017.0</v>
      </c>
      <c r="E783" s="2" t="s">
        <v>4952</v>
      </c>
      <c r="F783" s="2" t="s">
        <v>332</v>
      </c>
      <c r="G783" s="2">
        <v>492.26</v>
      </c>
      <c r="H783" s="2" t="s">
        <v>4953</v>
      </c>
      <c r="I783" s="2" t="s">
        <v>4954</v>
      </c>
      <c r="J783" s="2" t="s">
        <v>4955</v>
      </c>
      <c r="K783" s="2" t="s">
        <v>178</v>
      </c>
      <c r="L783" s="2">
        <v>5900.0</v>
      </c>
      <c r="M783" s="2">
        <v>29.0</v>
      </c>
      <c r="N783" s="2">
        <v>1675.71</v>
      </c>
      <c r="O783" s="2" t="s">
        <v>28</v>
      </c>
      <c r="P783" s="2" t="s">
        <v>1889</v>
      </c>
      <c r="Q783" s="2" t="s">
        <v>4956</v>
      </c>
      <c r="S783" s="2" t="s">
        <v>4957</v>
      </c>
      <c r="T783" s="2" t="s">
        <v>114</v>
      </c>
      <c r="U783" s="2" t="s">
        <v>71</v>
      </c>
    </row>
    <row r="784">
      <c r="A784" s="2">
        <v>783.0</v>
      </c>
      <c r="B784" s="2">
        <v>783.0</v>
      </c>
      <c r="C784" s="2">
        <v>783.0</v>
      </c>
      <c r="D784" s="3">
        <v>44330.0</v>
      </c>
      <c r="E784" s="2" t="s">
        <v>2486</v>
      </c>
      <c r="F784" s="2" t="s">
        <v>567</v>
      </c>
      <c r="G784" s="2">
        <v>33.93</v>
      </c>
      <c r="H784" s="2" t="s">
        <v>4958</v>
      </c>
      <c r="I784" s="2" t="s">
        <v>4959</v>
      </c>
      <c r="J784" s="2" t="s">
        <v>4960</v>
      </c>
      <c r="K784" s="2" t="s">
        <v>32</v>
      </c>
      <c r="M784" s="2">
        <v>60.0</v>
      </c>
      <c r="N784" s="2">
        <v>7152.6</v>
      </c>
      <c r="O784" s="2" t="s">
        <v>52</v>
      </c>
      <c r="P784" s="2" t="s">
        <v>4961</v>
      </c>
      <c r="Q784" s="2" t="s">
        <v>4962</v>
      </c>
      <c r="T784" s="2" t="s">
        <v>1663</v>
      </c>
      <c r="U784" s="2" t="s">
        <v>46</v>
      </c>
    </row>
    <row r="785">
      <c r="A785" s="2">
        <v>784.0</v>
      </c>
      <c r="B785" s="2">
        <v>784.0</v>
      </c>
      <c r="C785" s="2">
        <v>784.0</v>
      </c>
      <c r="D785" s="3">
        <v>43980.0</v>
      </c>
      <c r="E785" s="2" t="s">
        <v>4963</v>
      </c>
      <c r="F785" s="2" t="s">
        <v>2113</v>
      </c>
      <c r="G785" s="2">
        <v>508.74</v>
      </c>
      <c r="H785" s="2" t="s">
        <v>4964</v>
      </c>
      <c r="I785" s="2" t="s">
        <v>4965</v>
      </c>
      <c r="J785" s="2" t="s">
        <v>4966</v>
      </c>
      <c r="K785" s="2" t="s">
        <v>4967</v>
      </c>
      <c r="M785" s="2">
        <v>22.0</v>
      </c>
      <c r="N785" s="2">
        <v>5476.85</v>
      </c>
      <c r="O785" s="2" t="s">
        <v>52</v>
      </c>
      <c r="P785" s="2" t="s">
        <v>4968</v>
      </c>
      <c r="Q785" s="2" t="s">
        <v>4969</v>
      </c>
      <c r="T785" s="2" t="s">
        <v>119</v>
      </c>
      <c r="U785" s="2" t="s">
        <v>71</v>
      </c>
    </row>
    <row r="786">
      <c r="A786" s="2">
        <v>785.0</v>
      </c>
      <c r="B786" s="2">
        <v>785.0</v>
      </c>
      <c r="C786" s="2">
        <v>785.0</v>
      </c>
      <c r="D786" s="3">
        <v>44256.0</v>
      </c>
      <c r="E786" s="2" t="s">
        <v>4970</v>
      </c>
      <c r="F786" s="2" t="s">
        <v>4971</v>
      </c>
      <c r="G786" s="2">
        <v>495.71</v>
      </c>
      <c r="H786" s="2" t="s">
        <v>4972</v>
      </c>
      <c r="I786" s="2" t="s">
        <v>4973</v>
      </c>
      <c r="J786" s="2" t="s">
        <v>4974</v>
      </c>
      <c r="K786" s="2" t="s">
        <v>225</v>
      </c>
      <c r="M786" s="2">
        <v>73.0</v>
      </c>
      <c r="N786" s="2">
        <v>3643.4</v>
      </c>
      <c r="O786" s="2" t="s">
        <v>28</v>
      </c>
      <c r="P786" s="2" t="s">
        <v>4975</v>
      </c>
      <c r="Q786" s="2" t="s">
        <v>4976</v>
      </c>
      <c r="S786" s="2">
        <v>4435.0</v>
      </c>
      <c r="T786" s="2" t="s">
        <v>241</v>
      </c>
      <c r="U786" s="2" t="s">
        <v>71</v>
      </c>
    </row>
    <row r="787">
      <c r="A787" s="2">
        <v>786.0</v>
      </c>
      <c r="B787" s="2">
        <v>786.0</v>
      </c>
      <c r="C787" s="2">
        <v>786.0</v>
      </c>
      <c r="D787" s="3">
        <v>44417.0</v>
      </c>
      <c r="E787" s="2" t="s">
        <v>4977</v>
      </c>
      <c r="F787" s="2" t="s">
        <v>501</v>
      </c>
      <c r="G787" s="2">
        <v>618.85</v>
      </c>
      <c r="H787" s="2" t="s">
        <v>4978</v>
      </c>
      <c r="I787" s="2" t="s">
        <v>408</v>
      </c>
      <c r="J787" s="2" t="s">
        <v>4979</v>
      </c>
      <c r="K787" s="2" t="s">
        <v>241</v>
      </c>
      <c r="L787" s="2">
        <v>4805.0</v>
      </c>
      <c r="M787" s="2">
        <v>24.0</v>
      </c>
      <c r="N787" s="2">
        <v>7446.4</v>
      </c>
      <c r="O787" s="2" t="s">
        <v>28</v>
      </c>
      <c r="P787" s="2" t="s">
        <v>2601</v>
      </c>
      <c r="Q787" s="2" t="s">
        <v>4980</v>
      </c>
      <c r="S787" s="2" t="s">
        <v>4981</v>
      </c>
      <c r="T787" s="2" t="s">
        <v>127</v>
      </c>
      <c r="U787" s="2" t="s">
        <v>71</v>
      </c>
    </row>
    <row r="788">
      <c r="A788" s="2">
        <v>787.0</v>
      </c>
      <c r="B788" s="2">
        <v>787.0</v>
      </c>
      <c r="C788" s="2">
        <v>787.0</v>
      </c>
      <c r="D788" s="3">
        <v>43984.0</v>
      </c>
      <c r="E788" s="2" t="s">
        <v>4982</v>
      </c>
      <c r="F788" s="2" t="s">
        <v>3769</v>
      </c>
      <c r="G788" s="2">
        <v>73.16</v>
      </c>
      <c r="H788" s="2" t="s">
        <v>4983</v>
      </c>
      <c r="I788" s="2" t="s">
        <v>4984</v>
      </c>
      <c r="J788" s="2" t="s">
        <v>4985</v>
      </c>
      <c r="K788" s="2" t="s">
        <v>32</v>
      </c>
      <c r="M788" s="2">
        <v>38.0</v>
      </c>
      <c r="N788" s="2">
        <v>2837.01</v>
      </c>
      <c r="O788" s="2" t="s">
        <v>41</v>
      </c>
      <c r="P788" s="2" t="s">
        <v>4986</v>
      </c>
      <c r="Q788" s="2" t="s">
        <v>4987</v>
      </c>
      <c r="S788" s="2" t="s">
        <v>4096</v>
      </c>
      <c r="T788" s="2" t="s">
        <v>163</v>
      </c>
      <c r="U788" s="2" t="s">
        <v>71</v>
      </c>
    </row>
    <row r="789">
      <c r="A789" s="2">
        <v>788.0</v>
      </c>
      <c r="B789" s="2">
        <v>788.0</v>
      </c>
      <c r="C789" s="2">
        <v>788.0</v>
      </c>
      <c r="D789" s="3">
        <v>44059.0</v>
      </c>
      <c r="E789" s="2" t="s">
        <v>4988</v>
      </c>
      <c r="F789" s="2" t="s">
        <v>73</v>
      </c>
      <c r="G789" s="2">
        <v>512.6</v>
      </c>
      <c r="H789" s="2" t="s">
        <v>4459</v>
      </c>
      <c r="I789" s="2" t="s">
        <v>4989</v>
      </c>
      <c r="J789" s="2" t="s">
        <v>4990</v>
      </c>
      <c r="K789" s="2" t="s">
        <v>119</v>
      </c>
      <c r="M789" s="2">
        <v>25.0</v>
      </c>
      <c r="N789" s="2">
        <v>7454.65</v>
      </c>
      <c r="O789" s="2" t="s">
        <v>41</v>
      </c>
      <c r="P789" s="2" t="s">
        <v>4991</v>
      </c>
      <c r="Q789" s="2" t="s">
        <v>4992</v>
      </c>
      <c r="S789" s="2">
        <v>57428.0</v>
      </c>
      <c r="T789" s="2" t="s">
        <v>819</v>
      </c>
      <c r="U789" s="2" t="s">
        <v>33</v>
      </c>
    </row>
    <row r="790">
      <c r="A790" s="2">
        <v>789.0</v>
      </c>
      <c r="B790" s="2">
        <v>789.0</v>
      </c>
      <c r="C790" s="2">
        <v>789.0</v>
      </c>
      <c r="D790" s="3">
        <v>44109.0</v>
      </c>
      <c r="E790" s="2" t="s">
        <v>4993</v>
      </c>
      <c r="F790" s="2" t="s">
        <v>123</v>
      </c>
      <c r="G790" s="2">
        <v>958.56</v>
      </c>
      <c r="H790" s="2" t="s">
        <v>4994</v>
      </c>
      <c r="I790" s="2" t="s">
        <v>4995</v>
      </c>
      <c r="J790" s="2" t="s">
        <v>4996</v>
      </c>
      <c r="K790" s="2" t="s">
        <v>267</v>
      </c>
      <c r="M790" s="2">
        <v>72.0</v>
      </c>
      <c r="N790" s="2">
        <v>2529.96</v>
      </c>
      <c r="O790" s="2" t="s">
        <v>41</v>
      </c>
      <c r="P790" s="2" t="s">
        <v>4997</v>
      </c>
      <c r="Q790" s="2" t="s">
        <v>4998</v>
      </c>
      <c r="T790" s="2" t="s">
        <v>119</v>
      </c>
      <c r="U790" s="2" t="s">
        <v>33</v>
      </c>
    </row>
    <row r="791">
      <c r="A791" s="2">
        <v>790.0</v>
      </c>
      <c r="B791" s="2">
        <v>790.0</v>
      </c>
      <c r="C791" s="2">
        <v>790.0</v>
      </c>
      <c r="D791" s="3">
        <v>43932.0</v>
      </c>
      <c r="E791" s="2" t="s">
        <v>4999</v>
      </c>
      <c r="F791" s="2" t="s">
        <v>237</v>
      </c>
      <c r="G791" s="2">
        <v>839.38</v>
      </c>
      <c r="H791" s="2" t="s">
        <v>5000</v>
      </c>
      <c r="I791" s="2" t="s">
        <v>5001</v>
      </c>
      <c r="J791" s="2" t="s">
        <v>5002</v>
      </c>
      <c r="K791" s="2" t="s">
        <v>32</v>
      </c>
      <c r="M791" s="2">
        <v>75.0</v>
      </c>
      <c r="N791" s="2">
        <v>6564.74</v>
      </c>
      <c r="O791" s="2" t="s">
        <v>41</v>
      </c>
      <c r="P791" s="2" t="s">
        <v>5003</v>
      </c>
      <c r="Q791" s="2" t="s">
        <v>5004</v>
      </c>
      <c r="S791" s="2" t="s">
        <v>5005</v>
      </c>
      <c r="T791" s="2" t="s">
        <v>114</v>
      </c>
      <c r="U791" s="2" t="s">
        <v>46</v>
      </c>
    </row>
    <row r="792">
      <c r="A792" s="2">
        <v>791.0</v>
      </c>
      <c r="B792" s="2">
        <v>791.0</v>
      </c>
      <c r="C792" s="2">
        <v>791.0</v>
      </c>
      <c r="D792" s="3">
        <v>44524.0</v>
      </c>
      <c r="E792" s="2" t="s">
        <v>746</v>
      </c>
      <c r="F792" s="2" t="s">
        <v>191</v>
      </c>
      <c r="G792" s="2">
        <v>267.26</v>
      </c>
      <c r="H792" s="2" t="s">
        <v>5006</v>
      </c>
      <c r="I792" s="2" t="s">
        <v>5007</v>
      </c>
      <c r="J792" s="2" t="s">
        <v>5008</v>
      </c>
      <c r="K792" s="2" t="s">
        <v>119</v>
      </c>
      <c r="M792" s="2">
        <v>89.0</v>
      </c>
      <c r="N792" s="2">
        <v>7632.91</v>
      </c>
      <c r="O792" s="2" t="s">
        <v>41</v>
      </c>
      <c r="P792" s="2" t="s">
        <v>5009</v>
      </c>
      <c r="Q792" s="2" t="s">
        <v>5010</v>
      </c>
      <c r="S792" s="2">
        <v>606093.0</v>
      </c>
      <c r="T792" s="2" t="s">
        <v>68</v>
      </c>
      <c r="U792" s="2" t="s">
        <v>46</v>
      </c>
    </row>
    <row r="793">
      <c r="A793" s="2">
        <v>792.0</v>
      </c>
      <c r="B793" s="2">
        <v>792.0</v>
      </c>
      <c r="C793" s="2">
        <v>792.0</v>
      </c>
      <c r="D793" s="3">
        <v>44018.0</v>
      </c>
      <c r="E793" s="2" t="s">
        <v>5011</v>
      </c>
      <c r="F793" s="2" t="s">
        <v>1199</v>
      </c>
      <c r="G793" s="2">
        <v>877.43</v>
      </c>
      <c r="H793" s="2" t="s">
        <v>5012</v>
      </c>
      <c r="I793" s="2" t="s">
        <v>5013</v>
      </c>
      <c r="J793" s="2" t="s">
        <v>5014</v>
      </c>
      <c r="K793" s="2" t="s">
        <v>32</v>
      </c>
      <c r="M793" s="2">
        <v>65.0</v>
      </c>
      <c r="N793" s="2">
        <v>4002.49</v>
      </c>
      <c r="O793" s="2" t="s">
        <v>41</v>
      </c>
      <c r="P793" s="2" t="s">
        <v>5015</v>
      </c>
      <c r="Q793" s="2" t="s">
        <v>5016</v>
      </c>
      <c r="T793" s="2" t="s">
        <v>119</v>
      </c>
      <c r="U793" s="2" t="s">
        <v>46</v>
      </c>
    </row>
    <row r="794">
      <c r="A794" s="2">
        <v>793.0</v>
      </c>
      <c r="B794" s="2">
        <v>793.0</v>
      </c>
      <c r="C794" s="2">
        <v>793.0</v>
      </c>
      <c r="D794" s="3">
        <v>44485.0</v>
      </c>
      <c r="E794" s="2" t="s">
        <v>3107</v>
      </c>
      <c r="F794" s="2" t="s">
        <v>3108</v>
      </c>
      <c r="G794" s="2">
        <v>441.78</v>
      </c>
      <c r="H794" s="2" t="s">
        <v>5017</v>
      </c>
      <c r="I794" s="2" t="s">
        <v>5018</v>
      </c>
      <c r="J794" s="2" t="s">
        <v>5019</v>
      </c>
      <c r="K794" s="2" t="s">
        <v>32</v>
      </c>
      <c r="M794" s="2">
        <v>86.0</v>
      </c>
      <c r="N794" s="2">
        <v>2874.55</v>
      </c>
      <c r="O794" s="2" t="s">
        <v>41</v>
      </c>
      <c r="P794" s="2" t="s">
        <v>5020</v>
      </c>
      <c r="Q794" s="2" t="s">
        <v>5021</v>
      </c>
      <c r="S794" s="2">
        <v>96799.0</v>
      </c>
      <c r="T794" s="2" t="s">
        <v>5022</v>
      </c>
      <c r="U794" s="2" t="s">
        <v>33</v>
      </c>
    </row>
    <row r="795">
      <c r="A795" s="2">
        <v>794.0</v>
      </c>
      <c r="B795" s="2">
        <v>794.0</v>
      </c>
      <c r="C795" s="2">
        <v>794.0</v>
      </c>
      <c r="D795" s="3">
        <v>44195.0</v>
      </c>
      <c r="E795" s="2" t="s">
        <v>5023</v>
      </c>
      <c r="F795" s="2" t="s">
        <v>263</v>
      </c>
      <c r="G795" s="2">
        <v>558.04</v>
      </c>
      <c r="H795" s="2" t="s">
        <v>4130</v>
      </c>
      <c r="I795" s="2" t="s">
        <v>5024</v>
      </c>
      <c r="J795" s="2" t="s">
        <v>5025</v>
      </c>
      <c r="K795" s="2" t="s">
        <v>1008</v>
      </c>
      <c r="M795" s="2">
        <v>91.0</v>
      </c>
      <c r="N795" s="2">
        <v>6946.98</v>
      </c>
      <c r="O795" s="2" t="s">
        <v>52</v>
      </c>
      <c r="P795" s="2" t="s">
        <v>5026</v>
      </c>
      <c r="Q795" s="2" t="s">
        <v>5027</v>
      </c>
      <c r="S795" s="2" t="s">
        <v>5028</v>
      </c>
      <c r="T795" s="2" t="s">
        <v>257</v>
      </c>
      <c r="U795" s="2" t="s">
        <v>71</v>
      </c>
    </row>
    <row r="796">
      <c r="A796" s="2">
        <v>795.0</v>
      </c>
      <c r="B796" s="2">
        <v>795.0</v>
      </c>
      <c r="C796" s="2">
        <v>795.0</v>
      </c>
      <c r="D796" s="3">
        <v>43997.0</v>
      </c>
      <c r="E796" s="2" t="s">
        <v>1936</v>
      </c>
      <c r="F796" s="2" t="s">
        <v>738</v>
      </c>
      <c r="G796" s="2">
        <v>70.84</v>
      </c>
      <c r="H796" s="2" t="s">
        <v>5029</v>
      </c>
      <c r="I796" s="2" t="s">
        <v>5030</v>
      </c>
      <c r="J796" s="2" t="s">
        <v>5031</v>
      </c>
      <c r="K796" s="2" t="s">
        <v>119</v>
      </c>
      <c r="M796" s="2">
        <v>45.0</v>
      </c>
      <c r="N796" s="2">
        <v>4429.94</v>
      </c>
      <c r="O796" s="2" t="s">
        <v>41</v>
      </c>
      <c r="P796" s="2" t="s">
        <v>3765</v>
      </c>
      <c r="Q796" s="2" t="s">
        <v>5032</v>
      </c>
      <c r="T796" s="2" t="s">
        <v>228</v>
      </c>
      <c r="U796" s="2" t="s">
        <v>46</v>
      </c>
    </row>
    <row r="797">
      <c r="A797" s="2">
        <v>796.0</v>
      </c>
      <c r="B797" s="2">
        <v>796.0</v>
      </c>
      <c r="C797" s="2">
        <v>796.0</v>
      </c>
      <c r="D797" s="3">
        <v>44365.0</v>
      </c>
      <c r="E797" s="2" t="s">
        <v>5033</v>
      </c>
      <c r="F797" s="2" t="s">
        <v>35</v>
      </c>
      <c r="G797" s="2">
        <v>697.75</v>
      </c>
      <c r="H797" s="2" t="s">
        <v>5034</v>
      </c>
      <c r="I797" s="2" t="s">
        <v>5035</v>
      </c>
      <c r="J797" s="2" t="s">
        <v>5036</v>
      </c>
      <c r="K797" s="2" t="s">
        <v>249</v>
      </c>
      <c r="M797" s="2">
        <v>12.0</v>
      </c>
      <c r="N797" s="2">
        <v>2555.68</v>
      </c>
      <c r="O797" s="2" t="s">
        <v>28</v>
      </c>
      <c r="P797" s="2" t="s">
        <v>1368</v>
      </c>
      <c r="Q797" s="2" t="s">
        <v>5037</v>
      </c>
      <c r="T797" s="2" t="s">
        <v>137</v>
      </c>
      <c r="U797" s="2" t="s">
        <v>46</v>
      </c>
    </row>
    <row r="798">
      <c r="A798" s="2">
        <v>797.0</v>
      </c>
      <c r="B798" s="2">
        <v>797.0</v>
      </c>
      <c r="C798" s="2">
        <v>797.0</v>
      </c>
      <c r="D798" s="3">
        <v>43925.0</v>
      </c>
      <c r="E798" s="2" t="s">
        <v>5038</v>
      </c>
      <c r="F798" s="2" t="s">
        <v>5039</v>
      </c>
      <c r="G798" s="2">
        <v>771.2</v>
      </c>
      <c r="H798" s="2" t="s">
        <v>4378</v>
      </c>
      <c r="I798" s="2" t="s">
        <v>5040</v>
      </c>
      <c r="J798" s="2" t="s">
        <v>5041</v>
      </c>
      <c r="K798" s="2" t="s">
        <v>32</v>
      </c>
      <c r="M798" s="2">
        <v>94.0</v>
      </c>
      <c r="N798" s="2">
        <v>4596.33</v>
      </c>
      <c r="O798" s="2" t="s">
        <v>41</v>
      </c>
      <c r="P798" s="2" t="s">
        <v>5042</v>
      </c>
      <c r="Q798" s="2" t="s">
        <v>5043</v>
      </c>
      <c r="S798" s="2">
        <v>7425.0</v>
      </c>
      <c r="T798" s="2" t="s">
        <v>453</v>
      </c>
      <c r="U798" s="2" t="s">
        <v>33</v>
      </c>
    </row>
    <row r="799">
      <c r="A799" s="2">
        <v>798.0</v>
      </c>
      <c r="B799" s="2">
        <v>798.0</v>
      </c>
      <c r="C799" s="2">
        <v>798.0</v>
      </c>
      <c r="D799" s="3">
        <v>43918.0</v>
      </c>
      <c r="E799" s="2" t="s">
        <v>5044</v>
      </c>
      <c r="F799" s="2" t="s">
        <v>965</v>
      </c>
      <c r="G799" s="2">
        <v>254.66</v>
      </c>
      <c r="H799" s="2" t="s">
        <v>5045</v>
      </c>
      <c r="I799" s="2" t="s">
        <v>5046</v>
      </c>
      <c r="J799" s="2" t="s">
        <v>5047</v>
      </c>
      <c r="K799" s="2" t="s">
        <v>101</v>
      </c>
      <c r="L799" s="2">
        <v>30130.0</v>
      </c>
      <c r="M799" s="2">
        <v>38.0</v>
      </c>
      <c r="N799" s="2">
        <v>1343.33</v>
      </c>
      <c r="O799" s="2" t="s">
        <v>28</v>
      </c>
      <c r="P799" s="2" t="s">
        <v>5048</v>
      </c>
      <c r="Q799" s="2" t="s">
        <v>5049</v>
      </c>
      <c r="R799" s="2" t="s">
        <v>4874</v>
      </c>
      <c r="S799" s="2" t="s">
        <v>5050</v>
      </c>
      <c r="T799" s="2" t="s">
        <v>379</v>
      </c>
      <c r="U799" s="2" t="s">
        <v>71</v>
      </c>
    </row>
    <row r="800">
      <c r="A800" s="2">
        <v>799.0</v>
      </c>
      <c r="B800" s="2">
        <v>799.0</v>
      </c>
      <c r="C800" s="2">
        <v>799.0</v>
      </c>
      <c r="D800" s="3">
        <v>43894.0</v>
      </c>
      <c r="E800" s="2" t="s">
        <v>5051</v>
      </c>
      <c r="F800" s="2" t="s">
        <v>965</v>
      </c>
      <c r="G800" s="2">
        <v>607.27</v>
      </c>
      <c r="H800" s="2" t="s">
        <v>5052</v>
      </c>
      <c r="I800" s="2" t="s">
        <v>5053</v>
      </c>
      <c r="J800" s="2" t="s">
        <v>5054</v>
      </c>
      <c r="K800" s="2" t="s">
        <v>77</v>
      </c>
      <c r="M800" s="2">
        <v>71.0</v>
      </c>
      <c r="N800" s="2">
        <v>2742.29</v>
      </c>
      <c r="O800" s="2" t="s">
        <v>41</v>
      </c>
      <c r="P800" s="2" t="s">
        <v>5055</v>
      </c>
      <c r="Q800" s="2" t="s">
        <v>5056</v>
      </c>
      <c r="T800" s="2" t="s">
        <v>32</v>
      </c>
      <c r="U800" s="2" t="s">
        <v>33</v>
      </c>
    </row>
    <row r="801">
      <c r="A801" s="2">
        <v>800.0</v>
      </c>
      <c r="B801" s="2">
        <v>800.0</v>
      </c>
      <c r="C801" s="2">
        <v>800.0</v>
      </c>
      <c r="D801" s="3">
        <v>44121.0</v>
      </c>
      <c r="E801" s="2" t="s">
        <v>5057</v>
      </c>
      <c r="F801" s="2" t="s">
        <v>2623</v>
      </c>
      <c r="G801" s="2">
        <v>257.49</v>
      </c>
      <c r="H801" s="2" t="s">
        <v>5058</v>
      </c>
      <c r="I801" s="2" t="s">
        <v>5059</v>
      </c>
      <c r="J801" s="2" t="s">
        <v>5060</v>
      </c>
      <c r="K801" s="2" t="s">
        <v>32</v>
      </c>
      <c r="M801" s="2">
        <v>19.0</v>
      </c>
      <c r="N801" s="2">
        <v>3873.34</v>
      </c>
      <c r="O801" s="2" t="s">
        <v>28</v>
      </c>
      <c r="P801" s="2" t="s">
        <v>5061</v>
      </c>
      <c r="Q801" s="2" t="s">
        <v>5062</v>
      </c>
      <c r="T801" s="2" t="s">
        <v>32</v>
      </c>
      <c r="U801" s="2" t="s">
        <v>46</v>
      </c>
    </row>
    <row r="802">
      <c r="A802" s="2">
        <v>801.0</v>
      </c>
      <c r="B802" s="2">
        <v>801.0</v>
      </c>
      <c r="C802" s="2">
        <v>801.0</v>
      </c>
      <c r="D802" s="3">
        <v>43947.0</v>
      </c>
      <c r="E802" s="2" t="s">
        <v>5063</v>
      </c>
      <c r="F802" s="2" t="s">
        <v>2344</v>
      </c>
      <c r="G802" s="2">
        <v>586.34</v>
      </c>
      <c r="H802" s="2" t="s">
        <v>5064</v>
      </c>
      <c r="I802" s="2" t="s">
        <v>5065</v>
      </c>
      <c r="J802" s="2" t="s">
        <v>5066</v>
      </c>
      <c r="K802" s="2" t="s">
        <v>882</v>
      </c>
      <c r="L802" s="2">
        <v>40101.0</v>
      </c>
      <c r="M802" s="2">
        <v>52.0</v>
      </c>
      <c r="N802" s="2">
        <v>1887.82</v>
      </c>
      <c r="O802" s="2" t="s">
        <v>28</v>
      </c>
      <c r="P802" s="2" t="s">
        <v>4256</v>
      </c>
      <c r="Q802" s="2" t="s">
        <v>5067</v>
      </c>
      <c r="T802" s="2" t="s">
        <v>5068</v>
      </c>
      <c r="U802" s="2" t="s">
        <v>33</v>
      </c>
    </row>
    <row r="803">
      <c r="A803" s="2">
        <v>802.0</v>
      </c>
      <c r="B803" s="2">
        <v>802.0</v>
      </c>
      <c r="C803" s="2">
        <v>802.0</v>
      </c>
      <c r="D803" s="3">
        <v>43835.0</v>
      </c>
      <c r="E803" s="2" t="s">
        <v>5069</v>
      </c>
      <c r="F803" s="2" t="s">
        <v>413</v>
      </c>
      <c r="G803" s="2">
        <v>924.76</v>
      </c>
      <c r="H803" s="2" t="s">
        <v>5070</v>
      </c>
      <c r="I803" s="2" t="s">
        <v>5071</v>
      </c>
      <c r="J803" s="2" t="s">
        <v>5072</v>
      </c>
      <c r="K803" s="2" t="s">
        <v>478</v>
      </c>
      <c r="M803" s="2">
        <v>72.0</v>
      </c>
      <c r="N803" s="2">
        <v>8319.75</v>
      </c>
      <c r="O803" s="2" t="s">
        <v>52</v>
      </c>
      <c r="P803" s="2" t="s">
        <v>5073</v>
      </c>
      <c r="Q803" s="2" t="s">
        <v>5074</v>
      </c>
      <c r="S803" s="2">
        <v>8701.0</v>
      </c>
      <c r="T803" s="2" t="s">
        <v>460</v>
      </c>
      <c r="U803" s="2" t="s">
        <v>46</v>
      </c>
    </row>
    <row r="804">
      <c r="A804" s="2">
        <v>803.0</v>
      </c>
      <c r="B804" s="2">
        <v>803.0</v>
      </c>
      <c r="C804" s="2">
        <v>803.0</v>
      </c>
      <c r="D804" s="3">
        <v>43963.0</v>
      </c>
      <c r="E804" s="2" t="s">
        <v>2885</v>
      </c>
      <c r="F804" s="2" t="s">
        <v>567</v>
      </c>
      <c r="G804" s="2">
        <v>89.3</v>
      </c>
      <c r="H804" s="2" t="s">
        <v>5075</v>
      </c>
      <c r="I804" s="2" t="s">
        <v>5076</v>
      </c>
      <c r="J804" s="2" t="s">
        <v>5077</v>
      </c>
      <c r="K804" s="2" t="s">
        <v>163</v>
      </c>
      <c r="L804" s="2" t="s">
        <v>5078</v>
      </c>
      <c r="M804" s="2">
        <v>6.0</v>
      </c>
      <c r="N804" s="2">
        <v>3870.28</v>
      </c>
      <c r="O804" s="2" t="s">
        <v>41</v>
      </c>
      <c r="P804" s="2" t="s">
        <v>5079</v>
      </c>
      <c r="Q804" s="2" t="s">
        <v>5080</v>
      </c>
      <c r="S804" s="2">
        <v>60028.0</v>
      </c>
      <c r="T804" s="2" t="s">
        <v>2767</v>
      </c>
      <c r="U804" s="2" t="s">
        <v>33</v>
      </c>
    </row>
    <row r="805">
      <c r="A805" s="2">
        <v>804.0</v>
      </c>
      <c r="B805" s="2">
        <v>804.0</v>
      </c>
      <c r="C805" s="2">
        <v>804.0</v>
      </c>
      <c r="D805" s="3">
        <v>44101.0</v>
      </c>
      <c r="E805" s="2" t="s">
        <v>5081</v>
      </c>
      <c r="F805" s="2" t="s">
        <v>73</v>
      </c>
      <c r="G805" s="2">
        <v>659.17</v>
      </c>
      <c r="H805" s="2" t="s">
        <v>5082</v>
      </c>
      <c r="I805" s="2" t="s">
        <v>5083</v>
      </c>
      <c r="J805" s="2" t="s">
        <v>5084</v>
      </c>
      <c r="K805" s="2" t="s">
        <v>114</v>
      </c>
      <c r="L805" s="2" t="s">
        <v>5085</v>
      </c>
      <c r="M805" s="2">
        <v>33.0</v>
      </c>
      <c r="N805" s="2">
        <v>2289.12</v>
      </c>
      <c r="O805" s="2" t="s">
        <v>41</v>
      </c>
      <c r="P805" s="2" t="s">
        <v>5086</v>
      </c>
      <c r="Q805" s="2" t="s">
        <v>5087</v>
      </c>
      <c r="T805" s="2" t="s">
        <v>137</v>
      </c>
      <c r="U805" s="2" t="s">
        <v>46</v>
      </c>
    </row>
    <row r="806">
      <c r="A806" s="2">
        <v>805.0</v>
      </c>
      <c r="B806" s="2">
        <v>805.0</v>
      </c>
      <c r="C806" s="2">
        <v>805.0</v>
      </c>
      <c r="D806" s="3">
        <v>44148.0</v>
      </c>
      <c r="E806" s="2" t="s">
        <v>2273</v>
      </c>
      <c r="F806" s="2" t="s">
        <v>73</v>
      </c>
      <c r="G806" s="2">
        <v>978.2</v>
      </c>
      <c r="H806" s="2" t="s">
        <v>5088</v>
      </c>
      <c r="I806" s="2" t="s">
        <v>5089</v>
      </c>
      <c r="J806" s="2" t="s">
        <v>5090</v>
      </c>
      <c r="K806" s="2" t="s">
        <v>241</v>
      </c>
      <c r="L806" s="2">
        <v>800.0</v>
      </c>
      <c r="M806" s="2">
        <v>88.0</v>
      </c>
      <c r="N806" s="2">
        <v>812.6</v>
      </c>
      <c r="O806" s="2" t="s">
        <v>28</v>
      </c>
      <c r="P806" s="2" t="s">
        <v>202</v>
      </c>
      <c r="Q806" s="2" t="s">
        <v>5091</v>
      </c>
      <c r="S806" s="2">
        <v>353624.0</v>
      </c>
      <c r="T806" s="2" t="s">
        <v>68</v>
      </c>
      <c r="U806" s="2" t="s">
        <v>71</v>
      </c>
    </row>
    <row r="807">
      <c r="A807" s="2">
        <v>806.0</v>
      </c>
      <c r="B807" s="2">
        <v>806.0</v>
      </c>
      <c r="C807" s="2">
        <v>806.0</v>
      </c>
      <c r="D807" s="3">
        <v>44210.0</v>
      </c>
      <c r="E807" s="2" t="s">
        <v>5092</v>
      </c>
      <c r="F807" s="2" t="s">
        <v>1671</v>
      </c>
      <c r="G807" s="2">
        <v>499.35</v>
      </c>
      <c r="H807" s="2" t="s">
        <v>5093</v>
      </c>
      <c r="I807" s="2" t="s">
        <v>5094</v>
      </c>
      <c r="J807" s="2" t="s">
        <v>5095</v>
      </c>
      <c r="K807" s="2" t="s">
        <v>330</v>
      </c>
      <c r="M807" s="2">
        <v>96.0</v>
      </c>
      <c r="N807" s="2">
        <v>4323.81</v>
      </c>
      <c r="O807" s="2" t="s">
        <v>52</v>
      </c>
      <c r="P807" s="2" t="s">
        <v>5096</v>
      </c>
      <c r="Q807" s="2" t="s">
        <v>5097</v>
      </c>
      <c r="S807" s="2" t="s">
        <v>5098</v>
      </c>
      <c r="T807" s="2" t="s">
        <v>163</v>
      </c>
      <c r="U807" s="2" t="s">
        <v>33</v>
      </c>
    </row>
    <row r="808">
      <c r="A808" s="2">
        <v>807.0</v>
      </c>
      <c r="B808" s="2">
        <v>807.0</v>
      </c>
      <c r="C808" s="2">
        <v>807.0</v>
      </c>
      <c r="D808" s="3">
        <v>44311.0</v>
      </c>
      <c r="E808" s="2" t="s">
        <v>2444</v>
      </c>
      <c r="F808" s="2" t="s">
        <v>56</v>
      </c>
      <c r="G808" s="2">
        <v>508.53</v>
      </c>
      <c r="H808" s="2" t="s">
        <v>5099</v>
      </c>
      <c r="I808" s="2" t="s">
        <v>5100</v>
      </c>
      <c r="J808" s="2" t="s">
        <v>5101</v>
      </c>
      <c r="K808" s="2" t="s">
        <v>3792</v>
      </c>
      <c r="M808" s="2">
        <v>17.0</v>
      </c>
      <c r="N808" s="2">
        <v>1128.76</v>
      </c>
      <c r="O808" s="2" t="s">
        <v>28</v>
      </c>
      <c r="P808" s="2" t="s">
        <v>5102</v>
      </c>
      <c r="Q808" s="2" t="s">
        <v>5103</v>
      </c>
      <c r="S808" s="2">
        <v>20101.0</v>
      </c>
      <c r="T808" s="2" t="s">
        <v>882</v>
      </c>
      <c r="U808" s="2" t="s">
        <v>33</v>
      </c>
    </row>
    <row r="809">
      <c r="A809" s="2">
        <v>808.0</v>
      </c>
      <c r="B809" s="2">
        <v>808.0</v>
      </c>
      <c r="C809" s="2">
        <v>808.0</v>
      </c>
      <c r="D809" s="3">
        <v>44239.0</v>
      </c>
      <c r="E809" s="2" t="s">
        <v>5104</v>
      </c>
      <c r="F809" s="2" t="s">
        <v>237</v>
      </c>
      <c r="G809" s="2">
        <v>108.04</v>
      </c>
      <c r="H809" s="2" t="s">
        <v>952</v>
      </c>
      <c r="I809" s="2" t="s">
        <v>5105</v>
      </c>
      <c r="J809" s="2" t="s">
        <v>5106</v>
      </c>
      <c r="K809" s="2" t="s">
        <v>1363</v>
      </c>
      <c r="M809" s="2">
        <v>55.0</v>
      </c>
      <c r="N809" s="2">
        <v>9761.0</v>
      </c>
      <c r="O809" s="2" t="s">
        <v>52</v>
      </c>
      <c r="P809" s="2" t="s">
        <v>5107</v>
      </c>
      <c r="Q809" s="2" t="s">
        <v>5108</v>
      </c>
      <c r="S809" s="2" t="s">
        <v>5109</v>
      </c>
      <c r="T809" s="2" t="s">
        <v>114</v>
      </c>
      <c r="U809" s="2" t="s">
        <v>46</v>
      </c>
    </row>
    <row r="810">
      <c r="A810" s="2">
        <v>809.0</v>
      </c>
      <c r="B810" s="2">
        <v>809.0</v>
      </c>
      <c r="C810" s="2">
        <v>809.0</v>
      </c>
      <c r="D810" s="3">
        <v>44382.0</v>
      </c>
      <c r="E810" s="2" t="s">
        <v>5110</v>
      </c>
      <c r="F810" s="2" t="s">
        <v>662</v>
      </c>
      <c r="G810" s="2">
        <v>112.75</v>
      </c>
      <c r="H810" s="2" t="s">
        <v>5111</v>
      </c>
      <c r="I810" s="2" t="s">
        <v>5112</v>
      </c>
      <c r="J810" s="2" t="s">
        <v>5113</v>
      </c>
      <c r="K810" s="2" t="s">
        <v>68</v>
      </c>
      <c r="L810" s="2">
        <v>617248.0</v>
      </c>
      <c r="M810" s="2">
        <v>3.0</v>
      </c>
      <c r="N810" s="2">
        <v>3514.5</v>
      </c>
      <c r="O810" s="2" t="s">
        <v>28</v>
      </c>
      <c r="P810" s="2" t="s">
        <v>5114</v>
      </c>
      <c r="Q810" s="2" t="s">
        <v>5115</v>
      </c>
      <c r="T810" s="2" t="s">
        <v>119</v>
      </c>
      <c r="U810" s="2" t="s">
        <v>46</v>
      </c>
    </row>
    <row r="811">
      <c r="A811" s="2">
        <v>810.0</v>
      </c>
      <c r="B811" s="2">
        <v>810.0</v>
      </c>
      <c r="C811" s="2">
        <v>810.0</v>
      </c>
      <c r="D811" s="3">
        <v>44314.0</v>
      </c>
      <c r="E811" s="2" t="s">
        <v>1920</v>
      </c>
      <c r="F811" s="2" t="s">
        <v>73</v>
      </c>
      <c r="G811" s="2">
        <v>93.01</v>
      </c>
      <c r="H811" s="2" t="s">
        <v>5116</v>
      </c>
      <c r="I811" s="2" t="s">
        <v>5117</v>
      </c>
      <c r="J811" s="2" t="s">
        <v>5118</v>
      </c>
      <c r="K811" s="2" t="s">
        <v>32</v>
      </c>
      <c r="M811" s="2">
        <v>20.0</v>
      </c>
      <c r="N811" s="2">
        <v>6277.25</v>
      </c>
      <c r="O811" s="2" t="s">
        <v>52</v>
      </c>
      <c r="P811" s="2" t="s">
        <v>5119</v>
      </c>
      <c r="Q811" s="2" t="s">
        <v>5120</v>
      </c>
      <c r="T811" s="2" t="s">
        <v>119</v>
      </c>
      <c r="U811" s="2" t="s">
        <v>46</v>
      </c>
    </row>
    <row r="812">
      <c r="A812" s="2">
        <v>811.0</v>
      </c>
      <c r="B812" s="2">
        <v>811.0</v>
      </c>
      <c r="C812" s="2">
        <v>811.0</v>
      </c>
      <c r="D812" s="3">
        <v>44461.0</v>
      </c>
      <c r="E812" s="2" t="s">
        <v>3909</v>
      </c>
      <c r="F812" s="2" t="s">
        <v>183</v>
      </c>
      <c r="G812" s="2">
        <v>793.62</v>
      </c>
      <c r="H812" s="2" t="s">
        <v>5121</v>
      </c>
      <c r="I812" s="2" t="s">
        <v>5122</v>
      </c>
      <c r="J812" s="2" t="s">
        <v>5123</v>
      </c>
      <c r="K812" s="2" t="s">
        <v>32</v>
      </c>
      <c r="M812" s="2">
        <v>49.0</v>
      </c>
      <c r="N812" s="2">
        <v>4378.67</v>
      </c>
      <c r="O812" s="2" t="s">
        <v>52</v>
      </c>
      <c r="P812" s="2" t="s">
        <v>234</v>
      </c>
      <c r="Q812" s="2" t="s">
        <v>5124</v>
      </c>
      <c r="T812" s="2" t="s">
        <v>119</v>
      </c>
      <c r="U812" s="2" t="s">
        <v>71</v>
      </c>
    </row>
    <row r="813">
      <c r="A813" s="2">
        <v>812.0</v>
      </c>
      <c r="B813" s="2">
        <v>812.0</v>
      </c>
      <c r="C813" s="2">
        <v>812.0</v>
      </c>
      <c r="D813" s="3">
        <v>44524.0</v>
      </c>
      <c r="E813" s="2" t="s">
        <v>5125</v>
      </c>
      <c r="F813" s="2" t="s">
        <v>213</v>
      </c>
      <c r="G813" s="2">
        <v>114.45</v>
      </c>
      <c r="H813" s="2" t="s">
        <v>5126</v>
      </c>
      <c r="I813" s="2" t="s">
        <v>5127</v>
      </c>
      <c r="J813" s="2" t="s">
        <v>5128</v>
      </c>
      <c r="K813" s="2" t="s">
        <v>5129</v>
      </c>
      <c r="L813" s="2" t="s">
        <v>5130</v>
      </c>
      <c r="M813" s="2">
        <v>55.0</v>
      </c>
      <c r="N813" s="2">
        <v>4598.98</v>
      </c>
      <c r="O813" s="2" t="s">
        <v>28</v>
      </c>
      <c r="P813" s="2" t="s">
        <v>883</v>
      </c>
      <c r="Q813" s="2" t="s">
        <v>5131</v>
      </c>
      <c r="T813" s="2" t="s">
        <v>92</v>
      </c>
      <c r="U813" s="2" t="s">
        <v>71</v>
      </c>
    </row>
    <row r="814">
      <c r="A814" s="2">
        <v>813.0</v>
      </c>
      <c r="B814" s="2">
        <v>813.0</v>
      </c>
      <c r="C814" s="2">
        <v>813.0</v>
      </c>
      <c r="D814" s="3">
        <v>44348.0</v>
      </c>
      <c r="E814" s="2" t="s">
        <v>2016</v>
      </c>
      <c r="F814" s="2" t="s">
        <v>133</v>
      </c>
      <c r="G814" s="2">
        <v>586.86</v>
      </c>
      <c r="H814" s="2" t="s">
        <v>5132</v>
      </c>
      <c r="I814" s="2" t="s">
        <v>5133</v>
      </c>
      <c r="J814" s="2" t="s">
        <v>5134</v>
      </c>
      <c r="K814" s="2" t="s">
        <v>68</v>
      </c>
      <c r="L814" s="2">
        <v>162222.0</v>
      </c>
      <c r="M814" s="2">
        <v>33.0</v>
      </c>
      <c r="N814" s="2">
        <v>7553.34</v>
      </c>
      <c r="O814" s="2" t="s">
        <v>28</v>
      </c>
      <c r="P814" s="2" t="s">
        <v>5135</v>
      </c>
      <c r="Q814" s="2" t="s">
        <v>5136</v>
      </c>
      <c r="T814" s="2" t="s">
        <v>5137</v>
      </c>
      <c r="U814" s="2" t="s">
        <v>71</v>
      </c>
    </row>
    <row r="815">
      <c r="A815" s="2">
        <v>814.0</v>
      </c>
      <c r="B815" s="2">
        <v>814.0</v>
      </c>
      <c r="C815" s="2">
        <v>814.0</v>
      </c>
      <c r="D815" s="3">
        <v>44194.0</v>
      </c>
      <c r="E815" s="2" t="s">
        <v>5138</v>
      </c>
      <c r="F815" s="2" t="s">
        <v>1626</v>
      </c>
      <c r="G815" s="2">
        <v>648.09</v>
      </c>
      <c r="H815" s="2" t="s">
        <v>5139</v>
      </c>
      <c r="I815" s="2" t="s">
        <v>5140</v>
      </c>
      <c r="J815" s="2" t="s">
        <v>5141</v>
      </c>
      <c r="K815" s="2" t="s">
        <v>119</v>
      </c>
      <c r="M815" s="2">
        <v>5.0</v>
      </c>
      <c r="N815" s="2">
        <v>7884.78</v>
      </c>
      <c r="O815" s="2" t="s">
        <v>52</v>
      </c>
      <c r="P815" s="2" t="s">
        <v>5142</v>
      </c>
      <c r="Q815" s="2" t="s">
        <v>5143</v>
      </c>
      <c r="S815" s="2">
        <v>9022.0</v>
      </c>
      <c r="T815" s="2" t="s">
        <v>241</v>
      </c>
      <c r="U815" s="2" t="s">
        <v>71</v>
      </c>
    </row>
    <row r="816">
      <c r="A816" s="2">
        <v>815.0</v>
      </c>
      <c r="B816" s="2">
        <v>815.0</v>
      </c>
      <c r="C816" s="2">
        <v>815.0</v>
      </c>
      <c r="D816" s="3">
        <v>44343.0</v>
      </c>
      <c r="E816" s="2" t="s">
        <v>2294</v>
      </c>
      <c r="F816" s="2" t="s">
        <v>230</v>
      </c>
      <c r="G816" s="2">
        <v>776.58</v>
      </c>
      <c r="H816" s="2" t="s">
        <v>5144</v>
      </c>
      <c r="I816" s="2" t="s">
        <v>5145</v>
      </c>
      <c r="J816" s="2" t="s">
        <v>5146</v>
      </c>
      <c r="K816" s="2" t="s">
        <v>163</v>
      </c>
      <c r="L816" s="2" t="s">
        <v>5147</v>
      </c>
      <c r="M816" s="2">
        <v>96.0</v>
      </c>
      <c r="N816" s="2">
        <v>6840.07</v>
      </c>
      <c r="O816" s="2" t="s">
        <v>28</v>
      </c>
      <c r="P816" s="2" t="s">
        <v>996</v>
      </c>
      <c r="Q816" s="2" t="s">
        <v>5148</v>
      </c>
      <c r="T816" s="2" t="s">
        <v>32</v>
      </c>
      <c r="U816" s="2" t="s">
        <v>33</v>
      </c>
    </row>
    <row r="817">
      <c r="A817" s="2">
        <v>816.0</v>
      </c>
      <c r="B817" s="2">
        <v>816.0</v>
      </c>
      <c r="C817" s="2">
        <v>816.0</v>
      </c>
      <c r="D817" s="3">
        <v>43997.0</v>
      </c>
      <c r="E817" s="2" t="s">
        <v>5149</v>
      </c>
      <c r="F817" s="2" t="s">
        <v>272</v>
      </c>
      <c r="G817" s="2">
        <v>405.21</v>
      </c>
      <c r="H817" s="2" t="s">
        <v>5150</v>
      </c>
      <c r="I817" s="2" t="s">
        <v>5151</v>
      </c>
      <c r="J817" s="2" t="s">
        <v>5152</v>
      </c>
      <c r="K817" s="2" t="s">
        <v>241</v>
      </c>
      <c r="L817" s="2">
        <v>9712.0</v>
      </c>
      <c r="M817" s="2">
        <v>56.0</v>
      </c>
      <c r="N817" s="2">
        <v>9157.44</v>
      </c>
      <c r="O817" s="2" t="s">
        <v>41</v>
      </c>
      <c r="P817" s="2" t="s">
        <v>355</v>
      </c>
      <c r="Q817" s="2" t="s">
        <v>5153</v>
      </c>
      <c r="T817" s="2" t="s">
        <v>478</v>
      </c>
      <c r="U817" s="2" t="s">
        <v>46</v>
      </c>
    </row>
    <row r="818">
      <c r="A818" s="2">
        <v>817.0</v>
      </c>
      <c r="B818" s="2">
        <v>817.0</v>
      </c>
      <c r="C818" s="2">
        <v>817.0</v>
      </c>
      <c r="D818" s="3">
        <v>44046.0</v>
      </c>
      <c r="E818" s="2" t="s">
        <v>5154</v>
      </c>
      <c r="F818" s="2" t="s">
        <v>992</v>
      </c>
      <c r="G818" s="2">
        <v>134.93</v>
      </c>
      <c r="H818" s="2" t="s">
        <v>5155</v>
      </c>
      <c r="I818" s="2" t="s">
        <v>5156</v>
      </c>
      <c r="J818" s="2" t="s">
        <v>5157</v>
      </c>
      <c r="K818" s="2" t="s">
        <v>241</v>
      </c>
      <c r="L818" s="2">
        <v>1270.0</v>
      </c>
      <c r="M818" s="2">
        <v>88.0</v>
      </c>
      <c r="N818" s="2">
        <v>3174.08</v>
      </c>
      <c r="O818" s="2" t="s">
        <v>28</v>
      </c>
      <c r="P818" s="2" t="s">
        <v>5158</v>
      </c>
      <c r="Q818" s="2" t="s">
        <v>5159</v>
      </c>
      <c r="S818" s="2" t="s">
        <v>928</v>
      </c>
      <c r="T818" s="2" t="s">
        <v>114</v>
      </c>
      <c r="U818" s="2" t="s">
        <v>33</v>
      </c>
    </row>
    <row r="819">
      <c r="A819" s="2">
        <v>818.0</v>
      </c>
      <c r="B819" s="2">
        <v>818.0</v>
      </c>
      <c r="C819" s="2">
        <v>818.0</v>
      </c>
      <c r="D819" s="3">
        <v>44053.0</v>
      </c>
      <c r="E819" s="2" t="s">
        <v>683</v>
      </c>
      <c r="F819" s="2" t="s">
        <v>35</v>
      </c>
      <c r="G819" s="2">
        <v>475.29</v>
      </c>
      <c r="H819" s="2" t="s">
        <v>5160</v>
      </c>
      <c r="I819" s="2" t="s">
        <v>5161</v>
      </c>
      <c r="J819" s="2" t="s">
        <v>5162</v>
      </c>
      <c r="K819" s="2" t="s">
        <v>101</v>
      </c>
      <c r="L819" s="2">
        <v>33884.0</v>
      </c>
      <c r="M819" s="2">
        <v>15.0</v>
      </c>
      <c r="N819" s="2">
        <v>5216.19</v>
      </c>
      <c r="O819" s="2" t="s">
        <v>28</v>
      </c>
      <c r="P819" s="2" t="s">
        <v>2054</v>
      </c>
      <c r="Q819" s="2" t="s">
        <v>5163</v>
      </c>
      <c r="R819" s="2" t="s">
        <v>1814</v>
      </c>
      <c r="S819" s="2">
        <v>45140.0</v>
      </c>
      <c r="T819" s="2" t="s">
        <v>627</v>
      </c>
      <c r="U819" s="2" t="s">
        <v>71</v>
      </c>
    </row>
    <row r="820">
      <c r="A820" s="2">
        <v>819.0</v>
      </c>
      <c r="B820" s="2">
        <v>819.0</v>
      </c>
      <c r="C820" s="2">
        <v>819.0</v>
      </c>
      <c r="D820" s="3">
        <v>44531.0</v>
      </c>
      <c r="E820" s="2" t="s">
        <v>2567</v>
      </c>
      <c r="F820" s="2" t="s">
        <v>56</v>
      </c>
      <c r="G820" s="2">
        <v>390.86</v>
      </c>
      <c r="H820" s="2" t="s">
        <v>1313</v>
      </c>
      <c r="I820" s="2" t="s">
        <v>5164</v>
      </c>
      <c r="J820" s="2" t="s">
        <v>5165</v>
      </c>
      <c r="K820" s="2" t="s">
        <v>39</v>
      </c>
      <c r="L820" s="2" t="s">
        <v>806</v>
      </c>
      <c r="M820" s="2">
        <v>5.0</v>
      </c>
      <c r="N820" s="2">
        <v>4089.74</v>
      </c>
      <c r="O820" s="2" t="s">
        <v>41</v>
      </c>
      <c r="P820" s="2" t="s">
        <v>5166</v>
      </c>
      <c r="Q820" s="2" t="s">
        <v>5167</v>
      </c>
      <c r="R820" s="2" t="s">
        <v>3147</v>
      </c>
      <c r="S820" s="2">
        <v>162017.0</v>
      </c>
      <c r="T820" s="2" t="s">
        <v>68</v>
      </c>
      <c r="U820" s="2" t="s">
        <v>46</v>
      </c>
    </row>
    <row r="821">
      <c r="A821" s="2">
        <v>820.0</v>
      </c>
      <c r="B821" s="2">
        <v>820.0</v>
      </c>
      <c r="C821" s="2">
        <v>820.0</v>
      </c>
      <c r="D821" s="3">
        <v>44391.0</v>
      </c>
      <c r="E821" s="2" t="s">
        <v>821</v>
      </c>
      <c r="F821" s="2" t="s">
        <v>822</v>
      </c>
      <c r="G821" s="2">
        <v>991.94</v>
      </c>
      <c r="H821" s="2" t="s">
        <v>5168</v>
      </c>
      <c r="I821" s="2" t="s">
        <v>5169</v>
      </c>
      <c r="J821" s="2" t="s">
        <v>5170</v>
      </c>
      <c r="K821" s="2" t="s">
        <v>106</v>
      </c>
      <c r="L821" s="2" t="s">
        <v>5171</v>
      </c>
      <c r="M821" s="2">
        <v>15.0</v>
      </c>
      <c r="N821" s="2">
        <v>408.85</v>
      </c>
      <c r="O821" s="2" t="s">
        <v>41</v>
      </c>
      <c r="P821" s="2" t="s">
        <v>5172</v>
      </c>
      <c r="Q821" s="2" t="s">
        <v>5173</v>
      </c>
      <c r="S821" s="2">
        <v>161200.0</v>
      </c>
      <c r="T821" s="2" t="s">
        <v>68</v>
      </c>
      <c r="U821" s="2" t="s">
        <v>46</v>
      </c>
    </row>
    <row r="822">
      <c r="A822" s="2">
        <v>821.0</v>
      </c>
      <c r="B822" s="2">
        <v>821.0</v>
      </c>
      <c r="C822" s="2">
        <v>821.0</v>
      </c>
      <c r="D822" s="3">
        <v>44092.0</v>
      </c>
      <c r="E822" s="2" t="s">
        <v>4086</v>
      </c>
      <c r="F822" s="2" t="s">
        <v>546</v>
      </c>
      <c r="G822" s="2">
        <v>804.28</v>
      </c>
      <c r="H822" s="2" t="s">
        <v>5174</v>
      </c>
      <c r="I822" s="2" t="s">
        <v>5175</v>
      </c>
      <c r="J822" s="2" t="s">
        <v>5176</v>
      </c>
      <c r="K822" s="2" t="s">
        <v>1882</v>
      </c>
      <c r="M822" s="2">
        <v>97.0</v>
      </c>
      <c r="N822" s="2">
        <v>2623.7</v>
      </c>
      <c r="O822" s="2" t="s">
        <v>52</v>
      </c>
      <c r="P822" s="2" t="s">
        <v>5177</v>
      </c>
      <c r="Q822" s="2" t="s">
        <v>5178</v>
      </c>
      <c r="T822" s="2" t="s">
        <v>32</v>
      </c>
      <c r="U822" s="2" t="s">
        <v>71</v>
      </c>
    </row>
    <row r="823">
      <c r="A823" s="2">
        <v>822.0</v>
      </c>
      <c r="B823" s="2">
        <v>822.0</v>
      </c>
      <c r="C823" s="2">
        <v>822.0</v>
      </c>
      <c r="D823" s="3">
        <v>43960.0</v>
      </c>
      <c r="E823" s="2" t="s">
        <v>5179</v>
      </c>
      <c r="F823" s="2" t="s">
        <v>22</v>
      </c>
      <c r="G823" s="2">
        <v>24.19</v>
      </c>
      <c r="H823" s="2" t="s">
        <v>5180</v>
      </c>
      <c r="I823" s="2" t="s">
        <v>5181</v>
      </c>
      <c r="J823" s="2" t="s">
        <v>5182</v>
      </c>
      <c r="K823" s="2" t="s">
        <v>163</v>
      </c>
      <c r="L823" s="2" t="s">
        <v>5183</v>
      </c>
      <c r="M823" s="2">
        <v>91.0</v>
      </c>
      <c r="N823" s="2">
        <v>4920.67</v>
      </c>
      <c r="O823" s="2" t="s">
        <v>28</v>
      </c>
      <c r="P823" s="2" t="s">
        <v>3765</v>
      </c>
      <c r="Q823" s="2" t="s">
        <v>5184</v>
      </c>
      <c r="T823" s="2" t="s">
        <v>32</v>
      </c>
      <c r="U823" s="2" t="s">
        <v>33</v>
      </c>
    </row>
    <row r="824">
      <c r="A824" s="2">
        <v>823.0</v>
      </c>
      <c r="B824" s="2">
        <v>823.0</v>
      </c>
      <c r="C824" s="2">
        <v>823.0</v>
      </c>
      <c r="D824" s="3">
        <v>44409.0</v>
      </c>
      <c r="E824" s="2" t="s">
        <v>2639</v>
      </c>
      <c r="F824" s="2" t="s">
        <v>73</v>
      </c>
      <c r="G824" s="2">
        <v>986.58</v>
      </c>
      <c r="H824" s="2" t="s">
        <v>3188</v>
      </c>
      <c r="I824" s="2" t="s">
        <v>5185</v>
      </c>
      <c r="J824" s="2" t="s">
        <v>5186</v>
      </c>
      <c r="K824" s="2" t="s">
        <v>225</v>
      </c>
      <c r="M824" s="2">
        <v>39.0</v>
      </c>
      <c r="N824" s="2">
        <v>5512.5</v>
      </c>
      <c r="O824" s="2" t="s">
        <v>28</v>
      </c>
      <c r="P824" s="2" t="s">
        <v>5187</v>
      </c>
      <c r="Q824" s="2" t="s">
        <v>5188</v>
      </c>
      <c r="S824" s="2" t="s">
        <v>5189</v>
      </c>
      <c r="T824" s="2" t="s">
        <v>163</v>
      </c>
      <c r="U824" s="2" t="s">
        <v>46</v>
      </c>
    </row>
    <row r="825">
      <c r="A825" s="2">
        <v>824.0</v>
      </c>
      <c r="B825" s="2">
        <v>824.0</v>
      </c>
      <c r="C825" s="2">
        <v>824.0</v>
      </c>
      <c r="D825" s="3">
        <v>44120.0</v>
      </c>
      <c r="E825" s="2" t="s">
        <v>5190</v>
      </c>
      <c r="F825" s="2" t="s">
        <v>237</v>
      </c>
      <c r="G825" s="2">
        <v>523.96</v>
      </c>
      <c r="H825" s="2" t="s">
        <v>2310</v>
      </c>
      <c r="I825" s="2" t="s">
        <v>5191</v>
      </c>
      <c r="J825" s="2" t="s">
        <v>5192</v>
      </c>
      <c r="K825" s="2" t="s">
        <v>257</v>
      </c>
      <c r="L825" s="2" t="s">
        <v>5193</v>
      </c>
      <c r="M825" s="2">
        <v>44.0</v>
      </c>
      <c r="N825" s="2">
        <v>326.42</v>
      </c>
      <c r="O825" s="2" t="s">
        <v>52</v>
      </c>
      <c r="P825" s="2" t="s">
        <v>1690</v>
      </c>
      <c r="Q825" s="2" t="s">
        <v>5194</v>
      </c>
      <c r="R825" s="2" t="s">
        <v>371</v>
      </c>
      <c r="T825" s="2" t="s">
        <v>32</v>
      </c>
      <c r="U825" s="2" t="s">
        <v>71</v>
      </c>
    </row>
    <row r="826">
      <c r="A826" s="2">
        <v>825.0</v>
      </c>
      <c r="B826" s="2">
        <v>825.0</v>
      </c>
      <c r="C826" s="2">
        <v>825.0</v>
      </c>
      <c r="D826" s="3">
        <v>44061.0</v>
      </c>
      <c r="E826" s="2" t="s">
        <v>5195</v>
      </c>
      <c r="F826" s="2" t="s">
        <v>142</v>
      </c>
      <c r="G826" s="2">
        <v>888.4</v>
      </c>
      <c r="H826" s="2" t="s">
        <v>5196</v>
      </c>
      <c r="I826" s="2" t="s">
        <v>5197</v>
      </c>
      <c r="J826" s="2" t="s">
        <v>5198</v>
      </c>
      <c r="K826" s="2" t="s">
        <v>32</v>
      </c>
      <c r="M826" s="2">
        <v>32.0</v>
      </c>
      <c r="N826" s="2">
        <v>5208.86</v>
      </c>
      <c r="O826" s="2" t="s">
        <v>52</v>
      </c>
      <c r="P826" s="2" t="s">
        <v>5199</v>
      </c>
      <c r="Q826" s="2" t="s">
        <v>5200</v>
      </c>
      <c r="S826" s="2" t="s">
        <v>5201</v>
      </c>
      <c r="T826" s="2" t="s">
        <v>39</v>
      </c>
      <c r="U826" s="2" t="s">
        <v>46</v>
      </c>
    </row>
    <row r="827">
      <c r="A827" s="2">
        <v>826.0</v>
      </c>
      <c r="B827" s="2">
        <v>826.0</v>
      </c>
      <c r="C827" s="2">
        <v>826.0</v>
      </c>
      <c r="D827" s="3">
        <v>44097.0</v>
      </c>
      <c r="E827" s="2" t="s">
        <v>5202</v>
      </c>
      <c r="F827" s="2" t="s">
        <v>738</v>
      </c>
      <c r="G827" s="2">
        <v>291.39</v>
      </c>
      <c r="H827" s="2" t="s">
        <v>5203</v>
      </c>
      <c r="I827" s="2" t="s">
        <v>5204</v>
      </c>
      <c r="J827" s="2" t="s">
        <v>5205</v>
      </c>
      <c r="K827" s="2" t="s">
        <v>5206</v>
      </c>
      <c r="M827" s="2">
        <v>79.0</v>
      </c>
      <c r="N827" s="2">
        <v>5789.34</v>
      </c>
      <c r="O827" s="2" t="s">
        <v>52</v>
      </c>
      <c r="P827" s="2" t="s">
        <v>840</v>
      </c>
      <c r="Q827" s="2" t="s">
        <v>5207</v>
      </c>
      <c r="S827" s="2" t="s">
        <v>5208</v>
      </c>
      <c r="T827" s="2" t="s">
        <v>163</v>
      </c>
      <c r="U827" s="2" t="s">
        <v>33</v>
      </c>
    </row>
    <row r="828">
      <c r="A828" s="2">
        <v>827.0</v>
      </c>
      <c r="B828" s="2">
        <v>827.0</v>
      </c>
      <c r="C828" s="2">
        <v>827.0</v>
      </c>
      <c r="D828" s="3">
        <v>43848.0</v>
      </c>
      <c r="E828" s="2" t="s">
        <v>5209</v>
      </c>
      <c r="F828" s="2" t="s">
        <v>73</v>
      </c>
      <c r="G828" s="2">
        <v>929.96</v>
      </c>
      <c r="H828" s="2" t="s">
        <v>5210</v>
      </c>
      <c r="I828" s="2" t="s">
        <v>5211</v>
      </c>
      <c r="J828" s="2" t="s">
        <v>5212</v>
      </c>
      <c r="K828" s="2" t="s">
        <v>68</v>
      </c>
      <c r="L828" s="2">
        <v>157630.0</v>
      </c>
      <c r="M828" s="2">
        <v>55.0</v>
      </c>
      <c r="N828" s="2">
        <v>9370.19</v>
      </c>
      <c r="O828" s="2" t="s">
        <v>41</v>
      </c>
      <c r="P828" s="2" t="s">
        <v>2718</v>
      </c>
      <c r="Q828" s="2" t="s">
        <v>5213</v>
      </c>
      <c r="S828" s="2" t="s">
        <v>5214</v>
      </c>
      <c r="T828" s="2" t="s">
        <v>257</v>
      </c>
      <c r="U828" s="2" t="s">
        <v>71</v>
      </c>
    </row>
    <row r="829">
      <c r="A829" s="2">
        <v>828.0</v>
      </c>
      <c r="B829" s="2">
        <v>828.0</v>
      </c>
      <c r="C829" s="2">
        <v>828.0</v>
      </c>
      <c r="D829" s="3">
        <v>44558.0</v>
      </c>
      <c r="E829" s="2" t="s">
        <v>5215</v>
      </c>
      <c r="F829" s="2" t="s">
        <v>48</v>
      </c>
      <c r="G829" s="2">
        <v>904.76</v>
      </c>
      <c r="H829" s="2" t="s">
        <v>5216</v>
      </c>
      <c r="I829" s="2" t="s">
        <v>5217</v>
      </c>
      <c r="J829" s="2" t="s">
        <v>5218</v>
      </c>
      <c r="K829" s="2" t="s">
        <v>119</v>
      </c>
      <c r="M829" s="2">
        <v>7.0</v>
      </c>
      <c r="N829" s="2">
        <v>5915.13</v>
      </c>
      <c r="O829" s="2" t="s">
        <v>52</v>
      </c>
      <c r="P829" s="2" t="s">
        <v>5219</v>
      </c>
      <c r="Q829" s="2" t="s">
        <v>5220</v>
      </c>
      <c r="T829" s="2" t="s">
        <v>1663</v>
      </c>
      <c r="U829" s="2" t="s">
        <v>71</v>
      </c>
    </row>
    <row r="830">
      <c r="A830" s="2">
        <v>829.0</v>
      </c>
      <c r="B830" s="2">
        <v>829.0</v>
      </c>
      <c r="C830" s="2">
        <v>829.0</v>
      </c>
      <c r="D830" s="3">
        <v>43935.0</v>
      </c>
      <c r="E830" s="2" t="s">
        <v>5221</v>
      </c>
      <c r="F830" s="2" t="s">
        <v>48</v>
      </c>
      <c r="G830" s="2">
        <v>823.7</v>
      </c>
      <c r="H830" s="2" t="s">
        <v>5222</v>
      </c>
      <c r="I830" s="2" t="s">
        <v>5223</v>
      </c>
      <c r="J830" s="2" t="s">
        <v>5224</v>
      </c>
      <c r="K830" s="2" t="s">
        <v>119</v>
      </c>
      <c r="M830" s="2">
        <v>59.0</v>
      </c>
      <c r="N830" s="2">
        <v>5728.84</v>
      </c>
      <c r="O830" s="2" t="s">
        <v>52</v>
      </c>
      <c r="P830" s="2" t="s">
        <v>5225</v>
      </c>
      <c r="Q830" s="2" t="s">
        <v>5226</v>
      </c>
      <c r="T830" s="2" t="s">
        <v>119</v>
      </c>
      <c r="U830" s="2" t="s">
        <v>46</v>
      </c>
    </row>
    <row r="831">
      <c r="A831" s="2">
        <v>830.0</v>
      </c>
      <c r="B831" s="2">
        <v>830.0</v>
      </c>
      <c r="C831" s="2">
        <v>830.0</v>
      </c>
      <c r="D831" s="3">
        <v>44019.0</v>
      </c>
      <c r="E831" s="2" t="s">
        <v>5227</v>
      </c>
      <c r="F831" s="2" t="s">
        <v>5228</v>
      </c>
      <c r="G831" s="2">
        <v>142.82</v>
      </c>
      <c r="H831" s="2" t="s">
        <v>5229</v>
      </c>
      <c r="I831" s="2" t="s">
        <v>5230</v>
      </c>
      <c r="J831" s="2" t="s">
        <v>5231</v>
      </c>
      <c r="K831" s="2" t="s">
        <v>26</v>
      </c>
      <c r="L831" s="2" t="s">
        <v>5232</v>
      </c>
      <c r="M831" s="2">
        <v>79.0</v>
      </c>
      <c r="N831" s="2">
        <v>7011.25</v>
      </c>
      <c r="O831" s="2" t="s">
        <v>52</v>
      </c>
      <c r="P831" s="2" t="s">
        <v>1368</v>
      </c>
      <c r="Q831" s="2" t="s">
        <v>5233</v>
      </c>
      <c r="R831" s="2" t="s">
        <v>433</v>
      </c>
      <c r="S831" s="2">
        <v>678600.0</v>
      </c>
      <c r="T831" s="2" t="s">
        <v>68</v>
      </c>
      <c r="U831" s="2" t="s">
        <v>71</v>
      </c>
    </row>
    <row r="832">
      <c r="A832" s="2">
        <v>831.0</v>
      </c>
      <c r="B832" s="2">
        <v>831.0</v>
      </c>
      <c r="C832" s="2">
        <v>831.0</v>
      </c>
      <c r="D832" s="3">
        <v>43936.0</v>
      </c>
      <c r="E832" s="2" t="s">
        <v>3489</v>
      </c>
      <c r="F832" s="2" t="s">
        <v>73</v>
      </c>
      <c r="G832" s="2">
        <v>98.61</v>
      </c>
      <c r="H832" s="2" t="s">
        <v>5234</v>
      </c>
      <c r="I832" s="2" t="s">
        <v>5235</v>
      </c>
      <c r="J832" s="2" t="s">
        <v>5236</v>
      </c>
      <c r="K832" s="2" t="s">
        <v>114</v>
      </c>
      <c r="L832" s="2" t="s">
        <v>5237</v>
      </c>
      <c r="M832" s="2">
        <v>54.0</v>
      </c>
      <c r="N832" s="2">
        <v>6504.61</v>
      </c>
      <c r="O832" s="2" t="s">
        <v>52</v>
      </c>
      <c r="P832" s="2" t="s">
        <v>242</v>
      </c>
      <c r="Q832" s="2" t="s">
        <v>5238</v>
      </c>
      <c r="T832" s="2" t="s">
        <v>5068</v>
      </c>
      <c r="U832" s="2" t="s">
        <v>33</v>
      </c>
    </row>
    <row r="833">
      <c r="A833" s="2">
        <v>832.0</v>
      </c>
      <c r="B833" s="2">
        <v>832.0</v>
      </c>
      <c r="C833" s="2">
        <v>832.0</v>
      </c>
      <c r="D833" s="3">
        <v>44511.0</v>
      </c>
      <c r="E833" s="2" t="s">
        <v>5239</v>
      </c>
      <c r="F833" s="2" t="s">
        <v>191</v>
      </c>
      <c r="G833" s="2">
        <v>586.73</v>
      </c>
      <c r="H833" s="2" t="s">
        <v>5240</v>
      </c>
      <c r="I833" s="2" t="s">
        <v>5241</v>
      </c>
      <c r="J833" s="2" t="s">
        <v>5242</v>
      </c>
      <c r="K833" s="2" t="s">
        <v>68</v>
      </c>
      <c r="L833" s="2">
        <v>396310.0</v>
      </c>
      <c r="M833" s="2">
        <v>78.0</v>
      </c>
      <c r="N833" s="2">
        <v>2610.3</v>
      </c>
      <c r="O833" s="2" t="s">
        <v>52</v>
      </c>
      <c r="P833" s="2" t="s">
        <v>5243</v>
      </c>
      <c r="Q833" s="2" t="s">
        <v>5244</v>
      </c>
      <c r="T833" s="2" t="s">
        <v>5245</v>
      </c>
      <c r="U833" s="2" t="s">
        <v>71</v>
      </c>
    </row>
    <row r="834">
      <c r="A834" s="2">
        <v>833.0</v>
      </c>
      <c r="B834" s="2">
        <v>833.0</v>
      </c>
      <c r="C834" s="2">
        <v>833.0</v>
      </c>
      <c r="D834" s="3">
        <v>44088.0</v>
      </c>
      <c r="E834" s="2" t="s">
        <v>5246</v>
      </c>
      <c r="F834" s="2" t="s">
        <v>310</v>
      </c>
      <c r="G834" s="2">
        <v>924.63</v>
      </c>
      <c r="H834" s="2" t="s">
        <v>5247</v>
      </c>
      <c r="I834" s="2" t="s">
        <v>5248</v>
      </c>
      <c r="J834" s="2" t="s">
        <v>5249</v>
      </c>
      <c r="K834" s="2" t="s">
        <v>453</v>
      </c>
      <c r="L834" s="2">
        <v>4638.0</v>
      </c>
      <c r="M834" s="2">
        <v>55.0</v>
      </c>
      <c r="N834" s="2">
        <v>4893.03</v>
      </c>
      <c r="O834" s="2" t="s">
        <v>41</v>
      </c>
      <c r="P834" s="2" t="s">
        <v>424</v>
      </c>
      <c r="Q834" s="2" t="s">
        <v>5250</v>
      </c>
      <c r="R834" s="2" t="s">
        <v>5251</v>
      </c>
      <c r="S834" s="2" t="s">
        <v>5252</v>
      </c>
      <c r="T834" s="2" t="s">
        <v>163</v>
      </c>
      <c r="U834" s="2" t="s">
        <v>46</v>
      </c>
    </row>
    <row r="835">
      <c r="A835" s="2">
        <v>834.0</v>
      </c>
      <c r="B835" s="2">
        <v>834.0</v>
      </c>
      <c r="C835" s="2">
        <v>834.0</v>
      </c>
      <c r="D835" s="3">
        <v>44404.0</v>
      </c>
      <c r="E835" s="2" t="s">
        <v>426</v>
      </c>
      <c r="F835" s="2" t="s">
        <v>213</v>
      </c>
      <c r="G835" s="2">
        <v>242.52</v>
      </c>
      <c r="H835" s="2" t="s">
        <v>5253</v>
      </c>
      <c r="I835" s="2" t="s">
        <v>5254</v>
      </c>
      <c r="J835" s="2" t="s">
        <v>5255</v>
      </c>
      <c r="K835" s="2" t="s">
        <v>32</v>
      </c>
      <c r="M835" s="2">
        <v>73.0</v>
      </c>
      <c r="N835" s="2">
        <v>4175.78</v>
      </c>
      <c r="O835" s="2" t="s">
        <v>28</v>
      </c>
      <c r="P835" s="2" t="s">
        <v>5256</v>
      </c>
      <c r="Q835" s="2" t="s">
        <v>5257</v>
      </c>
      <c r="T835" s="2" t="s">
        <v>119</v>
      </c>
      <c r="U835" s="2" t="s">
        <v>46</v>
      </c>
    </row>
    <row r="836">
      <c r="A836" s="2">
        <v>835.0</v>
      </c>
      <c r="B836" s="2">
        <v>835.0</v>
      </c>
      <c r="C836" s="2">
        <v>835.0</v>
      </c>
      <c r="D836" s="3">
        <v>44129.0</v>
      </c>
      <c r="E836" s="2" t="s">
        <v>3710</v>
      </c>
      <c r="F836" s="2" t="s">
        <v>97</v>
      </c>
      <c r="G836" s="2">
        <v>108.2</v>
      </c>
      <c r="H836" s="2" t="s">
        <v>5258</v>
      </c>
      <c r="I836" s="2" t="s">
        <v>5259</v>
      </c>
      <c r="J836" s="2" t="s">
        <v>5260</v>
      </c>
      <c r="K836" s="2" t="s">
        <v>137</v>
      </c>
      <c r="M836" s="2">
        <v>13.0</v>
      </c>
      <c r="N836" s="2">
        <v>8259.56</v>
      </c>
      <c r="O836" s="2" t="s">
        <v>28</v>
      </c>
      <c r="P836" s="2" t="s">
        <v>5261</v>
      </c>
      <c r="Q836" s="2" t="s">
        <v>5262</v>
      </c>
      <c r="S836" s="2" t="s">
        <v>5263</v>
      </c>
      <c r="T836" s="2" t="s">
        <v>5264</v>
      </c>
      <c r="U836" s="2" t="s">
        <v>71</v>
      </c>
    </row>
    <row r="837">
      <c r="A837" s="2">
        <v>836.0</v>
      </c>
      <c r="B837" s="2">
        <v>836.0</v>
      </c>
      <c r="C837" s="2">
        <v>836.0</v>
      </c>
      <c r="D837" s="3">
        <v>44095.0</v>
      </c>
      <c r="E837" s="2" t="s">
        <v>2056</v>
      </c>
      <c r="F837" s="2" t="s">
        <v>97</v>
      </c>
      <c r="G837" s="2">
        <v>94.59</v>
      </c>
      <c r="H837" s="2" t="s">
        <v>5265</v>
      </c>
      <c r="I837" s="2" t="s">
        <v>5266</v>
      </c>
      <c r="J837" s="2" t="s">
        <v>5267</v>
      </c>
      <c r="K837" s="2" t="s">
        <v>796</v>
      </c>
      <c r="L837" s="2">
        <v>1219.0</v>
      </c>
      <c r="M837" s="2">
        <v>90.0</v>
      </c>
      <c r="N837" s="2">
        <v>598.91</v>
      </c>
      <c r="O837" s="2" t="s">
        <v>52</v>
      </c>
      <c r="P837" s="2" t="s">
        <v>5268</v>
      </c>
      <c r="Q837" s="2" t="s">
        <v>5269</v>
      </c>
      <c r="S837" s="2">
        <v>1279.0</v>
      </c>
      <c r="T837" s="2" t="s">
        <v>241</v>
      </c>
      <c r="U837" s="2" t="s">
        <v>33</v>
      </c>
    </row>
    <row r="838">
      <c r="A838" s="2">
        <v>837.0</v>
      </c>
      <c r="B838" s="2">
        <v>837.0</v>
      </c>
      <c r="C838" s="2">
        <v>837.0</v>
      </c>
      <c r="D838" s="3">
        <v>44513.0</v>
      </c>
      <c r="E838" s="2" t="s">
        <v>5270</v>
      </c>
      <c r="F838" s="2" t="s">
        <v>822</v>
      </c>
      <c r="G838" s="2">
        <v>813.63</v>
      </c>
      <c r="H838" s="2" t="s">
        <v>5271</v>
      </c>
      <c r="I838" s="2" t="s">
        <v>5272</v>
      </c>
      <c r="J838" s="2" t="s">
        <v>5273</v>
      </c>
      <c r="K838" s="2" t="s">
        <v>627</v>
      </c>
      <c r="L838" s="2">
        <v>13110.0</v>
      </c>
      <c r="M838" s="2">
        <v>63.0</v>
      </c>
      <c r="N838" s="2">
        <v>5560.28</v>
      </c>
      <c r="O838" s="2" t="s">
        <v>41</v>
      </c>
      <c r="P838" s="2" t="s">
        <v>5274</v>
      </c>
      <c r="Q838" s="2" t="s">
        <v>5275</v>
      </c>
      <c r="T838" s="2" t="s">
        <v>32</v>
      </c>
      <c r="U838" s="2" t="s">
        <v>33</v>
      </c>
    </row>
    <row r="839">
      <c r="A839" s="2">
        <v>838.0</v>
      </c>
      <c r="B839" s="2">
        <v>838.0</v>
      </c>
      <c r="C839" s="2">
        <v>838.0</v>
      </c>
      <c r="D839" s="3">
        <v>43862.0</v>
      </c>
      <c r="E839" s="2" t="s">
        <v>5276</v>
      </c>
      <c r="F839" s="2" t="s">
        <v>887</v>
      </c>
      <c r="G839" s="2">
        <v>901.67</v>
      </c>
      <c r="H839" s="2" t="s">
        <v>5277</v>
      </c>
      <c r="I839" s="2" t="s">
        <v>5278</v>
      </c>
      <c r="J839" s="2" t="s">
        <v>5279</v>
      </c>
      <c r="K839" s="2" t="s">
        <v>363</v>
      </c>
      <c r="M839" s="2">
        <v>85.0</v>
      </c>
      <c r="N839" s="2">
        <v>4349.5</v>
      </c>
      <c r="O839" s="2" t="s">
        <v>28</v>
      </c>
      <c r="P839" s="2" t="s">
        <v>5280</v>
      </c>
      <c r="Q839" s="2" t="s">
        <v>5281</v>
      </c>
      <c r="S839" s="2">
        <v>356254.0</v>
      </c>
      <c r="T839" s="2" t="s">
        <v>68</v>
      </c>
      <c r="U839" s="2" t="s">
        <v>33</v>
      </c>
    </row>
    <row r="840">
      <c r="A840" s="2">
        <v>839.0</v>
      </c>
      <c r="B840" s="2">
        <v>839.0</v>
      </c>
      <c r="C840" s="2">
        <v>839.0</v>
      </c>
      <c r="D840" s="3">
        <v>44271.0</v>
      </c>
      <c r="E840" s="2" t="s">
        <v>5282</v>
      </c>
      <c r="F840" s="2" t="s">
        <v>272</v>
      </c>
      <c r="G840" s="2">
        <v>67.88</v>
      </c>
      <c r="H840" s="2" t="s">
        <v>4883</v>
      </c>
      <c r="I840" s="2" t="s">
        <v>5283</v>
      </c>
      <c r="J840" s="2" t="s">
        <v>5284</v>
      </c>
      <c r="K840" s="2" t="s">
        <v>225</v>
      </c>
      <c r="M840" s="2">
        <v>88.0</v>
      </c>
      <c r="N840" s="2">
        <v>194.11</v>
      </c>
      <c r="O840" s="2" t="s">
        <v>28</v>
      </c>
      <c r="P840" s="2" t="s">
        <v>643</v>
      </c>
      <c r="Q840" s="2" t="s">
        <v>5285</v>
      </c>
      <c r="T840" s="2" t="s">
        <v>119</v>
      </c>
      <c r="U840" s="2" t="s">
        <v>46</v>
      </c>
    </row>
    <row r="841">
      <c r="A841" s="2">
        <v>840.0</v>
      </c>
      <c r="B841" s="2">
        <v>840.0</v>
      </c>
      <c r="C841" s="2">
        <v>840.0</v>
      </c>
      <c r="D841" s="3">
        <v>43902.0</v>
      </c>
      <c r="E841" s="2" t="s">
        <v>5286</v>
      </c>
      <c r="F841" s="2" t="s">
        <v>501</v>
      </c>
      <c r="G841" s="2">
        <v>561.11</v>
      </c>
      <c r="H841" s="2" t="s">
        <v>5287</v>
      </c>
      <c r="I841" s="2" t="s">
        <v>5288</v>
      </c>
      <c r="J841" s="2" t="s">
        <v>5289</v>
      </c>
      <c r="K841" s="2" t="s">
        <v>101</v>
      </c>
      <c r="L841" s="2">
        <v>98687.0</v>
      </c>
      <c r="M841" s="2">
        <v>20.0</v>
      </c>
      <c r="N841" s="2">
        <v>2433.75</v>
      </c>
      <c r="O841" s="2" t="s">
        <v>28</v>
      </c>
      <c r="P841" s="2" t="s">
        <v>5290</v>
      </c>
      <c r="Q841" s="2" t="s">
        <v>5291</v>
      </c>
      <c r="R841" s="2" t="s">
        <v>5292</v>
      </c>
      <c r="T841" s="2" t="s">
        <v>612</v>
      </c>
      <c r="U841" s="2" t="s">
        <v>33</v>
      </c>
    </row>
    <row r="842">
      <c r="A842" s="2">
        <v>841.0</v>
      </c>
      <c r="B842" s="2">
        <v>841.0</v>
      </c>
      <c r="C842" s="2">
        <v>841.0</v>
      </c>
      <c r="D842" s="3">
        <v>43938.0</v>
      </c>
      <c r="E842" s="2" t="s">
        <v>5293</v>
      </c>
      <c r="F842" s="2" t="s">
        <v>237</v>
      </c>
      <c r="G842" s="2">
        <v>192.74</v>
      </c>
      <c r="H842" s="2" t="s">
        <v>5294</v>
      </c>
      <c r="I842" s="2" t="s">
        <v>5295</v>
      </c>
      <c r="J842" s="2" t="s">
        <v>5296</v>
      </c>
      <c r="K842" s="2" t="s">
        <v>257</v>
      </c>
      <c r="L842" s="2" t="s">
        <v>5297</v>
      </c>
      <c r="M842" s="2">
        <v>28.0</v>
      </c>
      <c r="N842" s="2">
        <v>2954.1</v>
      </c>
      <c r="O842" s="2" t="s">
        <v>41</v>
      </c>
      <c r="P842" s="2" t="s">
        <v>5298</v>
      </c>
      <c r="Q842" s="2" t="s">
        <v>5299</v>
      </c>
      <c r="R842" s="2" t="s">
        <v>2223</v>
      </c>
      <c r="T842" s="2" t="s">
        <v>32</v>
      </c>
      <c r="U842" s="2" t="s">
        <v>71</v>
      </c>
    </row>
    <row r="843">
      <c r="A843" s="2">
        <v>842.0</v>
      </c>
      <c r="B843" s="2">
        <v>842.0</v>
      </c>
      <c r="C843" s="2">
        <v>842.0</v>
      </c>
      <c r="D843" s="3">
        <v>43892.0</v>
      </c>
      <c r="E843" s="2" t="s">
        <v>5300</v>
      </c>
      <c r="F843" s="2" t="s">
        <v>972</v>
      </c>
      <c r="G843" s="2">
        <v>776.66</v>
      </c>
      <c r="H843" s="2" t="s">
        <v>5301</v>
      </c>
      <c r="I843" s="2" t="s">
        <v>5302</v>
      </c>
      <c r="J843" s="2" t="s">
        <v>5303</v>
      </c>
      <c r="K843" s="2" t="s">
        <v>119</v>
      </c>
      <c r="M843" s="2">
        <v>57.0</v>
      </c>
      <c r="N843" s="2">
        <v>5496.3</v>
      </c>
      <c r="O843" s="2" t="s">
        <v>41</v>
      </c>
      <c r="P843" s="2" t="s">
        <v>613</v>
      </c>
      <c r="Q843" s="2" t="s">
        <v>5304</v>
      </c>
      <c r="S843" s="2">
        <v>2408.0</v>
      </c>
      <c r="T843" s="2" t="s">
        <v>241</v>
      </c>
      <c r="U843" s="2" t="s">
        <v>33</v>
      </c>
    </row>
    <row r="844">
      <c r="A844" s="2">
        <v>843.0</v>
      </c>
      <c r="B844" s="2">
        <v>843.0</v>
      </c>
      <c r="C844" s="2">
        <v>843.0</v>
      </c>
      <c r="D844" s="3">
        <v>44155.0</v>
      </c>
      <c r="E844" s="2" t="s">
        <v>5305</v>
      </c>
      <c r="F844" s="2" t="s">
        <v>48</v>
      </c>
      <c r="G844" s="2">
        <v>676.29</v>
      </c>
      <c r="H844" s="2" t="s">
        <v>5306</v>
      </c>
      <c r="I844" s="2" t="s">
        <v>5307</v>
      </c>
      <c r="J844" s="2" t="s">
        <v>5308</v>
      </c>
      <c r="K844" s="2" t="s">
        <v>119</v>
      </c>
      <c r="M844" s="2">
        <v>68.0</v>
      </c>
      <c r="N844" s="2">
        <v>2741.51</v>
      </c>
      <c r="O844" s="2" t="s">
        <v>52</v>
      </c>
      <c r="P844" s="2" t="s">
        <v>5309</v>
      </c>
      <c r="Q844" s="2" t="s">
        <v>5310</v>
      </c>
      <c r="T844" s="2" t="s">
        <v>140</v>
      </c>
      <c r="U844" s="2" t="s">
        <v>33</v>
      </c>
    </row>
    <row r="845">
      <c r="A845" s="2">
        <v>844.0</v>
      </c>
      <c r="B845" s="2">
        <v>844.0</v>
      </c>
      <c r="C845" s="2">
        <v>844.0</v>
      </c>
      <c r="D845" s="3">
        <v>43922.0</v>
      </c>
      <c r="E845" s="2" t="s">
        <v>4696</v>
      </c>
      <c r="F845" s="2" t="s">
        <v>142</v>
      </c>
      <c r="G845" s="2">
        <v>565.3</v>
      </c>
      <c r="H845" s="2" t="s">
        <v>5311</v>
      </c>
      <c r="I845" s="2" t="s">
        <v>5312</v>
      </c>
      <c r="J845" s="2" t="s">
        <v>5313</v>
      </c>
      <c r="K845" s="2" t="s">
        <v>163</v>
      </c>
      <c r="L845" s="2" t="s">
        <v>5314</v>
      </c>
      <c r="M845" s="2">
        <v>14.0</v>
      </c>
      <c r="N845" s="2">
        <v>5415.48</v>
      </c>
      <c r="O845" s="2" t="s">
        <v>28</v>
      </c>
      <c r="P845" s="2" t="s">
        <v>5315</v>
      </c>
      <c r="Q845" s="2" t="s">
        <v>5316</v>
      </c>
      <c r="T845" s="2" t="s">
        <v>32</v>
      </c>
      <c r="U845" s="2" t="s">
        <v>71</v>
      </c>
    </row>
    <row r="846">
      <c r="A846" s="2">
        <v>845.0</v>
      </c>
      <c r="B846" s="2">
        <v>845.0</v>
      </c>
      <c r="C846" s="2">
        <v>845.0</v>
      </c>
      <c r="D846" s="3">
        <v>43914.0</v>
      </c>
      <c r="E846" s="2" t="s">
        <v>1969</v>
      </c>
      <c r="F846" s="2" t="s">
        <v>332</v>
      </c>
      <c r="G846" s="2">
        <v>141.95</v>
      </c>
      <c r="H846" s="2" t="s">
        <v>5317</v>
      </c>
      <c r="I846" s="2" t="s">
        <v>5318</v>
      </c>
      <c r="J846" s="2" t="s">
        <v>5319</v>
      </c>
      <c r="K846" s="2" t="s">
        <v>32</v>
      </c>
      <c r="M846" s="2">
        <v>37.0</v>
      </c>
      <c r="N846" s="2">
        <v>6349.11</v>
      </c>
      <c r="O846" s="2" t="s">
        <v>52</v>
      </c>
      <c r="P846" s="2" t="s">
        <v>5320</v>
      </c>
      <c r="Q846" s="2" t="s">
        <v>5321</v>
      </c>
      <c r="T846" s="2" t="s">
        <v>1708</v>
      </c>
      <c r="U846" s="2" t="s">
        <v>33</v>
      </c>
    </row>
    <row r="847">
      <c r="A847" s="2">
        <v>846.0</v>
      </c>
      <c r="B847" s="2">
        <v>846.0</v>
      </c>
      <c r="C847" s="2">
        <v>846.0</v>
      </c>
      <c r="D847" s="3">
        <v>44340.0</v>
      </c>
      <c r="E847" s="2" t="s">
        <v>5322</v>
      </c>
      <c r="F847" s="2" t="s">
        <v>73</v>
      </c>
      <c r="G847" s="2">
        <v>41.64</v>
      </c>
      <c r="H847" s="2" t="s">
        <v>4526</v>
      </c>
      <c r="I847" s="2" t="s">
        <v>5323</v>
      </c>
      <c r="J847" s="2" t="s">
        <v>5324</v>
      </c>
      <c r="K847" s="2" t="s">
        <v>32</v>
      </c>
      <c r="M847" s="2">
        <v>20.0</v>
      </c>
      <c r="N847" s="2">
        <v>2279.55</v>
      </c>
      <c r="O847" s="2" t="s">
        <v>52</v>
      </c>
      <c r="P847" s="2" t="s">
        <v>5325</v>
      </c>
      <c r="Q847" s="2" t="s">
        <v>5326</v>
      </c>
      <c r="T847" s="2" t="s">
        <v>1180</v>
      </c>
      <c r="U847" s="2" t="s">
        <v>33</v>
      </c>
    </row>
    <row r="848">
      <c r="A848" s="2">
        <v>847.0</v>
      </c>
      <c r="B848" s="2">
        <v>847.0</v>
      </c>
      <c r="C848" s="2">
        <v>847.0</v>
      </c>
      <c r="D848" s="3">
        <v>44012.0</v>
      </c>
      <c r="E848" s="2" t="s">
        <v>1424</v>
      </c>
      <c r="F848" s="2" t="s">
        <v>342</v>
      </c>
      <c r="G848" s="2">
        <v>94.95</v>
      </c>
      <c r="H848" s="2" t="s">
        <v>5327</v>
      </c>
      <c r="I848" s="2" t="s">
        <v>5328</v>
      </c>
      <c r="J848" s="2" t="s">
        <v>5329</v>
      </c>
      <c r="K848" s="2" t="s">
        <v>68</v>
      </c>
      <c r="L848" s="2">
        <v>353490.0</v>
      </c>
      <c r="M848" s="2">
        <v>61.0</v>
      </c>
      <c r="N848" s="2">
        <v>593.97</v>
      </c>
      <c r="O848" s="2" t="s">
        <v>52</v>
      </c>
      <c r="P848" s="2" t="s">
        <v>5330</v>
      </c>
      <c r="Q848" s="2" t="s">
        <v>5331</v>
      </c>
      <c r="S848" s="2">
        <v>74080.0</v>
      </c>
      <c r="T848" s="2" t="s">
        <v>630</v>
      </c>
      <c r="U848" s="2" t="s">
        <v>33</v>
      </c>
    </row>
    <row r="849">
      <c r="A849" s="2">
        <v>848.0</v>
      </c>
      <c r="B849" s="2">
        <v>848.0</v>
      </c>
      <c r="C849" s="2">
        <v>848.0</v>
      </c>
      <c r="D849" s="3">
        <v>44494.0</v>
      </c>
      <c r="E849" s="2" t="s">
        <v>5332</v>
      </c>
      <c r="F849" s="2" t="s">
        <v>501</v>
      </c>
      <c r="G849" s="2">
        <v>16.6</v>
      </c>
      <c r="H849" s="2" t="s">
        <v>5333</v>
      </c>
      <c r="I849" s="2" t="s">
        <v>5334</v>
      </c>
      <c r="J849" s="2" t="s">
        <v>5335</v>
      </c>
      <c r="K849" s="2" t="s">
        <v>505</v>
      </c>
      <c r="M849" s="2">
        <v>85.0</v>
      </c>
      <c r="N849" s="2">
        <v>4633.73</v>
      </c>
      <c r="O849" s="2" t="s">
        <v>52</v>
      </c>
      <c r="P849" s="2" t="s">
        <v>5336</v>
      </c>
      <c r="Q849" s="2" t="s">
        <v>5337</v>
      </c>
      <c r="T849" s="2" t="s">
        <v>32</v>
      </c>
      <c r="U849" s="2" t="s">
        <v>46</v>
      </c>
    </row>
    <row r="850">
      <c r="A850" s="2">
        <v>849.0</v>
      </c>
      <c r="B850" s="2">
        <v>849.0</v>
      </c>
      <c r="C850" s="2">
        <v>849.0</v>
      </c>
      <c r="D850" s="3">
        <v>44415.0</v>
      </c>
      <c r="E850" s="2" t="s">
        <v>4712</v>
      </c>
      <c r="F850" s="2" t="s">
        <v>480</v>
      </c>
      <c r="G850" s="2">
        <v>530.58</v>
      </c>
      <c r="H850" s="2" t="s">
        <v>5338</v>
      </c>
      <c r="I850" s="2" t="s">
        <v>5339</v>
      </c>
      <c r="J850" s="2" t="s">
        <v>5340</v>
      </c>
      <c r="K850" s="2" t="s">
        <v>163</v>
      </c>
      <c r="L850" s="2" t="s">
        <v>5341</v>
      </c>
      <c r="M850" s="2">
        <v>22.0</v>
      </c>
      <c r="N850" s="2">
        <v>2440.66</v>
      </c>
      <c r="O850" s="2" t="s">
        <v>41</v>
      </c>
      <c r="P850" s="2" t="s">
        <v>2998</v>
      </c>
      <c r="Q850" s="2" t="s">
        <v>5342</v>
      </c>
      <c r="T850" s="2" t="s">
        <v>32</v>
      </c>
      <c r="U850" s="2" t="s">
        <v>33</v>
      </c>
    </row>
    <row r="851">
      <c r="A851" s="2">
        <v>850.0</v>
      </c>
      <c r="B851" s="2">
        <v>850.0</v>
      </c>
      <c r="C851" s="2">
        <v>850.0</v>
      </c>
      <c r="D851" s="3">
        <v>44468.0</v>
      </c>
      <c r="E851" s="2" t="s">
        <v>5343</v>
      </c>
      <c r="F851" s="2" t="s">
        <v>1199</v>
      </c>
      <c r="G851" s="2">
        <v>153.61</v>
      </c>
      <c r="H851" s="2" t="s">
        <v>3613</v>
      </c>
      <c r="I851" s="2" t="s">
        <v>5344</v>
      </c>
      <c r="J851" s="2" t="s">
        <v>5345</v>
      </c>
      <c r="K851" s="2" t="s">
        <v>1316</v>
      </c>
      <c r="M851" s="2">
        <v>85.0</v>
      </c>
      <c r="N851" s="2">
        <v>9500.39</v>
      </c>
      <c r="O851" s="2" t="s">
        <v>52</v>
      </c>
      <c r="P851" s="2" t="s">
        <v>5346</v>
      </c>
      <c r="Q851" s="2" t="s">
        <v>5347</v>
      </c>
      <c r="T851" s="2" t="s">
        <v>119</v>
      </c>
      <c r="U851" s="2" t="s">
        <v>71</v>
      </c>
    </row>
    <row r="852">
      <c r="A852" s="2">
        <v>851.0</v>
      </c>
      <c r="B852" s="2">
        <v>851.0</v>
      </c>
      <c r="C852" s="2">
        <v>851.0</v>
      </c>
      <c r="D852" s="3">
        <v>44518.0</v>
      </c>
      <c r="E852" s="2" t="s">
        <v>1865</v>
      </c>
      <c r="F852" s="2" t="s">
        <v>142</v>
      </c>
      <c r="G852" s="2">
        <v>253.59</v>
      </c>
      <c r="H852" s="2" t="s">
        <v>5348</v>
      </c>
      <c r="I852" s="2" t="s">
        <v>5349</v>
      </c>
      <c r="J852" s="2" t="s">
        <v>5350</v>
      </c>
      <c r="K852" s="2" t="s">
        <v>1430</v>
      </c>
      <c r="L852" s="2">
        <v>9034.0</v>
      </c>
      <c r="M852" s="2">
        <v>49.0</v>
      </c>
      <c r="N852" s="2">
        <v>347.3</v>
      </c>
      <c r="O852" s="2" t="s">
        <v>28</v>
      </c>
      <c r="P852" s="2" t="s">
        <v>5351</v>
      </c>
      <c r="Q852" s="2" t="s">
        <v>5352</v>
      </c>
      <c r="T852" s="2" t="s">
        <v>32</v>
      </c>
      <c r="U852" s="2" t="s">
        <v>46</v>
      </c>
    </row>
    <row r="853">
      <c r="A853" s="2">
        <v>852.0</v>
      </c>
      <c r="B853" s="2">
        <v>852.0</v>
      </c>
      <c r="C853" s="2">
        <v>852.0</v>
      </c>
      <c r="D853" s="3">
        <v>44148.0</v>
      </c>
      <c r="E853" s="2" t="s">
        <v>5353</v>
      </c>
      <c r="F853" s="2" t="s">
        <v>3230</v>
      </c>
      <c r="G853" s="2">
        <v>942.03</v>
      </c>
      <c r="H853" s="2" t="s">
        <v>5354</v>
      </c>
      <c r="I853" s="2" t="s">
        <v>5355</v>
      </c>
      <c r="J853" s="2" t="s">
        <v>5356</v>
      </c>
      <c r="K853" s="2" t="s">
        <v>650</v>
      </c>
      <c r="M853" s="2">
        <v>89.0</v>
      </c>
      <c r="N853" s="2">
        <v>1284.68</v>
      </c>
      <c r="O853" s="2" t="s">
        <v>52</v>
      </c>
      <c r="P853" s="2" t="s">
        <v>3334</v>
      </c>
      <c r="Q853" s="2" t="s">
        <v>5357</v>
      </c>
      <c r="S853" s="2">
        <v>3412.0</v>
      </c>
      <c r="T853" s="2" t="s">
        <v>178</v>
      </c>
      <c r="U853" s="2" t="s">
        <v>71</v>
      </c>
    </row>
    <row r="854">
      <c r="A854" s="2">
        <v>853.0</v>
      </c>
      <c r="B854" s="2">
        <v>853.0</v>
      </c>
      <c r="C854" s="2">
        <v>853.0</v>
      </c>
      <c r="D854" s="3">
        <v>44290.0</v>
      </c>
      <c r="E854" s="2" t="s">
        <v>5358</v>
      </c>
      <c r="F854" s="2" t="s">
        <v>237</v>
      </c>
      <c r="G854" s="2">
        <v>703.85</v>
      </c>
      <c r="H854" s="2" t="s">
        <v>5359</v>
      </c>
      <c r="I854" s="2" t="s">
        <v>5360</v>
      </c>
      <c r="J854" s="2" t="s">
        <v>5361</v>
      </c>
      <c r="K854" s="2" t="s">
        <v>819</v>
      </c>
      <c r="L854" s="2">
        <v>51059.0</v>
      </c>
      <c r="M854" s="2">
        <v>77.0</v>
      </c>
      <c r="N854" s="2">
        <v>6116.31</v>
      </c>
      <c r="O854" s="2" t="s">
        <v>28</v>
      </c>
      <c r="P854" s="2" t="s">
        <v>1368</v>
      </c>
      <c r="Q854" s="2" t="s">
        <v>5362</v>
      </c>
      <c r="T854" s="2" t="s">
        <v>267</v>
      </c>
      <c r="U854" s="2" t="s">
        <v>71</v>
      </c>
    </row>
    <row r="855">
      <c r="A855" s="2">
        <v>854.0</v>
      </c>
      <c r="B855" s="2">
        <v>854.0</v>
      </c>
      <c r="C855" s="2">
        <v>854.0</v>
      </c>
      <c r="D855" s="3">
        <v>44159.0</v>
      </c>
      <c r="E855" s="2" t="s">
        <v>2985</v>
      </c>
      <c r="F855" s="2" t="s">
        <v>1046</v>
      </c>
      <c r="G855" s="2">
        <v>995.2</v>
      </c>
      <c r="H855" s="2" t="s">
        <v>5363</v>
      </c>
      <c r="I855" s="2" t="s">
        <v>5364</v>
      </c>
      <c r="J855" s="2" t="s">
        <v>5365</v>
      </c>
      <c r="K855" s="2" t="s">
        <v>32</v>
      </c>
      <c r="M855" s="2">
        <v>70.0</v>
      </c>
      <c r="N855" s="2">
        <v>6698.63</v>
      </c>
      <c r="O855" s="2" t="s">
        <v>52</v>
      </c>
      <c r="P855" s="2" t="s">
        <v>5366</v>
      </c>
      <c r="Q855" s="2" t="s">
        <v>5367</v>
      </c>
      <c r="S855" s="2">
        <v>56101.0</v>
      </c>
      <c r="T855" s="2" t="s">
        <v>885</v>
      </c>
      <c r="U855" s="2" t="s">
        <v>33</v>
      </c>
    </row>
    <row r="856">
      <c r="A856" s="2">
        <v>855.0</v>
      </c>
      <c r="B856" s="2">
        <v>855.0</v>
      </c>
      <c r="C856" s="2">
        <v>855.0</v>
      </c>
      <c r="D856" s="3">
        <v>44471.0</v>
      </c>
      <c r="E856" s="2" t="s">
        <v>5368</v>
      </c>
      <c r="F856" s="2" t="s">
        <v>310</v>
      </c>
      <c r="G856" s="2">
        <v>183.23</v>
      </c>
      <c r="H856" s="2" t="s">
        <v>5369</v>
      </c>
      <c r="I856" s="2" t="s">
        <v>5370</v>
      </c>
      <c r="J856" s="2" t="s">
        <v>5371</v>
      </c>
      <c r="K856" s="2" t="s">
        <v>114</v>
      </c>
      <c r="L856" s="2" t="s">
        <v>5372</v>
      </c>
      <c r="M856" s="2">
        <v>38.0</v>
      </c>
      <c r="N856" s="2">
        <v>9880.14</v>
      </c>
      <c r="O856" s="2" t="s">
        <v>41</v>
      </c>
      <c r="P856" s="2" t="s">
        <v>1400</v>
      </c>
      <c r="Q856" s="2" t="s">
        <v>5373</v>
      </c>
      <c r="S856" s="2" t="s">
        <v>5374</v>
      </c>
      <c r="T856" s="2" t="s">
        <v>163</v>
      </c>
      <c r="U856" s="2" t="s">
        <v>46</v>
      </c>
    </row>
    <row r="857">
      <c r="A857" s="2">
        <v>856.0</v>
      </c>
      <c r="B857" s="2">
        <v>856.0</v>
      </c>
      <c r="C857" s="2">
        <v>856.0</v>
      </c>
      <c r="D857" s="3">
        <v>44246.0</v>
      </c>
      <c r="E857" s="2" t="s">
        <v>5375</v>
      </c>
      <c r="F857" s="2" t="s">
        <v>237</v>
      </c>
      <c r="G857" s="2">
        <v>894.98</v>
      </c>
      <c r="H857" s="2" t="s">
        <v>5376</v>
      </c>
      <c r="I857" s="2" t="s">
        <v>5377</v>
      </c>
      <c r="J857" s="2" t="s">
        <v>5378</v>
      </c>
      <c r="K857" s="2" t="s">
        <v>330</v>
      </c>
      <c r="M857" s="2">
        <v>99.0</v>
      </c>
      <c r="N857" s="2">
        <v>357.75</v>
      </c>
      <c r="O857" s="2" t="s">
        <v>28</v>
      </c>
      <c r="P857" s="2" t="s">
        <v>939</v>
      </c>
      <c r="Q857" s="2" t="s">
        <v>5379</v>
      </c>
      <c r="T857" s="2" t="s">
        <v>330</v>
      </c>
      <c r="U857" s="2" t="s">
        <v>33</v>
      </c>
    </row>
    <row r="858">
      <c r="A858" s="2">
        <v>857.0</v>
      </c>
      <c r="B858" s="2">
        <v>857.0</v>
      </c>
      <c r="C858" s="2">
        <v>857.0</v>
      </c>
      <c r="D858" s="3">
        <v>43980.0</v>
      </c>
      <c r="E858" s="2" t="s">
        <v>5380</v>
      </c>
      <c r="F858" s="2" t="s">
        <v>310</v>
      </c>
      <c r="G858" s="2">
        <v>728.04</v>
      </c>
      <c r="H858" s="2" t="s">
        <v>5381</v>
      </c>
      <c r="I858" s="2" t="s">
        <v>5382</v>
      </c>
      <c r="J858" s="2" t="s">
        <v>5383</v>
      </c>
      <c r="K858" s="2" t="s">
        <v>114</v>
      </c>
      <c r="L858" s="2" t="s">
        <v>5384</v>
      </c>
      <c r="M858" s="2">
        <v>46.0</v>
      </c>
      <c r="N858" s="2">
        <v>5584.43</v>
      </c>
      <c r="O858" s="2" t="s">
        <v>52</v>
      </c>
      <c r="P858" s="2" t="s">
        <v>5385</v>
      </c>
      <c r="Q858" s="2" t="s">
        <v>5386</v>
      </c>
      <c r="S858" s="2">
        <v>89706.0</v>
      </c>
      <c r="T858" s="2" t="s">
        <v>101</v>
      </c>
      <c r="U858" s="2" t="s">
        <v>71</v>
      </c>
    </row>
    <row r="859">
      <c r="A859" s="2">
        <v>858.0</v>
      </c>
      <c r="B859" s="2">
        <v>858.0</v>
      </c>
      <c r="C859" s="2">
        <v>858.0</v>
      </c>
      <c r="D859" s="3">
        <v>43934.0</v>
      </c>
      <c r="E859" s="2" t="s">
        <v>5387</v>
      </c>
      <c r="F859" s="2" t="s">
        <v>2113</v>
      </c>
      <c r="G859" s="2">
        <v>74.75</v>
      </c>
      <c r="H859" s="2" t="s">
        <v>5388</v>
      </c>
      <c r="I859" s="2" t="s">
        <v>5389</v>
      </c>
      <c r="J859" s="2" t="s">
        <v>5390</v>
      </c>
      <c r="K859" s="2" t="s">
        <v>241</v>
      </c>
      <c r="L859" s="2">
        <v>7024.0</v>
      </c>
      <c r="M859" s="2">
        <v>79.0</v>
      </c>
      <c r="N859" s="2">
        <v>6037.89</v>
      </c>
      <c r="O859" s="2" t="s">
        <v>41</v>
      </c>
      <c r="P859" s="2" t="s">
        <v>5391</v>
      </c>
      <c r="Q859" s="2" t="s">
        <v>5392</v>
      </c>
      <c r="S859" s="2">
        <v>20300.0</v>
      </c>
      <c r="T859" s="2" t="s">
        <v>1167</v>
      </c>
      <c r="U859" s="2" t="s">
        <v>33</v>
      </c>
    </row>
    <row r="860">
      <c r="A860" s="2">
        <v>859.0</v>
      </c>
      <c r="B860" s="2">
        <v>859.0</v>
      </c>
      <c r="C860" s="2">
        <v>859.0</v>
      </c>
      <c r="D860" s="3">
        <v>43928.0</v>
      </c>
      <c r="E860" s="2" t="s">
        <v>5393</v>
      </c>
      <c r="F860" s="2" t="s">
        <v>73</v>
      </c>
      <c r="G860" s="2">
        <v>187.51</v>
      </c>
      <c r="H860" s="2" t="s">
        <v>5394</v>
      </c>
      <c r="I860" s="2" t="s">
        <v>5395</v>
      </c>
      <c r="J860" s="2" t="s">
        <v>5396</v>
      </c>
      <c r="K860" s="2" t="s">
        <v>257</v>
      </c>
      <c r="L860" s="2" t="s">
        <v>5397</v>
      </c>
      <c r="M860" s="2">
        <v>26.0</v>
      </c>
      <c r="N860" s="2">
        <v>1661.51</v>
      </c>
      <c r="O860" s="2" t="s">
        <v>41</v>
      </c>
      <c r="P860" s="2" t="s">
        <v>5398</v>
      </c>
      <c r="Q860" s="2" t="s">
        <v>5399</v>
      </c>
      <c r="R860" s="2" t="s">
        <v>371</v>
      </c>
      <c r="T860" s="2" t="s">
        <v>5400</v>
      </c>
      <c r="U860" s="2" t="s">
        <v>33</v>
      </c>
    </row>
    <row r="861">
      <c r="A861" s="2">
        <v>860.0</v>
      </c>
      <c r="B861" s="2">
        <v>860.0</v>
      </c>
      <c r="C861" s="2">
        <v>860.0</v>
      </c>
      <c r="D861" s="3">
        <v>43974.0</v>
      </c>
      <c r="E861" s="2" t="s">
        <v>5401</v>
      </c>
      <c r="F861" s="2" t="s">
        <v>213</v>
      </c>
      <c r="G861" s="2">
        <v>733.23</v>
      </c>
      <c r="H861" s="2" t="s">
        <v>5402</v>
      </c>
      <c r="I861" s="2" t="s">
        <v>5403</v>
      </c>
      <c r="J861" s="2" t="s">
        <v>5404</v>
      </c>
      <c r="K861" s="2" t="s">
        <v>32</v>
      </c>
      <c r="M861" s="2">
        <v>75.0</v>
      </c>
      <c r="N861" s="2">
        <v>9152.05</v>
      </c>
      <c r="O861" s="2" t="s">
        <v>28</v>
      </c>
      <c r="P861" s="2" t="s">
        <v>5405</v>
      </c>
      <c r="Q861" s="2" t="s">
        <v>5406</v>
      </c>
      <c r="T861" s="2" t="s">
        <v>119</v>
      </c>
      <c r="U861" s="2" t="s">
        <v>46</v>
      </c>
    </row>
    <row r="862">
      <c r="A862" s="2">
        <v>861.0</v>
      </c>
      <c r="B862" s="2">
        <v>861.0</v>
      </c>
      <c r="C862" s="2">
        <v>861.0</v>
      </c>
      <c r="D862" s="3">
        <v>44009.0</v>
      </c>
      <c r="E862" s="2" t="s">
        <v>5407</v>
      </c>
      <c r="F862" s="2" t="s">
        <v>35</v>
      </c>
      <c r="G862" s="2">
        <v>759.88</v>
      </c>
      <c r="H862" s="2" t="s">
        <v>5408</v>
      </c>
      <c r="I862" s="2" t="s">
        <v>5409</v>
      </c>
      <c r="J862" s="2" t="s">
        <v>5410</v>
      </c>
      <c r="K862" s="2" t="s">
        <v>241</v>
      </c>
      <c r="L862" s="2">
        <v>1711.0</v>
      </c>
      <c r="M862" s="2">
        <v>95.0</v>
      </c>
      <c r="N862" s="2">
        <v>2298.82</v>
      </c>
      <c r="O862" s="2" t="s">
        <v>52</v>
      </c>
      <c r="P862" s="2" t="s">
        <v>5411</v>
      </c>
      <c r="Q862" s="2" t="s">
        <v>5412</v>
      </c>
      <c r="T862" s="2" t="s">
        <v>2684</v>
      </c>
      <c r="U862" s="2" t="s">
        <v>71</v>
      </c>
    </row>
    <row r="863">
      <c r="A863" s="2">
        <v>862.0</v>
      </c>
      <c r="B863" s="2">
        <v>862.0</v>
      </c>
      <c r="C863" s="2">
        <v>862.0</v>
      </c>
      <c r="D863" s="3">
        <v>44448.0</v>
      </c>
      <c r="E863" s="2" t="s">
        <v>683</v>
      </c>
      <c r="F863" s="2" t="s">
        <v>35</v>
      </c>
      <c r="G863" s="2">
        <v>809.56</v>
      </c>
      <c r="H863" s="2" t="s">
        <v>5413</v>
      </c>
      <c r="I863" s="2" t="s">
        <v>5414</v>
      </c>
      <c r="J863" s="2" t="s">
        <v>5415</v>
      </c>
      <c r="K863" s="2" t="s">
        <v>4002</v>
      </c>
      <c r="L863" s="2">
        <v>7536.0</v>
      </c>
      <c r="M863" s="2">
        <v>60.0</v>
      </c>
      <c r="N863" s="2">
        <v>1325.15</v>
      </c>
      <c r="O863" s="2" t="s">
        <v>52</v>
      </c>
      <c r="P863" s="2" t="s">
        <v>5416</v>
      </c>
      <c r="Q863" s="2" t="s">
        <v>5417</v>
      </c>
      <c r="R863" s="2" t="s">
        <v>5418</v>
      </c>
      <c r="T863" s="2" t="s">
        <v>32</v>
      </c>
      <c r="U863" s="2" t="s">
        <v>71</v>
      </c>
    </row>
    <row r="864">
      <c r="A864" s="2">
        <v>863.0</v>
      </c>
      <c r="B864" s="2">
        <v>863.0</v>
      </c>
      <c r="C864" s="2">
        <v>863.0</v>
      </c>
      <c r="D864" s="3">
        <v>44371.0</v>
      </c>
      <c r="E864" s="2" t="s">
        <v>5419</v>
      </c>
      <c r="F864" s="2" t="s">
        <v>1556</v>
      </c>
      <c r="G864" s="2">
        <v>786.57</v>
      </c>
      <c r="H864" s="2" t="s">
        <v>5420</v>
      </c>
      <c r="I864" s="2" t="s">
        <v>5421</v>
      </c>
      <c r="J864" s="2" t="s">
        <v>5422</v>
      </c>
      <c r="K864" s="2" t="s">
        <v>119</v>
      </c>
      <c r="M864" s="2">
        <v>24.0</v>
      </c>
      <c r="N864" s="2">
        <v>5819.35</v>
      </c>
      <c r="O864" s="2" t="s">
        <v>52</v>
      </c>
      <c r="P864" s="2" t="s">
        <v>628</v>
      </c>
      <c r="Q864" s="2" t="s">
        <v>5423</v>
      </c>
      <c r="S864" s="2">
        <v>5166.0</v>
      </c>
      <c r="T864" s="2" t="s">
        <v>178</v>
      </c>
      <c r="U864" s="2" t="s">
        <v>71</v>
      </c>
    </row>
    <row r="865">
      <c r="A865" s="2">
        <v>864.0</v>
      </c>
      <c r="B865" s="2">
        <v>864.0</v>
      </c>
      <c r="C865" s="2">
        <v>864.0</v>
      </c>
      <c r="D865" s="3">
        <v>44423.0</v>
      </c>
      <c r="E865" s="2" t="s">
        <v>96</v>
      </c>
      <c r="F865" s="2" t="s">
        <v>97</v>
      </c>
      <c r="G865" s="2">
        <v>650.34</v>
      </c>
      <c r="H865" s="2" t="s">
        <v>5424</v>
      </c>
      <c r="I865" s="2" t="s">
        <v>5425</v>
      </c>
      <c r="J865" s="2" t="s">
        <v>5426</v>
      </c>
      <c r="K865" s="2" t="s">
        <v>225</v>
      </c>
      <c r="M865" s="2">
        <v>8.0</v>
      </c>
      <c r="N865" s="2">
        <v>1507.18</v>
      </c>
      <c r="O865" s="2" t="s">
        <v>41</v>
      </c>
      <c r="P865" s="2" t="s">
        <v>5427</v>
      </c>
      <c r="Q865" s="2" t="s">
        <v>5428</v>
      </c>
      <c r="T865" s="2" t="s">
        <v>32</v>
      </c>
      <c r="U865" s="2" t="s">
        <v>46</v>
      </c>
    </row>
    <row r="866">
      <c r="A866" s="2">
        <v>865.0</v>
      </c>
      <c r="B866" s="2">
        <v>865.0</v>
      </c>
      <c r="C866" s="2">
        <v>865.0</v>
      </c>
      <c r="D866" s="3">
        <v>44255.0</v>
      </c>
      <c r="E866" s="2" t="s">
        <v>5429</v>
      </c>
      <c r="F866" s="2" t="s">
        <v>35</v>
      </c>
      <c r="G866" s="2">
        <v>654.04</v>
      </c>
      <c r="H866" s="2" t="s">
        <v>5430</v>
      </c>
      <c r="I866" s="2" t="s">
        <v>5431</v>
      </c>
      <c r="J866" s="2" t="s">
        <v>5432</v>
      </c>
      <c r="K866" s="2" t="s">
        <v>529</v>
      </c>
      <c r="L866" s="2">
        <v>71122.0</v>
      </c>
      <c r="M866" s="2">
        <v>87.0</v>
      </c>
      <c r="N866" s="2">
        <v>3211.56</v>
      </c>
      <c r="O866" s="2" t="s">
        <v>41</v>
      </c>
      <c r="P866" s="2" t="s">
        <v>2702</v>
      </c>
      <c r="Q866" s="2" t="s">
        <v>5433</v>
      </c>
      <c r="R866" s="2" t="s">
        <v>5434</v>
      </c>
      <c r="T866" s="2" t="s">
        <v>1328</v>
      </c>
      <c r="U866" s="2" t="s">
        <v>71</v>
      </c>
    </row>
    <row r="867">
      <c r="A867" s="2">
        <v>866.0</v>
      </c>
      <c r="B867" s="2">
        <v>866.0</v>
      </c>
      <c r="C867" s="2">
        <v>866.0</v>
      </c>
      <c r="D867" s="3">
        <v>44070.0</v>
      </c>
      <c r="E867" s="2" t="s">
        <v>5435</v>
      </c>
      <c r="F867" s="2" t="s">
        <v>35</v>
      </c>
      <c r="G867" s="2">
        <v>572.06</v>
      </c>
      <c r="H867" s="2" t="s">
        <v>5436</v>
      </c>
      <c r="I867" s="2" t="s">
        <v>5437</v>
      </c>
      <c r="J867" s="2" t="s">
        <v>5438</v>
      </c>
      <c r="K867" s="2" t="s">
        <v>5129</v>
      </c>
      <c r="L867" s="2" t="s">
        <v>5439</v>
      </c>
      <c r="M867" s="2">
        <v>23.0</v>
      </c>
      <c r="N867" s="2">
        <v>7681.43</v>
      </c>
      <c r="O867" s="2" t="s">
        <v>52</v>
      </c>
      <c r="P867" s="2" t="s">
        <v>933</v>
      </c>
      <c r="Q867" s="2" t="s">
        <v>5440</v>
      </c>
      <c r="T867" s="2" t="s">
        <v>119</v>
      </c>
      <c r="U867" s="2" t="s">
        <v>71</v>
      </c>
    </row>
    <row r="868">
      <c r="A868" s="2">
        <v>867.0</v>
      </c>
      <c r="B868" s="2">
        <v>867.0</v>
      </c>
      <c r="C868" s="2">
        <v>867.0</v>
      </c>
      <c r="D868" s="3">
        <v>44421.0</v>
      </c>
      <c r="E868" s="2" t="s">
        <v>5441</v>
      </c>
      <c r="F868" s="2" t="s">
        <v>230</v>
      </c>
      <c r="G868" s="2">
        <v>647.58</v>
      </c>
      <c r="H868" s="2" t="s">
        <v>5442</v>
      </c>
      <c r="I868" s="2" t="s">
        <v>5443</v>
      </c>
      <c r="J868" s="2" t="s">
        <v>5444</v>
      </c>
      <c r="K868" s="2" t="s">
        <v>241</v>
      </c>
      <c r="L868" s="2">
        <v>9810.0</v>
      </c>
      <c r="M868" s="2">
        <v>60.0</v>
      </c>
      <c r="N868" s="2">
        <v>2214.0</v>
      </c>
      <c r="O868" s="2" t="s">
        <v>52</v>
      </c>
      <c r="P868" s="2" t="s">
        <v>5445</v>
      </c>
      <c r="Q868" s="2" t="s">
        <v>5446</v>
      </c>
      <c r="S868" s="2">
        <v>22017.0</v>
      </c>
      <c r="T868" s="2" t="s">
        <v>1430</v>
      </c>
      <c r="U868" s="2" t="s">
        <v>71</v>
      </c>
    </row>
    <row r="869">
      <c r="A869" s="2">
        <v>868.0</v>
      </c>
      <c r="B869" s="2">
        <v>868.0</v>
      </c>
      <c r="C869" s="2">
        <v>868.0</v>
      </c>
      <c r="D869" s="3">
        <v>44060.0</v>
      </c>
      <c r="E869" s="2" t="s">
        <v>5447</v>
      </c>
      <c r="F869" s="2" t="s">
        <v>1046</v>
      </c>
      <c r="G869" s="2">
        <v>775.19</v>
      </c>
      <c r="H869" s="2" t="s">
        <v>5448</v>
      </c>
      <c r="I869" s="2" t="s">
        <v>5449</v>
      </c>
      <c r="J869" s="2" t="s">
        <v>5450</v>
      </c>
      <c r="K869" s="2" t="s">
        <v>2936</v>
      </c>
      <c r="M869" s="2">
        <v>1.0</v>
      </c>
      <c r="N869" s="2">
        <v>5387.44</v>
      </c>
      <c r="O869" s="2" t="s">
        <v>28</v>
      </c>
      <c r="P869" s="2" t="s">
        <v>5451</v>
      </c>
      <c r="Q869" s="2" t="s">
        <v>5452</v>
      </c>
      <c r="S869" s="2" t="s">
        <v>5453</v>
      </c>
      <c r="T869" s="2" t="s">
        <v>114</v>
      </c>
      <c r="U869" s="2" t="s">
        <v>33</v>
      </c>
    </row>
    <row r="870">
      <c r="A870" s="2">
        <v>869.0</v>
      </c>
      <c r="B870" s="2">
        <v>869.0</v>
      </c>
      <c r="C870" s="2">
        <v>869.0</v>
      </c>
      <c r="D870" s="3">
        <v>44401.0</v>
      </c>
      <c r="E870" s="2" t="s">
        <v>5454</v>
      </c>
      <c r="F870" s="2" t="s">
        <v>206</v>
      </c>
      <c r="G870" s="2">
        <v>851.71</v>
      </c>
      <c r="H870" s="2" t="s">
        <v>5455</v>
      </c>
      <c r="I870" s="2" t="s">
        <v>5456</v>
      </c>
      <c r="J870" s="2" t="s">
        <v>5457</v>
      </c>
      <c r="K870" s="2" t="s">
        <v>163</v>
      </c>
      <c r="L870" s="2" t="s">
        <v>5458</v>
      </c>
      <c r="M870" s="2">
        <v>36.0</v>
      </c>
      <c r="N870" s="2">
        <v>7902.52</v>
      </c>
      <c r="O870" s="2" t="s">
        <v>52</v>
      </c>
      <c r="P870" s="2" t="s">
        <v>643</v>
      </c>
      <c r="Q870" s="2" t="s">
        <v>5459</v>
      </c>
      <c r="T870" s="2" t="s">
        <v>1180</v>
      </c>
      <c r="U870" s="2" t="s">
        <v>33</v>
      </c>
    </row>
    <row r="871">
      <c r="A871" s="2">
        <v>870.0</v>
      </c>
      <c r="B871" s="2">
        <v>870.0</v>
      </c>
      <c r="C871" s="2">
        <v>870.0</v>
      </c>
      <c r="D871" s="3">
        <v>44158.0</v>
      </c>
      <c r="E871" s="2" t="s">
        <v>487</v>
      </c>
      <c r="F871" s="2" t="s">
        <v>73</v>
      </c>
      <c r="G871" s="2">
        <v>904.9</v>
      </c>
      <c r="H871" s="2" t="s">
        <v>5460</v>
      </c>
      <c r="I871" s="2" t="s">
        <v>5461</v>
      </c>
      <c r="J871" s="2" t="s">
        <v>5462</v>
      </c>
      <c r="K871" s="2" t="s">
        <v>1008</v>
      </c>
      <c r="M871" s="2">
        <v>13.0</v>
      </c>
      <c r="N871" s="2">
        <v>717.32</v>
      </c>
      <c r="O871" s="2" t="s">
        <v>28</v>
      </c>
      <c r="P871" s="2" t="s">
        <v>5463</v>
      </c>
      <c r="Q871" s="2" t="s">
        <v>5464</v>
      </c>
      <c r="S871" s="2">
        <v>90160.0</v>
      </c>
      <c r="T871" s="2" t="s">
        <v>627</v>
      </c>
      <c r="U871" s="2" t="s">
        <v>71</v>
      </c>
    </row>
    <row r="872">
      <c r="A872" s="2">
        <v>871.0</v>
      </c>
      <c r="B872" s="2">
        <v>871.0</v>
      </c>
      <c r="C872" s="2">
        <v>871.0</v>
      </c>
      <c r="D872" s="3">
        <v>44223.0</v>
      </c>
      <c r="E872" s="2" t="s">
        <v>646</v>
      </c>
      <c r="F872" s="2" t="s">
        <v>546</v>
      </c>
      <c r="G872" s="2">
        <v>376.72</v>
      </c>
      <c r="H872" s="2" t="s">
        <v>5093</v>
      </c>
      <c r="I872" s="2" t="s">
        <v>5465</v>
      </c>
      <c r="J872" s="2" t="s">
        <v>5466</v>
      </c>
      <c r="K872" s="2" t="s">
        <v>32</v>
      </c>
      <c r="M872" s="2">
        <v>55.0</v>
      </c>
      <c r="N872" s="2">
        <v>4759.67</v>
      </c>
      <c r="O872" s="2" t="s">
        <v>28</v>
      </c>
      <c r="P872" s="2" t="s">
        <v>5467</v>
      </c>
      <c r="Q872" s="2" t="s">
        <v>5468</v>
      </c>
      <c r="S872" s="2">
        <v>393917.0</v>
      </c>
      <c r="T872" s="2" t="s">
        <v>68</v>
      </c>
      <c r="U872" s="2" t="s">
        <v>33</v>
      </c>
    </row>
    <row r="873">
      <c r="A873" s="2">
        <v>872.0</v>
      </c>
      <c r="B873" s="2">
        <v>872.0</v>
      </c>
      <c r="C873" s="2">
        <v>872.0</v>
      </c>
      <c r="D873" s="3">
        <v>44220.0</v>
      </c>
      <c r="E873" s="2" t="s">
        <v>929</v>
      </c>
      <c r="F873" s="2" t="s">
        <v>237</v>
      </c>
      <c r="G873" s="2">
        <v>74.88</v>
      </c>
      <c r="H873" s="2" t="s">
        <v>4040</v>
      </c>
      <c r="I873" s="2" t="s">
        <v>5469</v>
      </c>
      <c r="J873" s="2" t="s">
        <v>5470</v>
      </c>
      <c r="K873" s="2" t="s">
        <v>1908</v>
      </c>
      <c r="M873" s="2">
        <v>52.0</v>
      </c>
      <c r="N873" s="2">
        <v>4392.39</v>
      </c>
      <c r="O873" s="2" t="s">
        <v>28</v>
      </c>
      <c r="P873" s="2" t="s">
        <v>5471</v>
      </c>
      <c r="Q873" s="2" t="s">
        <v>5472</v>
      </c>
      <c r="S873" s="2" t="s">
        <v>5473</v>
      </c>
      <c r="T873" s="2" t="s">
        <v>257</v>
      </c>
      <c r="U873" s="2" t="s">
        <v>33</v>
      </c>
    </row>
    <row r="874">
      <c r="A874" s="2">
        <v>873.0</v>
      </c>
      <c r="B874" s="2">
        <v>873.0</v>
      </c>
      <c r="C874" s="2">
        <v>873.0</v>
      </c>
      <c r="D874" s="3">
        <v>44287.0</v>
      </c>
      <c r="E874" s="2" t="s">
        <v>3559</v>
      </c>
      <c r="F874" s="2" t="s">
        <v>567</v>
      </c>
      <c r="G874" s="2">
        <v>183.32</v>
      </c>
      <c r="H874" s="2" t="s">
        <v>5474</v>
      </c>
      <c r="I874" s="2" t="s">
        <v>5475</v>
      </c>
      <c r="J874" s="2" t="s">
        <v>5476</v>
      </c>
      <c r="K874" s="2" t="s">
        <v>119</v>
      </c>
      <c r="M874" s="2">
        <v>12.0</v>
      </c>
      <c r="N874" s="2">
        <v>5632.21</v>
      </c>
      <c r="O874" s="2" t="s">
        <v>28</v>
      </c>
      <c r="P874" s="2" t="s">
        <v>2151</v>
      </c>
      <c r="Q874" s="2" t="s">
        <v>5477</v>
      </c>
      <c r="S874" s="2" t="s">
        <v>5478</v>
      </c>
      <c r="T874" s="2" t="s">
        <v>163</v>
      </c>
      <c r="U874" s="2" t="s">
        <v>71</v>
      </c>
    </row>
    <row r="875">
      <c r="A875" s="2">
        <v>874.0</v>
      </c>
      <c r="B875" s="2">
        <v>874.0</v>
      </c>
      <c r="C875" s="2">
        <v>874.0</v>
      </c>
      <c r="D875" s="3">
        <v>43942.0</v>
      </c>
      <c r="E875" s="2" t="s">
        <v>5479</v>
      </c>
      <c r="F875" s="2" t="s">
        <v>2120</v>
      </c>
      <c r="G875" s="2">
        <v>186.92</v>
      </c>
      <c r="H875" s="2" t="s">
        <v>5480</v>
      </c>
      <c r="I875" s="2" t="s">
        <v>5481</v>
      </c>
      <c r="J875" s="2" t="s">
        <v>5482</v>
      </c>
      <c r="K875" s="2" t="s">
        <v>39</v>
      </c>
      <c r="L875" s="2" t="s">
        <v>5483</v>
      </c>
      <c r="M875" s="2">
        <v>18.0</v>
      </c>
      <c r="N875" s="2">
        <v>3430.17</v>
      </c>
      <c r="O875" s="2" t="s">
        <v>41</v>
      </c>
      <c r="P875" s="2" t="s">
        <v>5484</v>
      </c>
      <c r="Q875" s="2" t="s">
        <v>5485</v>
      </c>
      <c r="R875" s="2" t="s">
        <v>736</v>
      </c>
      <c r="T875" s="2" t="s">
        <v>119</v>
      </c>
      <c r="U875" s="2" t="s">
        <v>33</v>
      </c>
    </row>
    <row r="876">
      <c r="A876" s="2">
        <v>875.0</v>
      </c>
      <c r="B876" s="2">
        <v>875.0</v>
      </c>
      <c r="C876" s="2">
        <v>875.0</v>
      </c>
      <c r="D876" s="3">
        <v>44274.0</v>
      </c>
      <c r="E876" s="2" t="s">
        <v>5486</v>
      </c>
      <c r="F876" s="2" t="s">
        <v>381</v>
      </c>
      <c r="G876" s="2">
        <v>953.88</v>
      </c>
      <c r="H876" s="2" t="s">
        <v>1284</v>
      </c>
      <c r="I876" s="2" t="s">
        <v>5487</v>
      </c>
      <c r="J876" s="2" t="s">
        <v>5488</v>
      </c>
      <c r="K876" s="2" t="s">
        <v>5489</v>
      </c>
      <c r="M876" s="2">
        <v>72.0</v>
      </c>
      <c r="N876" s="2">
        <v>2227.08</v>
      </c>
      <c r="O876" s="2" t="s">
        <v>52</v>
      </c>
      <c r="P876" s="2" t="s">
        <v>5490</v>
      </c>
      <c r="Q876" s="2" t="s">
        <v>5491</v>
      </c>
      <c r="T876" s="2" t="s">
        <v>267</v>
      </c>
      <c r="U876" s="2" t="s">
        <v>46</v>
      </c>
    </row>
    <row r="877">
      <c r="A877" s="2">
        <v>876.0</v>
      </c>
      <c r="B877" s="2">
        <v>876.0</v>
      </c>
      <c r="C877" s="2">
        <v>876.0</v>
      </c>
      <c r="D877" s="3">
        <v>44007.0</v>
      </c>
      <c r="E877" s="2" t="s">
        <v>5492</v>
      </c>
      <c r="F877" s="2" t="s">
        <v>501</v>
      </c>
      <c r="G877" s="2">
        <v>479.73</v>
      </c>
      <c r="H877" s="2" t="s">
        <v>5493</v>
      </c>
      <c r="I877" s="2" t="s">
        <v>5494</v>
      </c>
      <c r="J877" s="2" t="s">
        <v>5495</v>
      </c>
      <c r="K877" s="2" t="s">
        <v>257</v>
      </c>
      <c r="L877" s="2" t="s">
        <v>5496</v>
      </c>
      <c r="M877" s="2">
        <v>7.0</v>
      </c>
      <c r="N877" s="2">
        <v>2679.86</v>
      </c>
      <c r="O877" s="2" t="s">
        <v>41</v>
      </c>
      <c r="P877" s="2" t="s">
        <v>5497</v>
      </c>
      <c r="Q877" s="2" t="s">
        <v>5498</v>
      </c>
      <c r="R877" s="2" t="s">
        <v>349</v>
      </c>
      <c r="T877" s="2" t="s">
        <v>5245</v>
      </c>
      <c r="U877" s="2" t="s">
        <v>46</v>
      </c>
    </row>
    <row r="878">
      <c r="A878" s="2">
        <v>877.0</v>
      </c>
      <c r="B878" s="2">
        <v>877.0</v>
      </c>
      <c r="C878" s="2">
        <v>877.0</v>
      </c>
      <c r="D878" s="3">
        <v>44248.0</v>
      </c>
      <c r="E878" s="2" t="s">
        <v>5499</v>
      </c>
      <c r="F878" s="2" t="s">
        <v>263</v>
      </c>
      <c r="G878" s="2">
        <v>56.45</v>
      </c>
      <c r="H878" s="2" t="s">
        <v>5500</v>
      </c>
      <c r="I878" s="2" t="s">
        <v>5501</v>
      </c>
      <c r="J878" s="2" t="s">
        <v>5502</v>
      </c>
      <c r="K878" s="2" t="s">
        <v>26</v>
      </c>
      <c r="L878" s="2" t="s">
        <v>5503</v>
      </c>
      <c r="M878" s="2">
        <v>60.0</v>
      </c>
      <c r="N878" s="2">
        <v>5072.98</v>
      </c>
      <c r="O878" s="2" t="s">
        <v>52</v>
      </c>
      <c r="P878" s="2" t="s">
        <v>5504</v>
      </c>
      <c r="Q878" s="2" t="s">
        <v>813</v>
      </c>
      <c r="R878" s="2" t="s">
        <v>814</v>
      </c>
      <c r="S878" s="2">
        <v>9313.0</v>
      </c>
      <c r="T878" s="2" t="s">
        <v>241</v>
      </c>
      <c r="U878" s="2" t="s">
        <v>71</v>
      </c>
    </row>
    <row r="879">
      <c r="A879" s="2">
        <v>878.0</v>
      </c>
      <c r="B879" s="2">
        <v>878.0</v>
      </c>
      <c r="C879" s="2">
        <v>878.0</v>
      </c>
      <c r="D879" s="3">
        <v>44216.0</v>
      </c>
      <c r="E879" s="2" t="s">
        <v>5505</v>
      </c>
      <c r="F879" s="2" t="s">
        <v>142</v>
      </c>
      <c r="G879" s="2">
        <v>551.86</v>
      </c>
      <c r="H879" s="2" t="s">
        <v>5506</v>
      </c>
      <c r="I879" s="2" t="s">
        <v>5507</v>
      </c>
      <c r="J879" s="2" t="s">
        <v>5508</v>
      </c>
      <c r="K879" s="2" t="s">
        <v>32</v>
      </c>
      <c r="M879" s="2">
        <v>63.0</v>
      </c>
      <c r="N879" s="2">
        <v>1881.03</v>
      </c>
      <c r="O879" s="2" t="s">
        <v>41</v>
      </c>
      <c r="P879" s="2" t="s">
        <v>5509</v>
      </c>
      <c r="Q879" s="2" t="s">
        <v>5510</v>
      </c>
      <c r="T879" s="2" t="s">
        <v>32</v>
      </c>
      <c r="U879" s="2" t="s">
        <v>33</v>
      </c>
    </row>
    <row r="880">
      <c r="A880" s="2">
        <v>879.0</v>
      </c>
      <c r="B880" s="2">
        <v>879.0</v>
      </c>
      <c r="C880" s="2">
        <v>879.0</v>
      </c>
      <c r="D880" s="3">
        <v>44119.0</v>
      </c>
      <c r="E880" s="2" t="s">
        <v>5511</v>
      </c>
      <c r="F880" s="2" t="s">
        <v>73</v>
      </c>
      <c r="G880" s="2">
        <v>39.69</v>
      </c>
      <c r="H880" s="2" t="s">
        <v>5512</v>
      </c>
      <c r="I880" s="2" t="s">
        <v>5513</v>
      </c>
      <c r="J880" s="2" t="s">
        <v>5514</v>
      </c>
      <c r="K880" s="2" t="s">
        <v>5515</v>
      </c>
      <c r="M880" s="2">
        <v>93.0</v>
      </c>
      <c r="N880" s="2">
        <v>9316.45</v>
      </c>
      <c r="O880" s="2" t="s">
        <v>41</v>
      </c>
      <c r="P880" s="2" t="s">
        <v>5516</v>
      </c>
      <c r="Q880" s="2" t="s">
        <v>5517</v>
      </c>
      <c r="T880" s="2" t="s">
        <v>32</v>
      </c>
      <c r="U880" s="2" t="s">
        <v>46</v>
      </c>
    </row>
    <row r="881">
      <c r="A881" s="2">
        <v>880.0</v>
      </c>
      <c r="B881" s="2">
        <v>880.0</v>
      </c>
      <c r="C881" s="2">
        <v>880.0</v>
      </c>
      <c r="D881" s="3">
        <v>44461.0</v>
      </c>
      <c r="E881" s="2" t="s">
        <v>5518</v>
      </c>
      <c r="F881" s="2" t="s">
        <v>263</v>
      </c>
      <c r="G881" s="2">
        <v>837.01</v>
      </c>
      <c r="H881" s="2" t="s">
        <v>5519</v>
      </c>
      <c r="I881" s="2" t="s">
        <v>5520</v>
      </c>
      <c r="J881" s="2" t="s">
        <v>5521</v>
      </c>
      <c r="K881" s="2" t="s">
        <v>68</v>
      </c>
      <c r="L881" s="2">
        <v>624582.0</v>
      </c>
      <c r="M881" s="2">
        <v>27.0</v>
      </c>
      <c r="N881" s="2">
        <v>9399.51</v>
      </c>
      <c r="O881" s="2" t="s">
        <v>28</v>
      </c>
      <c r="P881" s="2" t="s">
        <v>5522</v>
      </c>
      <c r="Q881" s="2" t="s">
        <v>5523</v>
      </c>
      <c r="S881" s="2">
        <v>177027.0</v>
      </c>
      <c r="T881" s="2" t="s">
        <v>819</v>
      </c>
      <c r="U881" s="2" t="s">
        <v>46</v>
      </c>
    </row>
    <row r="882">
      <c r="A882" s="2">
        <v>881.0</v>
      </c>
      <c r="B882" s="2">
        <v>881.0</v>
      </c>
      <c r="C882" s="2">
        <v>881.0</v>
      </c>
      <c r="D882" s="3">
        <v>43970.0</v>
      </c>
      <c r="E882" s="2" t="s">
        <v>4080</v>
      </c>
      <c r="F882" s="2" t="s">
        <v>1046</v>
      </c>
      <c r="G882" s="2">
        <v>625.95</v>
      </c>
      <c r="H882" s="2" t="s">
        <v>5524</v>
      </c>
      <c r="I882" s="2" t="s">
        <v>5525</v>
      </c>
      <c r="J882" s="2" t="s">
        <v>5526</v>
      </c>
      <c r="K882" s="2" t="s">
        <v>131</v>
      </c>
      <c r="L882" s="2">
        <v>6714.0</v>
      </c>
      <c r="M882" s="2">
        <v>27.0</v>
      </c>
      <c r="N882" s="2">
        <v>9043.45</v>
      </c>
      <c r="O882" s="2" t="s">
        <v>52</v>
      </c>
      <c r="P882" s="2" t="s">
        <v>506</v>
      </c>
      <c r="Q882" s="2" t="s">
        <v>5527</v>
      </c>
      <c r="R882" s="2" t="s">
        <v>1733</v>
      </c>
      <c r="T882" s="2" t="s">
        <v>32</v>
      </c>
      <c r="U882" s="2" t="s">
        <v>33</v>
      </c>
    </row>
    <row r="883">
      <c r="A883" s="2">
        <v>882.0</v>
      </c>
      <c r="B883" s="2">
        <v>882.0</v>
      </c>
      <c r="C883" s="2">
        <v>882.0</v>
      </c>
      <c r="D883" s="3">
        <v>44399.0</v>
      </c>
      <c r="E883" s="2" t="s">
        <v>5528</v>
      </c>
      <c r="F883" s="2" t="s">
        <v>332</v>
      </c>
      <c r="G883" s="2">
        <v>977.44</v>
      </c>
      <c r="H883" s="2" t="s">
        <v>4797</v>
      </c>
      <c r="I883" s="2" t="s">
        <v>5529</v>
      </c>
      <c r="J883" s="2" t="s">
        <v>5530</v>
      </c>
      <c r="K883" s="2" t="s">
        <v>478</v>
      </c>
      <c r="M883" s="2">
        <v>24.0</v>
      </c>
      <c r="N883" s="2">
        <v>5229.8</v>
      </c>
      <c r="O883" s="2" t="s">
        <v>41</v>
      </c>
      <c r="P883" s="2" t="s">
        <v>883</v>
      </c>
      <c r="Q883" s="2" t="s">
        <v>5531</v>
      </c>
      <c r="T883" s="2" t="s">
        <v>267</v>
      </c>
      <c r="U883" s="2" t="s">
        <v>46</v>
      </c>
    </row>
    <row r="884">
      <c r="A884" s="2">
        <v>883.0</v>
      </c>
      <c r="B884" s="2">
        <v>883.0</v>
      </c>
      <c r="C884" s="2">
        <v>883.0</v>
      </c>
      <c r="D884" s="3">
        <v>44158.0</v>
      </c>
      <c r="E884" s="2" t="s">
        <v>3322</v>
      </c>
      <c r="F884" s="2" t="s">
        <v>198</v>
      </c>
      <c r="G884" s="2">
        <v>122.02</v>
      </c>
      <c r="H884" s="2" t="s">
        <v>5532</v>
      </c>
      <c r="I884" s="2" t="s">
        <v>5533</v>
      </c>
      <c r="J884" s="2" t="s">
        <v>5534</v>
      </c>
      <c r="K884" s="2" t="s">
        <v>39</v>
      </c>
      <c r="L884" s="2" t="s">
        <v>5535</v>
      </c>
      <c r="M884" s="2">
        <v>64.0</v>
      </c>
      <c r="N884" s="2">
        <v>6989.88</v>
      </c>
      <c r="O884" s="2" t="s">
        <v>52</v>
      </c>
      <c r="P884" s="2" t="s">
        <v>5536</v>
      </c>
      <c r="Q884" s="2" t="s">
        <v>5537</v>
      </c>
      <c r="R884" s="2" t="s">
        <v>753</v>
      </c>
      <c r="T884" s="2" t="s">
        <v>32</v>
      </c>
      <c r="U884" s="2" t="s">
        <v>71</v>
      </c>
    </row>
    <row r="885">
      <c r="A885" s="2">
        <v>884.0</v>
      </c>
      <c r="B885" s="2">
        <v>884.0</v>
      </c>
      <c r="C885" s="2">
        <v>884.0</v>
      </c>
      <c r="D885" s="3">
        <v>44235.0</v>
      </c>
      <c r="E885" s="2" t="s">
        <v>5538</v>
      </c>
      <c r="F885" s="2" t="s">
        <v>381</v>
      </c>
      <c r="G885" s="2">
        <v>307.3</v>
      </c>
      <c r="H885" s="2" t="s">
        <v>5539</v>
      </c>
      <c r="I885" s="2" t="s">
        <v>5540</v>
      </c>
      <c r="J885" s="2" t="s">
        <v>5541</v>
      </c>
      <c r="K885" s="2" t="s">
        <v>68</v>
      </c>
      <c r="L885" s="2">
        <v>368219.0</v>
      </c>
      <c r="M885" s="2">
        <v>52.0</v>
      </c>
      <c r="N885" s="2">
        <v>5838.39</v>
      </c>
      <c r="O885" s="2" t="s">
        <v>52</v>
      </c>
      <c r="P885" s="2" t="s">
        <v>5542</v>
      </c>
      <c r="Q885" s="2" t="s">
        <v>4463</v>
      </c>
      <c r="T885" s="2" t="s">
        <v>32</v>
      </c>
      <c r="U885" s="2" t="s">
        <v>71</v>
      </c>
    </row>
    <row r="886">
      <c r="A886" s="2">
        <v>885.0</v>
      </c>
      <c r="B886" s="2">
        <v>885.0</v>
      </c>
      <c r="C886" s="2">
        <v>885.0</v>
      </c>
      <c r="D886" s="3">
        <v>43993.0</v>
      </c>
      <c r="E886" s="2" t="s">
        <v>5543</v>
      </c>
      <c r="F886" s="2" t="s">
        <v>3161</v>
      </c>
      <c r="G886" s="2">
        <v>948.38</v>
      </c>
      <c r="H886" s="2" t="s">
        <v>5544</v>
      </c>
      <c r="I886" s="2" t="s">
        <v>5545</v>
      </c>
      <c r="J886" s="2" t="s">
        <v>5546</v>
      </c>
      <c r="K886" s="2" t="s">
        <v>32</v>
      </c>
      <c r="M886" s="2">
        <v>90.0</v>
      </c>
      <c r="N886" s="2">
        <v>1607.64</v>
      </c>
      <c r="O886" s="2" t="s">
        <v>52</v>
      </c>
      <c r="P886" s="2" t="s">
        <v>5547</v>
      </c>
      <c r="Q886" s="2" t="s">
        <v>5548</v>
      </c>
      <c r="T886" s="2" t="s">
        <v>434</v>
      </c>
      <c r="U886" s="2" t="s">
        <v>33</v>
      </c>
    </row>
    <row r="887">
      <c r="A887" s="2">
        <v>886.0</v>
      </c>
      <c r="B887" s="2">
        <v>886.0</v>
      </c>
      <c r="C887" s="2">
        <v>886.0</v>
      </c>
      <c r="D887" s="3">
        <v>44343.0</v>
      </c>
      <c r="E887" s="2" t="s">
        <v>3312</v>
      </c>
      <c r="F887" s="2" t="s">
        <v>133</v>
      </c>
      <c r="G887" s="2">
        <v>665.72</v>
      </c>
      <c r="H887" s="2" t="s">
        <v>4421</v>
      </c>
      <c r="I887" s="2" t="s">
        <v>5549</v>
      </c>
      <c r="J887" s="2" t="s">
        <v>5550</v>
      </c>
      <c r="K887" s="2" t="s">
        <v>1826</v>
      </c>
      <c r="M887" s="2">
        <v>54.0</v>
      </c>
      <c r="N887" s="2">
        <v>6475.61</v>
      </c>
      <c r="O887" s="2" t="s">
        <v>52</v>
      </c>
      <c r="P887" s="2" t="s">
        <v>643</v>
      </c>
      <c r="Q887" s="2" t="s">
        <v>5551</v>
      </c>
      <c r="T887" s="2" t="s">
        <v>1227</v>
      </c>
      <c r="U887" s="2" t="s">
        <v>71</v>
      </c>
    </row>
    <row r="888">
      <c r="A888" s="2">
        <v>887.0</v>
      </c>
      <c r="B888" s="2">
        <v>887.0</v>
      </c>
      <c r="C888" s="2">
        <v>887.0</v>
      </c>
      <c r="D888" s="3">
        <v>44370.0</v>
      </c>
      <c r="E888" s="2" t="s">
        <v>5552</v>
      </c>
      <c r="F888" s="2" t="s">
        <v>480</v>
      </c>
      <c r="G888" s="2">
        <v>731.84</v>
      </c>
      <c r="H888" s="2" t="s">
        <v>5553</v>
      </c>
      <c r="I888" s="2" t="s">
        <v>5554</v>
      </c>
      <c r="J888" s="2" t="s">
        <v>5555</v>
      </c>
      <c r="K888" s="2" t="s">
        <v>106</v>
      </c>
      <c r="L888" s="2" t="s">
        <v>5556</v>
      </c>
      <c r="M888" s="2">
        <v>92.0</v>
      </c>
      <c r="N888" s="2">
        <v>8234.77</v>
      </c>
      <c r="O888" s="2" t="s">
        <v>28</v>
      </c>
      <c r="P888" s="2" t="s">
        <v>5557</v>
      </c>
      <c r="Q888" s="2" t="s">
        <v>5558</v>
      </c>
      <c r="S888" s="2">
        <v>164509.0</v>
      </c>
      <c r="T888" s="2" t="s">
        <v>68</v>
      </c>
      <c r="U888" s="2" t="s">
        <v>33</v>
      </c>
    </row>
    <row r="889">
      <c r="A889" s="2">
        <v>888.0</v>
      </c>
      <c r="B889" s="2">
        <v>888.0</v>
      </c>
      <c r="C889" s="2">
        <v>888.0</v>
      </c>
      <c r="D889" s="3">
        <v>44233.0</v>
      </c>
      <c r="E889" s="2" t="s">
        <v>5559</v>
      </c>
      <c r="F889" s="2" t="s">
        <v>142</v>
      </c>
      <c r="G889" s="2">
        <v>486.1</v>
      </c>
      <c r="H889" s="2" t="s">
        <v>5560</v>
      </c>
      <c r="I889" s="2" t="s">
        <v>5561</v>
      </c>
      <c r="J889" s="2" t="s">
        <v>5562</v>
      </c>
      <c r="K889" s="2" t="s">
        <v>137</v>
      </c>
      <c r="M889" s="2">
        <v>83.0</v>
      </c>
      <c r="N889" s="2">
        <v>4207.97</v>
      </c>
      <c r="O889" s="2" t="s">
        <v>52</v>
      </c>
      <c r="P889" s="2" t="s">
        <v>1746</v>
      </c>
      <c r="Q889" s="2" t="s">
        <v>5563</v>
      </c>
      <c r="T889" s="2" t="s">
        <v>119</v>
      </c>
      <c r="U889" s="2" t="s">
        <v>33</v>
      </c>
    </row>
    <row r="890">
      <c r="A890" s="2">
        <v>889.0</v>
      </c>
      <c r="B890" s="2">
        <v>889.0</v>
      </c>
      <c r="C890" s="2">
        <v>889.0</v>
      </c>
      <c r="D890" s="3">
        <v>44397.0</v>
      </c>
      <c r="E890" s="2" t="s">
        <v>2685</v>
      </c>
      <c r="F890" s="2" t="s">
        <v>2686</v>
      </c>
      <c r="G890" s="2">
        <v>813.83</v>
      </c>
      <c r="H890" s="2" t="s">
        <v>5564</v>
      </c>
      <c r="I890" s="2" t="s">
        <v>5565</v>
      </c>
      <c r="J890" s="2" t="s">
        <v>5566</v>
      </c>
      <c r="K890" s="2" t="s">
        <v>68</v>
      </c>
      <c r="L890" s="2">
        <v>347942.0</v>
      </c>
      <c r="M890" s="2">
        <v>56.0</v>
      </c>
      <c r="N890" s="2">
        <v>43.97</v>
      </c>
      <c r="O890" s="2" t="s">
        <v>52</v>
      </c>
      <c r="P890" s="2" t="s">
        <v>5567</v>
      </c>
      <c r="Q890" s="2" t="s">
        <v>5568</v>
      </c>
      <c r="S890" s="2" t="s">
        <v>5569</v>
      </c>
      <c r="T890" s="2" t="s">
        <v>106</v>
      </c>
      <c r="U890" s="2" t="s">
        <v>71</v>
      </c>
    </row>
    <row r="891">
      <c r="A891" s="2">
        <v>890.0</v>
      </c>
      <c r="B891" s="2">
        <v>890.0</v>
      </c>
      <c r="C891" s="2">
        <v>890.0</v>
      </c>
      <c r="D891" s="3">
        <v>43959.0</v>
      </c>
      <c r="E891" s="2" t="s">
        <v>5570</v>
      </c>
      <c r="F891" s="2" t="s">
        <v>501</v>
      </c>
      <c r="G891" s="2">
        <v>41.99</v>
      </c>
      <c r="H891" s="2" t="s">
        <v>5571</v>
      </c>
      <c r="I891" s="2" t="s">
        <v>5572</v>
      </c>
      <c r="J891" s="2" t="s">
        <v>5573</v>
      </c>
      <c r="K891" s="2" t="s">
        <v>241</v>
      </c>
      <c r="L891" s="2">
        <v>4332.0</v>
      </c>
      <c r="M891" s="2">
        <v>36.0</v>
      </c>
      <c r="N891" s="2">
        <v>754.85</v>
      </c>
      <c r="O891" s="2" t="s">
        <v>41</v>
      </c>
      <c r="P891" s="2" t="s">
        <v>5574</v>
      </c>
      <c r="Q891" s="2" t="s">
        <v>5575</v>
      </c>
      <c r="T891" s="2" t="s">
        <v>32</v>
      </c>
      <c r="U891" s="2" t="s">
        <v>71</v>
      </c>
    </row>
    <row r="892">
      <c r="A892" s="2">
        <v>891.0</v>
      </c>
      <c r="B892" s="2">
        <v>891.0</v>
      </c>
      <c r="C892" s="2">
        <v>891.0</v>
      </c>
      <c r="D892" s="3">
        <v>44193.0</v>
      </c>
      <c r="E892" s="2" t="s">
        <v>5576</v>
      </c>
      <c r="F892" s="2" t="s">
        <v>35</v>
      </c>
      <c r="G892" s="2">
        <v>441.47</v>
      </c>
      <c r="H892" s="2" t="s">
        <v>5577</v>
      </c>
      <c r="I892" s="2" t="s">
        <v>5578</v>
      </c>
      <c r="J892" s="2" t="s">
        <v>5579</v>
      </c>
      <c r="K892" s="2" t="s">
        <v>32</v>
      </c>
      <c r="M892" s="2">
        <v>7.0</v>
      </c>
      <c r="N892" s="2">
        <v>3153.48</v>
      </c>
      <c r="O892" s="2" t="s">
        <v>52</v>
      </c>
      <c r="P892" s="2" t="s">
        <v>2454</v>
      </c>
      <c r="Q892" s="2" t="s">
        <v>5580</v>
      </c>
      <c r="T892" s="2" t="s">
        <v>32</v>
      </c>
      <c r="U892" s="2" t="s">
        <v>46</v>
      </c>
    </row>
    <row r="893">
      <c r="A893" s="2">
        <v>892.0</v>
      </c>
      <c r="B893" s="2">
        <v>892.0</v>
      </c>
      <c r="C893" s="2">
        <v>892.0</v>
      </c>
      <c r="D893" s="3">
        <v>44486.0</v>
      </c>
      <c r="E893" s="2" t="s">
        <v>5581</v>
      </c>
      <c r="F893" s="2" t="s">
        <v>887</v>
      </c>
      <c r="G893" s="2">
        <v>586.2</v>
      </c>
      <c r="H893" s="2" t="s">
        <v>5582</v>
      </c>
      <c r="I893" s="2" t="s">
        <v>5583</v>
      </c>
      <c r="J893" s="2" t="s">
        <v>5584</v>
      </c>
      <c r="K893" s="2" t="s">
        <v>32</v>
      </c>
      <c r="M893" s="2">
        <v>63.0</v>
      </c>
      <c r="N893" s="2">
        <v>5727.84</v>
      </c>
      <c r="O893" s="2" t="s">
        <v>28</v>
      </c>
      <c r="P893" s="2" t="s">
        <v>5585</v>
      </c>
      <c r="Q893" s="2" t="s">
        <v>5586</v>
      </c>
      <c r="T893" s="2" t="s">
        <v>292</v>
      </c>
      <c r="U893" s="2" t="s">
        <v>71</v>
      </c>
    </row>
    <row r="894">
      <c r="A894" s="2">
        <v>893.0</v>
      </c>
      <c r="B894" s="2">
        <v>893.0</v>
      </c>
      <c r="C894" s="2">
        <v>893.0</v>
      </c>
      <c r="D894" s="3">
        <v>43859.0</v>
      </c>
      <c r="E894" s="2" t="s">
        <v>5587</v>
      </c>
      <c r="F894" s="2" t="s">
        <v>1626</v>
      </c>
      <c r="G894" s="2">
        <v>692.18</v>
      </c>
      <c r="H894" s="2" t="s">
        <v>5588</v>
      </c>
      <c r="I894" s="2" t="s">
        <v>5589</v>
      </c>
      <c r="J894" s="2" t="s">
        <v>5590</v>
      </c>
      <c r="K894" s="2" t="s">
        <v>119</v>
      </c>
      <c r="M894" s="2">
        <v>79.0</v>
      </c>
      <c r="N894" s="2">
        <v>6223.86</v>
      </c>
      <c r="O894" s="2" t="s">
        <v>28</v>
      </c>
      <c r="P894" s="2" t="s">
        <v>5591</v>
      </c>
      <c r="Q894" s="2" t="s">
        <v>5592</v>
      </c>
      <c r="T894" s="2" t="s">
        <v>119</v>
      </c>
      <c r="U894" s="2" t="s">
        <v>33</v>
      </c>
    </row>
    <row r="895">
      <c r="A895" s="2">
        <v>894.0</v>
      </c>
      <c r="B895" s="2">
        <v>894.0</v>
      </c>
      <c r="C895" s="2">
        <v>894.0</v>
      </c>
      <c r="D895" s="3">
        <v>44269.0</v>
      </c>
      <c r="E895" s="2" t="s">
        <v>5593</v>
      </c>
      <c r="F895" s="2" t="s">
        <v>5594</v>
      </c>
      <c r="G895" s="2">
        <v>384.7</v>
      </c>
      <c r="H895" s="2" t="s">
        <v>5595</v>
      </c>
      <c r="I895" s="2" t="s">
        <v>5596</v>
      </c>
      <c r="J895" s="2" t="s">
        <v>5597</v>
      </c>
      <c r="K895" s="2" t="s">
        <v>114</v>
      </c>
      <c r="L895" s="2" t="s">
        <v>5598</v>
      </c>
      <c r="M895" s="2">
        <v>20.0</v>
      </c>
      <c r="N895" s="2">
        <v>2158.29</v>
      </c>
      <c r="O895" s="2" t="s">
        <v>41</v>
      </c>
      <c r="P895" s="2" t="s">
        <v>469</v>
      </c>
      <c r="Q895" s="2" t="s">
        <v>5599</v>
      </c>
      <c r="S895" s="2" t="s">
        <v>5600</v>
      </c>
      <c r="T895" s="2" t="s">
        <v>114</v>
      </c>
      <c r="U895" s="2" t="s">
        <v>33</v>
      </c>
    </row>
    <row r="896">
      <c r="A896" s="2">
        <v>895.0</v>
      </c>
      <c r="B896" s="2">
        <v>895.0</v>
      </c>
      <c r="C896" s="2">
        <v>895.0</v>
      </c>
      <c r="D896" s="3">
        <v>44549.0</v>
      </c>
      <c r="E896" s="2" t="s">
        <v>5601</v>
      </c>
      <c r="F896" s="2" t="s">
        <v>3330</v>
      </c>
      <c r="G896" s="2">
        <v>314.5</v>
      </c>
      <c r="H896" s="2" t="s">
        <v>5602</v>
      </c>
      <c r="I896" s="2" t="s">
        <v>5603</v>
      </c>
      <c r="J896" s="2" t="s">
        <v>5604</v>
      </c>
      <c r="K896" s="2" t="s">
        <v>119</v>
      </c>
      <c r="M896" s="2">
        <v>36.0</v>
      </c>
      <c r="N896" s="2">
        <v>9699.62</v>
      </c>
      <c r="O896" s="2" t="s">
        <v>28</v>
      </c>
      <c r="P896" s="2" t="s">
        <v>1031</v>
      </c>
      <c r="Q896" s="2" t="s">
        <v>904</v>
      </c>
      <c r="S896" s="2">
        <v>681008.0</v>
      </c>
      <c r="T896" s="2" t="s">
        <v>68</v>
      </c>
      <c r="U896" s="2" t="s">
        <v>46</v>
      </c>
    </row>
    <row r="897">
      <c r="A897" s="2">
        <v>896.0</v>
      </c>
      <c r="B897" s="2">
        <v>896.0</v>
      </c>
      <c r="C897" s="2">
        <v>896.0</v>
      </c>
      <c r="D897" s="3">
        <v>44529.0</v>
      </c>
      <c r="E897" s="2" t="s">
        <v>5605</v>
      </c>
      <c r="F897" s="2" t="s">
        <v>97</v>
      </c>
      <c r="G897" s="2">
        <v>210.09</v>
      </c>
      <c r="H897" s="2" t="s">
        <v>5606</v>
      </c>
      <c r="I897" s="2" t="s">
        <v>5607</v>
      </c>
      <c r="J897" s="2" t="s">
        <v>5608</v>
      </c>
      <c r="K897" s="2" t="s">
        <v>137</v>
      </c>
      <c r="M897" s="2">
        <v>63.0</v>
      </c>
      <c r="N897" s="2">
        <v>1434.6</v>
      </c>
      <c r="O897" s="2" t="s">
        <v>28</v>
      </c>
      <c r="P897" s="2" t="s">
        <v>5609</v>
      </c>
      <c r="Q897" s="2" t="s">
        <v>5610</v>
      </c>
      <c r="T897" s="2" t="s">
        <v>1826</v>
      </c>
      <c r="U897" s="2" t="s">
        <v>33</v>
      </c>
    </row>
    <row r="898">
      <c r="A898" s="2">
        <v>897.0</v>
      </c>
      <c r="B898" s="2">
        <v>897.0</v>
      </c>
      <c r="C898" s="2">
        <v>897.0</v>
      </c>
      <c r="D898" s="3">
        <v>44523.0</v>
      </c>
      <c r="E898" s="2" t="s">
        <v>5611</v>
      </c>
      <c r="F898" s="2" t="s">
        <v>35</v>
      </c>
      <c r="G898" s="2">
        <v>654.85</v>
      </c>
      <c r="H898" s="2" t="s">
        <v>5612</v>
      </c>
      <c r="I898" s="2" t="s">
        <v>5613</v>
      </c>
      <c r="J898" s="2" t="s">
        <v>5614</v>
      </c>
      <c r="K898" s="2" t="s">
        <v>491</v>
      </c>
      <c r="M898" s="2">
        <v>40.0</v>
      </c>
      <c r="N898" s="2">
        <v>3123.59</v>
      </c>
      <c r="O898" s="2" t="s">
        <v>28</v>
      </c>
      <c r="P898" s="2" t="s">
        <v>5615</v>
      </c>
      <c r="Q898" s="2" t="s">
        <v>5616</v>
      </c>
      <c r="T898" s="2" t="s">
        <v>119</v>
      </c>
      <c r="U898" s="2" t="s">
        <v>46</v>
      </c>
    </row>
    <row r="899">
      <c r="A899" s="2">
        <v>898.0</v>
      </c>
      <c r="B899" s="2">
        <v>898.0</v>
      </c>
      <c r="C899" s="2">
        <v>898.0</v>
      </c>
      <c r="D899" s="3">
        <v>43914.0</v>
      </c>
      <c r="E899" s="2" t="s">
        <v>2890</v>
      </c>
      <c r="F899" s="2" t="s">
        <v>501</v>
      </c>
      <c r="G899" s="2">
        <v>577.41</v>
      </c>
      <c r="H899" s="2" t="s">
        <v>5617</v>
      </c>
      <c r="I899" s="2" t="s">
        <v>5618</v>
      </c>
      <c r="J899" s="2" t="s">
        <v>5619</v>
      </c>
      <c r="K899" s="2" t="s">
        <v>119</v>
      </c>
      <c r="M899" s="2">
        <v>76.0</v>
      </c>
      <c r="N899" s="2">
        <v>3359.45</v>
      </c>
      <c r="O899" s="2" t="s">
        <v>41</v>
      </c>
      <c r="P899" s="2" t="s">
        <v>5620</v>
      </c>
      <c r="Q899" s="2" t="s">
        <v>5621</v>
      </c>
      <c r="S899" s="2" t="s">
        <v>5622</v>
      </c>
      <c r="T899" s="2" t="s">
        <v>257</v>
      </c>
      <c r="U899" s="2" t="s">
        <v>33</v>
      </c>
    </row>
    <row r="900">
      <c r="A900" s="2">
        <v>899.0</v>
      </c>
      <c r="B900" s="2">
        <v>899.0</v>
      </c>
      <c r="C900" s="2">
        <v>899.0</v>
      </c>
      <c r="D900" s="3">
        <v>43968.0</v>
      </c>
      <c r="E900" s="2" t="s">
        <v>5623</v>
      </c>
      <c r="F900" s="2" t="s">
        <v>5624</v>
      </c>
      <c r="G900" s="2">
        <v>19.95</v>
      </c>
      <c r="H900" s="2" t="s">
        <v>5625</v>
      </c>
      <c r="I900" s="2" t="s">
        <v>5626</v>
      </c>
      <c r="J900" s="2" t="s">
        <v>5627</v>
      </c>
      <c r="K900" s="2" t="s">
        <v>819</v>
      </c>
      <c r="L900" s="2">
        <v>523548.0</v>
      </c>
      <c r="M900" s="2">
        <v>99.0</v>
      </c>
      <c r="N900" s="2">
        <v>7361.51</v>
      </c>
      <c r="O900" s="2" t="s">
        <v>28</v>
      </c>
      <c r="P900" s="2" t="s">
        <v>5628</v>
      </c>
      <c r="Q900" s="2" t="s">
        <v>5629</v>
      </c>
      <c r="S900" s="2">
        <v>80140.0</v>
      </c>
      <c r="T900" s="2" t="s">
        <v>627</v>
      </c>
      <c r="U900" s="2" t="s">
        <v>33</v>
      </c>
    </row>
    <row r="901">
      <c r="A901" s="2">
        <v>900.0</v>
      </c>
      <c r="B901" s="2">
        <v>900.0</v>
      </c>
      <c r="C901" s="2">
        <v>900.0</v>
      </c>
      <c r="D901" s="3">
        <v>44128.0</v>
      </c>
      <c r="E901" s="2" t="s">
        <v>638</v>
      </c>
      <c r="F901" s="2" t="s">
        <v>639</v>
      </c>
      <c r="G901" s="2">
        <v>588.93</v>
      </c>
      <c r="H901" s="2" t="s">
        <v>5630</v>
      </c>
      <c r="I901" s="2" t="s">
        <v>5631</v>
      </c>
      <c r="J901" s="2" t="s">
        <v>5632</v>
      </c>
      <c r="K901" s="2" t="s">
        <v>478</v>
      </c>
      <c r="M901" s="2">
        <v>23.0</v>
      </c>
      <c r="N901" s="2">
        <v>5845.23</v>
      </c>
      <c r="O901" s="2" t="s">
        <v>28</v>
      </c>
      <c r="P901" s="2" t="s">
        <v>293</v>
      </c>
      <c r="Q901" s="2" t="s">
        <v>5633</v>
      </c>
      <c r="S901" s="2" t="s">
        <v>5634</v>
      </c>
      <c r="T901" s="2" t="s">
        <v>257</v>
      </c>
      <c r="U901" s="2" t="s">
        <v>71</v>
      </c>
    </row>
    <row r="902">
      <c r="A902" s="2">
        <v>901.0</v>
      </c>
      <c r="B902" s="2">
        <v>901.0</v>
      </c>
      <c r="C902" s="2">
        <v>901.0</v>
      </c>
      <c r="D902" s="3">
        <v>44330.0</v>
      </c>
      <c r="E902" s="2" t="s">
        <v>2669</v>
      </c>
      <c r="F902" s="2" t="s">
        <v>142</v>
      </c>
      <c r="G902" s="2">
        <v>459.66</v>
      </c>
      <c r="H902" s="2" t="s">
        <v>5635</v>
      </c>
      <c r="I902" s="2" t="s">
        <v>5636</v>
      </c>
      <c r="J902" s="2" t="s">
        <v>5637</v>
      </c>
      <c r="K902" s="2" t="s">
        <v>32</v>
      </c>
      <c r="M902" s="2">
        <v>31.0</v>
      </c>
      <c r="N902" s="2">
        <v>1455.98</v>
      </c>
      <c r="O902" s="2" t="s">
        <v>28</v>
      </c>
      <c r="P902" s="2" t="s">
        <v>3299</v>
      </c>
      <c r="Q902" s="2" t="s">
        <v>5638</v>
      </c>
      <c r="S902" s="2" t="s">
        <v>5639</v>
      </c>
      <c r="T902" s="2" t="s">
        <v>379</v>
      </c>
      <c r="U902" s="2" t="s">
        <v>33</v>
      </c>
    </row>
    <row r="903">
      <c r="A903" s="2">
        <v>902.0</v>
      </c>
      <c r="B903" s="2">
        <v>902.0</v>
      </c>
      <c r="C903" s="2">
        <v>902.0</v>
      </c>
      <c r="D903" s="3">
        <v>44065.0</v>
      </c>
      <c r="E903" s="2" t="s">
        <v>5640</v>
      </c>
      <c r="F903" s="2" t="s">
        <v>3015</v>
      </c>
      <c r="G903" s="2">
        <v>713.62</v>
      </c>
      <c r="H903" s="2" t="s">
        <v>5641</v>
      </c>
      <c r="I903" s="2" t="s">
        <v>5642</v>
      </c>
      <c r="J903" s="2" t="s">
        <v>5643</v>
      </c>
      <c r="K903" s="2" t="s">
        <v>32</v>
      </c>
      <c r="M903" s="2">
        <v>64.0</v>
      </c>
      <c r="N903" s="2">
        <v>5616.71</v>
      </c>
      <c r="O903" s="2" t="s">
        <v>52</v>
      </c>
      <c r="P903" s="2" t="s">
        <v>5644</v>
      </c>
      <c r="Q903" s="2" t="s">
        <v>3347</v>
      </c>
      <c r="S903" s="2">
        <v>307425.0</v>
      </c>
      <c r="T903" s="2" t="s">
        <v>68</v>
      </c>
      <c r="U903" s="2" t="s">
        <v>46</v>
      </c>
    </row>
    <row r="904">
      <c r="A904" s="2">
        <v>903.0</v>
      </c>
      <c r="B904" s="2">
        <v>903.0</v>
      </c>
      <c r="C904" s="2">
        <v>903.0</v>
      </c>
      <c r="D904" s="3">
        <v>44428.0</v>
      </c>
      <c r="E904" s="2" t="s">
        <v>5645</v>
      </c>
      <c r="F904" s="2" t="s">
        <v>142</v>
      </c>
      <c r="G904" s="2">
        <v>906.29</v>
      </c>
      <c r="H904" s="2" t="s">
        <v>5646</v>
      </c>
      <c r="I904" s="2" t="s">
        <v>5647</v>
      </c>
      <c r="J904" s="2" t="s">
        <v>5648</v>
      </c>
      <c r="K904" s="2" t="s">
        <v>1663</v>
      </c>
      <c r="M904" s="2">
        <v>53.0</v>
      </c>
      <c r="N904" s="2">
        <v>6720.91</v>
      </c>
      <c r="O904" s="2" t="s">
        <v>28</v>
      </c>
      <c r="P904" s="2" t="s">
        <v>355</v>
      </c>
      <c r="Q904" s="2" t="s">
        <v>5649</v>
      </c>
      <c r="T904" s="2" t="s">
        <v>119</v>
      </c>
      <c r="U904" s="2" t="s">
        <v>71</v>
      </c>
    </row>
    <row r="905">
      <c r="A905" s="2">
        <v>904.0</v>
      </c>
      <c r="B905" s="2">
        <v>904.0</v>
      </c>
      <c r="C905" s="2">
        <v>904.0</v>
      </c>
      <c r="D905" s="3">
        <v>44072.0</v>
      </c>
      <c r="E905" s="2" t="s">
        <v>5650</v>
      </c>
      <c r="F905" s="2" t="s">
        <v>342</v>
      </c>
      <c r="G905" s="2">
        <v>465.83</v>
      </c>
      <c r="H905" s="2" t="s">
        <v>5651</v>
      </c>
      <c r="I905" s="2" t="s">
        <v>5652</v>
      </c>
      <c r="J905" s="2" t="s">
        <v>5653</v>
      </c>
      <c r="K905" s="2" t="s">
        <v>68</v>
      </c>
      <c r="L905" s="2">
        <v>432980.0</v>
      </c>
      <c r="M905" s="2">
        <v>49.0</v>
      </c>
      <c r="N905" s="2">
        <v>7420.73</v>
      </c>
      <c r="O905" s="2" t="s">
        <v>52</v>
      </c>
      <c r="P905" s="2" t="s">
        <v>5654</v>
      </c>
      <c r="Q905" s="2" t="s">
        <v>5655</v>
      </c>
      <c r="S905" s="2" t="s">
        <v>5656</v>
      </c>
      <c r="T905" s="2" t="s">
        <v>257</v>
      </c>
      <c r="U905" s="2" t="s">
        <v>71</v>
      </c>
    </row>
    <row r="906">
      <c r="A906" s="2">
        <v>905.0</v>
      </c>
      <c r="B906" s="2">
        <v>905.0</v>
      </c>
      <c r="C906" s="2">
        <v>905.0</v>
      </c>
      <c r="D906" s="3">
        <v>44177.0</v>
      </c>
      <c r="E906" s="2" t="s">
        <v>5657</v>
      </c>
      <c r="F906" s="2" t="s">
        <v>1199</v>
      </c>
      <c r="G906" s="2">
        <v>598.77</v>
      </c>
      <c r="H906" s="2" t="s">
        <v>5658</v>
      </c>
      <c r="I906" s="2" t="s">
        <v>5659</v>
      </c>
      <c r="J906" s="2" t="s">
        <v>5660</v>
      </c>
      <c r="K906" s="2" t="s">
        <v>101</v>
      </c>
      <c r="L906" s="2">
        <v>10464.0</v>
      </c>
      <c r="M906" s="2">
        <v>97.0</v>
      </c>
      <c r="N906" s="2">
        <v>2206.06</v>
      </c>
      <c r="O906" s="2" t="s">
        <v>52</v>
      </c>
      <c r="P906" s="2" t="s">
        <v>840</v>
      </c>
      <c r="Q906" s="2" t="s">
        <v>5661</v>
      </c>
      <c r="R906" s="2" t="s">
        <v>3742</v>
      </c>
      <c r="T906" s="2" t="s">
        <v>119</v>
      </c>
      <c r="U906" s="2" t="s">
        <v>46</v>
      </c>
    </row>
    <row r="907">
      <c r="A907" s="2">
        <v>906.0</v>
      </c>
      <c r="B907" s="2">
        <v>906.0</v>
      </c>
      <c r="C907" s="2">
        <v>906.0</v>
      </c>
      <c r="D907" s="3">
        <v>44232.0</v>
      </c>
      <c r="E907" s="2" t="s">
        <v>5662</v>
      </c>
      <c r="F907" s="2" t="s">
        <v>501</v>
      </c>
      <c r="G907" s="2">
        <v>893.34</v>
      </c>
      <c r="H907" s="2" t="s">
        <v>691</v>
      </c>
      <c r="I907" s="2" t="s">
        <v>5663</v>
      </c>
      <c r="J907" s="2" t="s">
        <v>5664</v>
      </c>
      <c r="K907" s="2" t="s">
        <v>2684</v>
      </c>
      <c r="M907" s="2">
        <v>92.0</v>
      </c>
      <c r="N907" s="2">
        <v>4089.06</v>
      </c>
      <c r="O907" s="2" t="s">
        <v>28</v>
      </c>
      <c r="P907" s="2" t="s">
        <v>5665</v>
      </c>
      <c r="Q907" s="2" t="s">
        <v>5666</v>
      </c>
      <c r="S907" s="2">
        <v>6430.0</v>
      </c>
      <c r="T907" s="2" t="s">
        <v>178</v>
      </c>
      <c r="U907" s="2" t="s">
        <v>46</v>
      </c>
    </row>
    <row r="908">
      <c r="A908" s="2">
        <v>907.0</v>
      </c>
      <c r="B908" s="2">
        <v>907.0</v>
      </c>
      <c r="C908" s="2">
        <v>907.0</v>
      </c>
      <c r="D908" s="3">
        <v>44041.0</v>
      </c>
      <c r="E908" s="2" t="s">
        <v>5667</v>
      </c>
      <c r="F908" s="2" t="s">
        <v>142</v>
      </c>
      <c r="G908" s="2">
        <v>454.51</v>
      </c>
      <c r="H908" s="2" t="s">
        <v>5668</v>
      </c>
      <c r="I908" s="2" t="s">
        <v>5669</v>
      </c>
      <c r="J908" s="2" t="s">
        <v>5670</v>
      </c>
      <c r="K908" s="2" t="s">
        <v>257</v>
      </c>
      <c r="L908" s="2" t="s">
        <v>5671</v>
      </c>
      <c r="M908" s="2">
        <v>24.0</v>
      </c>
      <c r="N908" s="2">
        <v>9536.18</v>
      </c>
      <c r="O908" s="2" t="s">
        <v>52</v>
      </c>
      <c r="P908" s="2" t="s">
        <v>5672</v>
      </c>
      <c r="Q908" s="2" t="s">
        <v>5673</v>
      </c>
      <c r="R908" s="2" t="s">
        <v>2925</v>
      </c>
      <c r="T908" s="2" t="s">
        <v>32</v>
      </c>
      <c r="U908" s="2" t="s">
        <v>71</v>
      </c>
    </row>
    <row r="909">
      <c r="A909" s="2">
        <v>908.0</v>
      </c>
      <c r="B909" s="2">
        <v>908.0</v>
      </c>
      <c r="C909" s="2">
        <v>908.0</v>
      </c>
      <c r="D909" s="3">
        <v>44170.0</v>
      </c>
      <c r="E909" s="2" t="s">
        <v>3148</v>
      </c>
      <c r="F909" s="2" t="s">
        <v>1562</v>
      </c>
      <c r="G909" s="2">
        <v>79.01</v>
      </c>
      <c r="H909" s="2" t="s">
        <v>5674</v>
      </c>
      <c r="I909" s="2" t="s">
        <v>5675</v>
      </c>
      <c r="J909" s="2" t="s">
        <v>5676</v>
      </c>
      <c r="K909" s="2" t="s">
        <v>32</v>
      </c>
      <c r="M909" s="2">
        <v>97.0</v>
      </c>
      <c r="N909" s="2">
        <v>487.48</v>
      </c>
      <c r="O909" s="2" t="s">
        <v>52</v>
      </c>
      <c r="P909" s="2" t="s">
        <v>5677</v>
      </c>
      <c r="Q909" s="2" t="s">
        <v>5678</v>
      </c>
      <c r="T909" s="2" t="s">
        <v>478</v>
      </c>
      <c r="U909" s="2" t="s">
        <v>33</v>
      </c>
    </row>
    <row r="910">
      <c r="A910" s="2">
        <v>909.0</v>
      </c>
      <c r="B910" s="2">
        <v>909.0</v>
      </c>
      <c r="C910" s="2">
        <v>909.0</v>
      </c>
      <c r="D910" s="3">
        <v>43923.0</v>
      </c>
      <c r="E910" s="2" t="s">
        <v>5679</v>
      </c>
      <c r="F910" s="2" t="s">
        <v>342</v>
      </c>
      <c r="G910" s="2">
        <v>961.23</v>
      </c>
      <c r="H910" s="2" t="s">
        <v>5680</v>
      </c>
      <c r="I910" s="2" t="s">
        <v>5681</v>
      </c>
      <c r="J910" s="2" t="s">
        <v>5682</v>
      </c>
      <c r="K910" s="2" t="s">
        <v>39</v>
      </c>
      <c r="L910" s="2" t="s">
        <v>5683</v>
      </c>
      <c r="M910" s="2">
        <v>96.0</v>
      </c>
      <c r="N910" s="2">
        <v>7199.08</v>
      </c>
      <c r="O910" s="2" t="s">
        <v>28</v>
      </c>
      <c r="P910" s="2" t="s">
        <v>5684</v>
      </c>
      <c r="Q910" s="2" t="s">
        <v>5685</v>
      </c>
      <c r="R910" s="2" t="s">
        <v>736</v>
      </c>
      <c r="T910" s="2" t="s">
        <v>32</v>
      </c>
      <c r="U910" s="2" t="s">
        <v>33</v>
      </c>
    </row>
    <row r="911">
      <c r="A911" s="2">
        <v>910.0</v>
      </c>
      <c r="B911" s="2">
        <v>910.0</v>
      </c>
      <c r="C911" s="2">
        <v>910.0</v>
      </c>
      <c r="D911" s="3">
        <v>44247.0</v>
      </c>
      <c r="E911" s="2" t="s">
        <v>5686</v>
      </c>
      <c r="F911" s="2" t="s">
        <v>48</v>
      </c>
      <c r="G911" s="2">
        <v>556.44</v>
      </c>
      <c r="H911" s="2" t="s">
        <v>5687</v>
      </c>
      <c r="I911" s="2" t="s">
        <v>5688</v>
      </c>
      <c r="J911" s="2" t="s">
        <v>5689</v>
      </c>
      <c r="K911" s="2" t="s">
        <v>114</v>
      </c>
      <c r="L911" s="2" t="s">
        <v>5690</v>
      </c>
      <c r="M911" s="2">
        <v>80.0</v>
      </c>
      <c r="N911" s="2">
        <v>4948.69</v>
      </c>
      <c r="O911" s="2" t="s">
        <v>41</v>
      </c>
      <c r="P911" s="2" t="s">
        <v>5691</v>
      </c>
      <c r="Q911" s="2" t="s">
        <v>5692</v>
      </c>
      <c r="S911" s="2" t="s">
        <v>5693</v>
      </c>
      <c r="T911" s="2" t="s">
        <v>163</v>
      </c>
      <c r="U911" s="2" t="s">
        <v>33</v>
      </c>
    </row>
    <row r="912">
      <c r="A912" s="2">
        <v>911.0</v>
      </c>
      <c r="B912" s="2">
        <v>911.0</v>
      </c>
      <c r="C912" s="2">
        <v>911.0</v>
      </c>
      <c r="D912" s="3">
        <v>44483.0</v>
      </c>
      <c r="E912" s="2" t="s">
        <v>5694</v>
      </c>
      <c r="F912" s="2" t="s">
        <v>191</v>
      </c>
      <c r="G912" s="2">
        <v>194.95</v>
      </c>
      <c r="H912" s="2" t="s">
        <v>5695</v>
      </c>
      <c r="I912" s="2" t="s">
        <v>5696</v>
      </c>
      <c r="J912" s="2" t="s">
        <v>5697</v>
      </c>
      <c r="K912" s="2" t="s">
        <v>225</v>
      </c>
      <c r="M912" s="2">
        <v>93.0</v>
      </c>
      <c r="N912" s="2">
        <v>1314.75</v>
      </c>
      <c r="O912" s="2" t="s">
        <v>28</v>
      </c>
      <c r="P912" s="2" t="s">
        <v>760</v>
      </c>
      <c r="Q912" s="2" t="s">
        <v>5698</v>
      </c>
      <c r="S912" s="2">
        <v>86110.0</v>
      </c>
      <c r="T912" s="2" t="s">
        <v>627</v>
      </c>
      <c r="U912" s="2" t="s">
        <v>33</v>
      </c>
    </row>
    <row r="913">
      <c r="A913" s="2">
        <v>912.0</v>
      </c>
      <c r="B913" s="2">
        <v>912.0</v>
      </c>
      <c r="C913" s="2">
        <v>912.0</v>
      </c>
      <c r="D913" s="3">
        <v>43930.0</v>
      </c>
      <c r="E913" s="2" t="s">
        <v>5699</v>
      </c>
      <c r="F913" s="2" t="s">
        <v>342</v>
      </c>
      <c r="G913" s="2">
        <v>491.21</v>
      </c>
      <c r="H913" s="2" t="s">
        <v>5700</v>
      </c>
      <c r="I913" s="2" t="s">
        <v>5701</v>
      </c>
      <c r="J913" s="2" t="s">
        <v>5702</v>
      </c>
      <c r="K913" s="2" t="s">
        <v>630</v>
      </c>
      <c r="L913" s="2">
        <v>70190.0</v>
      </c>
      <c r="M913" s="2">
        <v>65.0</v>
      </c>
      <c r="N913" s="2">
        <v>4800.4</v>
      </c>
      <c r="O913" s="2" t="s">
        <v>41</v>
      </c>
      <c r="P913" s="2" t="s">
        <v>5703</v>
      </c>
      <c r="Q913" s="2" t="s">
        <v>5704</v>
      </c>
      <c r="R913" s="2" t="s">
        <v>5705</v>
      </c>
      <c r="T913" s="2" t="s">
        <v>119</v>
      </c>
      <c r="U913" s="2" t="s">
        <v>71</v>
      </c>
    </row>
    <row r="914">
      <c r="A914" s="2">
        <v>913.0</v>
      </c>
      <c r="B914" s="2">
        <v>913.0</v>
      </c>
      <c r="C914" s="2">
        <v>913.0</v>
      </c>
      <c r="D914" s="3">
        <v>44115.0</v>
      </c>
      <c r="E914" s="2" t="s">
        <v>5706</v>
      </c>
      <c r="F914" s="2" t="s">
        <v>73</v>
      </c>
      <c r="G914" s="2">
        <v>871.57</v>
      </c>
      <c r="H914" s="2" t="s">
        <v>5144</v>
      </c>
      <c r="I914" s="2" t="s">
        <v>5707</v>
      </c>
      <c r="J914" s="2" t="s">
        <v>5708</v>
      </c>
      <c r="K914" s="2" t="s">
        <v>32</v>
      </c>
      <c r="M914" s="2">
        <v>37.0</v>
      </c>
      <c r="N914" s="2">
        <v>8245.14</v>
      </c>
      <c r="O914" s="2" t="s">
        <v>28</v>
      </c>
      <c r="P914" s="2" t="s">
        <v>1929</v>
      </c>
      <c r="Q914" s="2" t="s">
        <v>5709</v>
      </c>
      <c r="T914" s="2" t="s">
        <v>119</v>
      </c>
      <c r="U914" s="2" t="s">
        <v>33</v>
      </c>
    </row>
    <row r="915">
      <c r="A915" s="2">
        <v>914.0</v>
      </c>
      <c r="B915" s="2">
        <v>914.0</v>
      </c>
      <c r="C915" s="2">
        <v>914.0</v>
      </c>
      <c r="D915" s="3">
        <v>44099.0</v>
      </c>
      <c r="E915" s="2" t="s">
        <v>5710</v>
      </c>
      <c r="F915" s="2" t="s">
        <v>35</v>
      </c>
      <c r="G915" s="2">
        <v>21.14</v>
      </c>
      <c r="H915" s="2" t="s">
        <v>5711</v>
      </c>
      <c r="I915" s="2" t="s">
        <v>5712</v>
      </c>
      <c r="J915" s="2" t="s">
        <v>5713</v>
      </c>
      <c r="K915" s="2" t="s">
        <v>32</v>
      </c>
      <c r="M915" s="2">
        <v>91.0</v>
      </c>
      <c r="N915" s="2">
        <v>863.32</v>
      </c>
      <c r="O915" s="2" t="s">
        <v>28</v>
      </c>
      <c r="P915" s="2" t="s">
        <v>628</v>
      </c>
      <c r="Q915" s="2" t="s">
        <v>5714</v>
      </c>
      <c r="T915" s="2" t="s">
        <v>119</v>
      </c>
      <c r="U915" s="2" t="s">
        <v>46</v>
      </c>
    </row>
    <row r="916">
      <c r="A916" s="2">
        <v>915.0</v>
      </c>
      <c r="B916" s="2">
        <v>915.0</v>
      </c>
      <c r="C916" s="2">
        <v>915.0</v>
      </c>
      <c r="D916" s="3">
        <v>44553.0</v>
      </c>
      <c r="E916" s="2" t="s">
        <v>5715</v>
      </c>
      <c r="F916" s="2" t="s">
        <v>1199</v>
      </c>
      <c r="G916" s="2">
        <v>534.93</v>
      </c>
      <c r="H916" s="2" t="s">
        <v>5716</v>
      </c>
      <c r="I916" s="2" t="s">
        <v>5717</v>
      </c>
      <c r="J916" s="2" t="s">
        <v>5718</v>
      </c>
      <c r="K916" s="2" t="s">
        <v>32</v>
      </c>
      <c r="M916" s="2">
        <v>88.0</v>
      </c>
      <c r="N916" s="2">
        <v>4945.74</v>
      </c>
      <c r="O916" s="2" t="s">
        <v>28</v>
      </c>
      <c r="P916" s="2" t="s">
        <v>5719</v>
      </c>
      <c r="Q916" s="2" t="s">
        <v>5720</v>
      </c>
      <c r="T916" s="2" t="s">
        <v>5099</v>
      </c>
      <c r="U916" s="2" t="s">
        <v>46</v>
      </c>
    </row>
    <row r="917">
      <c r="A917" s="2">
        <v>916.0</v>
      </c>
      <c r="B917" s="2">
        <v>916.0</v>
      </c>
      <c r="C917" s="2">
        <v>916.0</v>
      </c>
      <c r="D917" s="3">
        <v>44019.0</v>
      </c>
      <c r="E917" s="2" t="s">
        <v>5721</v>
      </c>
      <c r="F917" s="2" t="s">
        <v>3161</v>
      </c>
      <c r="G917" s="2">
        <v>300.16</v>
      </c>
      <c r="H917" s="2" t="s">
        <v>5722</v>
      </c>
      <c r="I917" s="2" t="s">
        <v>5723</v>
      </c>
      <c r="J917" s="2" t="s">
        <v>5724</v>
      </c>
      <c r="K917" s="2" t="s">
        <v>32</v>
      </c>
      <c r="M917" s="2">
        <v>51.0</v>
      </c>
      <c r="N917" s="2">
        <v>91.4</v>
      </c>
      <c r="O917" s="2" t="s">
        <v>28</v>
      </c>
      <c r="P917" s="2" t="s">
        <v>5725</v>
      </c>
      <c r="Q917" s="2" t="s">
        <v>5726</v>
      </c>
      <c r="S917" s="2">
        <v>620920.0</v>
      </c>
      <c r="T917" s="2" t="s">
        <v>68</v>
      </c>
      <c r="U917" s="2" t="s">
        <v>46</v>
      </c>
    </row>
    <row r="918">
      <c r="A918" s="2">
        <v>917.0</v>
      </c>
      <c r="B918" s="2">
        <v>917.0</v>
      </c>
      <c r="C918" s="2">
        <v>917.0</v>
      </c>
      <c r="D918" s="3">
        <v>44462.0</v>
      </c>
      <c r="E918" s="2" t="s">
        <v>5727</v>
      </c>
      <c r="F918" s="2" t="s">
        <v>5728</v>
      </c>
      <c r="G918" s="2">
        <v>864.29</v>
      </c>
      <c r="H918" s="2" t="s">
        <v>5729</v>
      </c>
      <c r="I918" s="2" t="s">
        <v>5730</v>
      </c>
      <c r="J918" s="2" t="s">
        <v>5731</v>
      </c>
      <c r="K918" s="2" t="s">
        <v>119</v>
      </c>
      <c r="M918" s="2">
        <v>88.0</v>
      </c>
      <c r="N918" s="2">
        <v>4553.71</v>
      </c>
      <c r="O918" s="2" t="s">
        <v>41</v>
      </c>
      <c r="P918" s="2" t="s">
        <v>5102</v>
      </c>
      <c r="Q918" s="2" t="s">
        <v>5732</v>
      </c>
      <c r="S918" s="2" t="s">
        <v>5733</v>
      </c>
      <c r="T918" s="2" t="s">
        <v>163</v>
      </c>
      <c r="U918" s="2" t="s">
        <v>71</v>
      </c>
    </row>
    <row r="919">
      <c r="A919" s="2">
        <v>918.0</v>
      </c>
      <c r="B919" s="2">
        <v>918.0</v>
      </c>
      <c r="C919" s="2">
        <v>918.0</v>
      </c>
      <c r="D919" s="3">
        <v>44025.0</v>
      </c>
      <c r="E919" s="2" t="s">
        <v>5734</v>
      </c>
      <c r="F919" s="2" t="s">
        <v>501</v>
      </c>
      <c r="G919" s="2">
        <v>597.87</v>
      </c>
      <c r="H919" s="2" t="s">
        <v>5735</v>
      </c>
      <c r="I919" s="2" t="s">
        <v>5736</v>
      </c>
      <c r="J919" s="2" t="s">
        <v>5737</v>
      </c>
      <c r="K919" s="2" t="s">
        <v>327</v>
      </c>
      <c r="L919" s="2">
        <v>6151.0</v>
      </c>
      <c r="M919" s="2">
        <v>65.0</v>
      </c>
      <c r="N919" s="2">
        <v>9798.62</v>
      </c>
      <c r="O919" s="2" t="s">
        <v>52</v>
      </c>
      <c r="P919" s="2" t="s">
        <v>5738</v>
      </c>
      <c r="Q919" s="2" t="s">
        <v>5739</v>
      </c>
      <c r="T919" s="2" t="s">
        <v>32</v>
      </c>
      <c r="U919" s="2" t="s">
        <v>71</v>
      </c>
    </row>
    <row r="920">
      <c r="A920" s="2">
        <v>919.0</v>
      </c>
      <c r="B920" s="2">
        <v>919.0</v>
      </c>
      <c r="C920" s="2">
        <v>919.0</v>
      </c>
      <c r="D920" s="3">
        <v>44509.0</v>
      </c>
      <c r="E920" s="2" t="s">
        <v>5740</v>
      </c>
      <c r="F920" s="2" t="s">
        <v>142</v>
      </c>
      <c r="G920" s="2">
        <v>378.68</v>
      </c>
      <c r="H920" s="2" t="s">
        <v>5741</v>
      </c>
      <c r="I920" s="2" t="s">
        <v>5742</v>
      </c>
      <c r="J920" s="2" t="s">
        <v>5743</v>
      </c>
      <c r="K920" s="2" t="s">
        <v>1227</v>
      </c>
      <c r="M920" s="2">
        <v>91.0</v>
      </c>
      <c r="N920" s="2">
        <v>6607.66</v>
      </c>
      <c r="O920" s="2" t="s">
        <v>41</v>
      </c>
      <c r="P920" s="2" t="s">
        <v>5744</v>
      </c>
      <c r="Q920" s="2" t="s">
        <v>5745</v>
      </c>
      <c r="S920" s="2">
        <v>4015.0</v>
      </c>
      <c r="T920" s="2" t="s">
        <v>1430</v>
      </c>
      <c r="U920" s="2" t="s">
        <v>71</v>
      </c>
    </row>
    <row r="921">
      <c r="A921" s="2">
        <v>920.0</v>
      </c>
      <c r="B921" s="2">
        <v>920.0</v>
      </c>
      <c r="C921" s="2">
        <v>920.0</v>
      </c>
      <c r="D921" s="3">
        <v>44503.0</v>
      </c>
      <c r="E921" s="2" t="s">
        <v>1587</v>
      </c>
      <c r="F921" s="2" t="s">
        <v>97</v>
      </c>
      <c r="G921" s="2">
        <v>216.41</v>
      </c>
      <c r="H921" s="2" t="s">
        <v>5746</v>
      </c>
      <c r="I921" s="2" t="s">
        <v>5747</v>
      </c>
      <c r="J921" s="2" t="s">
        <v>5748</v>
      </c>
      <c r="K921" s="2" t="s">
        <v>267</v>
      </c>
      <c r="M921" s="2">
        <v>95.0</v>
      </c>
      <c r="N921" s="2">
        <v>6999.77</v>
      </c>
      <c r="O921" s="2" t="s">
        <v>28</v>
      </c>
      <c r="P921" s="2" t="s">
        <v>5749</v>
      </c>
      <c r="Q921" s="2" t="s">
        <v>5750</v>
      </c>
      <c r="S921" s="2" t="s">
        <v>5751</v>
      </c>
      <c r="T921" s="2" t="s">
        <v>257</v>
      </c>
      <c r="U921" s="2" t="s">
        <v>33</v>
      </c>
    </row>
    <row r="922">
      <c r="A922" s="2">
        <v>921.0</v>
      </c>
      <c r="B922" s="2">
        <v>921.0</v>
      </c>
      <c r="C922" s="2">
        <v>921.0</v>
      </c>
      <c r="D922" s="3">
        <v>44324.0</v>
      </c>
      <c r="E922" s="2" t="s">
        <v>5752</v>
      </c>
      <c r="F922" s="2" t="s">
        <v>133</v>
      </c>
      <c r="G922" s="2">
        <v>941.38</v>
      </c>
      <c r="H922" s="2" t="s">
        <v>5753</v>
      </c>
      <c r="I922" s="2" t="s">
        <v>5754</v>
      </c>
      <c r="J922" s="2" t="s">
        <v>5755</v>
      </c>
      <c r="K922" s="2" t="s">
        <v>163</v>
      </c>
      <c r="L922" s="2" t="s">
        <v>5756</v>
      </c>
      <c r="M922" s="2">
        <v>41.0</v>
      </c>
      <c r="N922" s="2">
        <v>133.96</v>
      </c>
      <c r="O922" s="2" t="s">
        <v>28</v>
      </c>
      <c r="P922" s="2" t="s">
        <v>5757</v>
      </c>
      <c r="Q922" s="2" t="s">
        <v>5758</v>
      </c>
      <c r="T922" s="2" t="s">
        <v>292</v>
      </c>
      <c r="U922" s="2" t="s">
        <v>46</v>
      </c>
    </row>
    <row r="923">
      <c r="A923" s="2">
        <v>922.0</v>
      </c>
      <c r="B923" s="2">
        <v>922.0</v>
      </c>
      <c r="C923" s="2">
        <v>922.0</v>
      </c>
      <c r="D923" s="3">
        <v>44046.0</v>
      </c>
      <c r="E923" s="2" t="s">
        <v>5759</v>
      </c>
      <c r="F923" s="2" t="s">
        <v>73</v>
      </c>
      <c r="G923" s="2">
        <v>513.49</v>
      </c>
      <c r="H923" s="2" t="s">
        <v>5760</v>
      </c>
      <c r="I923" s="2" t="s">
        <v>5761</v>
      </c>
      <c r="J923" s="2" t="s">
        <v>5762</v>
      </c>
      <c r="K923" s="2" t="s">
        <v>327</v>
      </c>
      <c r="L923" s="2">
        <v>5994.0</v>
      </c>
      <c r="M923" s="2">
        <v>64.0</v>
      </c>
      <c r="N923" s="2">
        <v>4926.75</v>
      </c>
      <c r="O923" s="2" t="s">
        <v>41</v>
      </c>
      <c r="P923" s="2" t="s">
        <v>1400</v>
      </c>
      <c r="Q923" s="2" t="s">
        <v>5763</v>
      </c>
      <c r="T923" s="2" t="s">
        <v>32</v>
      </c>
      <c r="U923" s="2" t="s">
        <v>71</v>
      </c>
    </row>
    <row r="924">
      <c r="A924" s="2">
        <v>923.0</v>
      </c>
      <c r="B924" s="2">
        <v>923.0</v>
      </c>
      <c r="C924" s="2">
        <v>923.0</v>
      </c>
      <c r="D924" s="3">
        <v>44157.0</v>
      </c>
      <c r="E924" s="2" t="s">
        <v>2872</v>
      </c>
      <c r="F924" s="2" t="s">
        <v>2088</v>
      </c>
      <c r="G924" s="2">
        <v>666.01</v>
      </c>
      <c r="H924" s="2" t="s">
        <v>5764</v>
      </c>
      <c r="I924" s="2" t="s">
        <v>5765</v>
      </c>
      <c r="J924" s="2" t="s">
        <v>5766</v>
      </c>
      <c r="K924" s="2" t="s">
        <v>137</v>
      </c>
      <c r="M924" s="2">
        <v>52.0</v>
      </c>
      <c r="N924" s="2">
        <v>7261.55</v>
      </c>
      <c r="O924" s="2" t="s">
        <v>28</v>
      </c>
      <c r="P924" s="2" t="s">
        <v>600</v>
      </c>
      <c r="Q924" s="2" t="s">
        <v>5767</v>
      </c>
      <c r="S924" s="2" t="s">
        <v>5768</v>
      </c>
      <c r="T924" s="2" t="s">
        <v>4022</v>
      </c>
      <c r="U924" s="2" t="s">
        <v>33</v>
      </c>
    </row>
    <row r="925">
      <c r="A925" s="2">
        <v>924.0</v>
      </c>
      <c r="B925" s="2">
        <v>924.0</v>
      </c>
      <c r="C925" s="2">
        <v>924.0</v>
      </c>
      <c r="D925" s="3">
        <v>44173.0</v>
      </c>
      <c r="E925" s="2" t="s">
        <v>5769</v>
      </c>
      <c r="F925" s="2" t="s">
        <v>123</v>
      </c>
      <c r="G925" s="2">
        <v>594.58</v>
      </c>
      <c r="H925" s="2" t="s">
        <v>5258</v>
      </c>
      <c r="I925" s="2" t="s">
        <v>5770</v>
      </c>
      <c r="J925" s="2" t="s">
        <v>5771</v>
      </c>
      <c r="K925" s="2" t="s">
        <v>627</v>
      </c>
      <c r="L925" s="2">
        <v>48130.0</v>
      </c>
      <c r="M925" s="2">
        <v>44.0</v>
      </c>
      <c r="N925" s="2">
        <v>8749.74</v>
      </c>
      <c r="O925" s="2" t="s">
        <v>52</v>
      </c>
      <c r="P925" s="2" t="s">
        <v>3172</v>
      </c>
      <c r="Q925" s="2" t="s">
        <v>5772</v>
      </c>
      <c r="S925" s="2">
        <v>369273.0</v>
      </c>
      <c r="T925" s="2" t="s">
        <v>68</v>
      </c>
      <c r="U925" s="2" t="s">
        <v>33</v>
      </c>
    </row>
    <row r="926">
      <c r="A926" s="2">
        <v>925.0</v>
      </c>
      <c r="B926" s="2">
        <v>925.0</v>
      </c>
      <c r="C926" s="2">
        <v>925.0</v>
      </c>
      <c r="D926" s="3">
        <v>43959.0</v>
      </c>
      <c r="E926" s="2" t="s">
        <v>4166</v>
      </c>
      <c r="F926" s="2" t="s">
        <v>4167</v>
      </c>
      <c r="G926" s="2">
        <v>656.05</v>
      </c>
      <c r="H926" s="2" t="s">
        <v>5773</v>
      </c>
      <c r="I926" s="2" t="s">
        <v>5774</v>
      </c>
      <c r="J926" s="2" t="s">
        <v>5775</v>
      </c>
      <c r="K926" s="2" t="s">
        <v>627</v>
      </c>
      <c r="L926" s="2">
        <v>47180.0</v>
      </c>
      <c r="M926" s="2">
        <v>17.0</v>
      </c>
      <c r="N926" s="2">
        <v>6742.21</v>
      </c>
      <c r="O926" s="2" t="s">
        <v>52</v>
      </c>
      <c r="P926" s="2" t="s">
        <v>5776</v>
      </c>
      <c r="Q926" s="2" t="s">
        <v>5777</v>
      </c>
      <c r="T926" s="2" t="s">
        <v>32</v>
      </c>
      <c r="U926" s="2" t="s">
        <v>46</v>
      </c>
    </row>
    <row r="927">
      <c r="A927" s="2">
        <v>926.0</v>
      </c>
      <c r="B927" s="2">
        <v>926.0</v>
      </c>
      <c r="C927" s="2">
        <v>926.0</v>
      </c>
      <c r="D927" s="3">
        <v>44460.0</v>
      </c>
      <c r="E927" s="2" t="s">
        <v>5778</v>
      </c>
      <c r="F927" s="2" t="s">
        <v>142</v>
      </c>
      <c r="G927" s="2">
        <v>39.54</v>
      </c>
      <c r="H927" s="2" t="s">
        <v>5779</v>
      </c>
      <c r="I927" s="2" t="s">
        <v>5780</v>
      </c>
      <c r="J927" s="2" t="s">
        <v>5781</v>
      </c>
      <c r="K927" s="2" t="s">
        <v>137</v>
      </c>
      <c r="M927" s="2">
        <v>68.0</v>
      </c>
      <c r="N927" s="2">
        <v>6921.43</v>
      </c>
      <c r="O927" s="2" t="s">
        <v>28</v>
      </c>
      <c r="P927" s="2" t="s">
        <v>5782</v>
      </c>
      <c r="Q927" s="2" t="s">
        <v>5783</v>
      </c>
      <c r="S927" s="2" t="s">
        <v>5784</v>
      </c>
      <c r="T927" s="2" t="s">
        <v>26</v>
      </c>
      <c r="U927" s="2" t="s">
        <v>71</v>
      </c>
    </row>
    <row r="928">
      <c r="A928" s="2">
        <v>927.0</v>
      </c>
      <c r="B928" s="2">
        <v>927.0</v>
      </c>
      <c r="C928" s="2">
        <v>927.0</v>
      </c>
      <c r="D928" s="3">
        <v>44238.0</v>
      </c>
      <c r="E928" s="2" t="s">
        <v>5785</v>
      </c>
      <c r="F928" s="2" t="s">
        <v>22</v>
      </c>
      <c r="G928" s="2">
        <v>448.63</v>
      </c>
      <c r="H928" s="2" t="s">
        <v>5786</v>
      </c>
      <c r="I928" s="2" t="s">
        <v>5787</v>
      </c>
      <c r="J928" s="2" t="s">
        <v>5788</v>
      </c>
      <c r="K928" s="2" t="s">
        <v>32</v>
      </c>
      <c r="M928" s="2">
        <v>21.0</v>
      </c>
      <c r="N928" s="2">
        <v>925.79</v>
      </c>
      <c r="O928" s="2" t="s">
        <v>41</v>
      </c>
      <c r="P928" s="2" t="s">
        <v>5789</v>
      </c>
      <c r="Q928" s="2" t="s">
        <v>5790</v>
      </c>
      <c r="T928" s="2" t="s">
        <v>32</v>
      </c>
      <c r="U928" s="2" t="s">
        <v>33</v>
      </c>
    </row>
    <row r="929">
      <c r="A929" s="2">
        <v>928.0</v>
      </c>
      <c r="B929" s="2">
        <v>928.0</v>
      </c>
      <c r="C929" s="2">
        <v>928.0</v>
      </c>
      <c r="D929" s="3">
        <v>44492.0</v>
      </c>
      <c r="E929" s="2" t="s">
        <v>5791</v>
      </c>
      <c r="F929" s="2" t="s">
        <v>3769</v>
      </c>
      <c r="G929" s="2">
        <v>594.09</v>
      </c>
      <c r="H929" s="2" t="s">
        <v>415</v>
      </c>
      <c r="I929" s="2" t="s">
        <v>5792</v>
      </c>
      <c r="J929" s="2" t="s">
        <v>5793</v>
      </c>
      <c r="K929" s="2" t="s">
        <v>1216</v>
      </c>
      <c r="M929" s="2">
        <v>98.0</v>
      </c>
      <c r="N929" s="2">
        <v>3109.25</v>
      </c>
      <c r="O929" s="2" t="s">
        <v>28</v>
      </c>
      <c r="P929" s="2" t="s">
        <v>5794</v>
      </c>
      <c r="Q929" s="2" t="s">
        <v>5795</v>
      </c>
      <c r="T929" s="2" t="s">
        <v>119</v>
      </c>
      <c r="U929" s="2" t="s">
        <v>71</v>
      </c>
    </row>
    <row r="930">
      <c r="A930" s="2">
        <v>929.0</v>
      </c>
      <c r="B930" s="2">
        <v>929.0</v>
      </c>
      <c r="C930" s="2">
        <v>929.0</v>
      </c>
      <c r="D930" s="3">
        <v>44207.0</v>
      </c>
      <c r="E930" s="2" t="s">
        <v>5796</v>
      </c>
      <c r="F930" s="2" t="s">
        <v>3444</v>
      </c>
      <c r="G930" s="2">
        <v>373.16</v>
      </c>
      <c r="H930" s="2" t="s">
        <v>4389</v>
      </c>
      <c r="I930" s="2" t="s">
        <v>5797</v>
      </c>
      <c r="J930" s="2" t="s">
        <v>5798</v>
      </c>
      <c r="K930" s="2" t="s">
        <v>32</v>
      </c>
      <c r="M930" s="2">
        <v>87.0</v>
      </c>
      <c r="N930" s="2">
        <v>7057.84</v>
      </c>
      <c r="O930" s="2" t="s">
        <v>28</v>
      </c>
      <c r="P930" s="2" t="s">
        <v>5799</v>
      </c>
      <c r="Q930" s="2" t="s">
        <v>5800</v>
      </c>
      <c r="S930" s="2">
        <v>61110.0</v>
      </c>
      <c r="T930" s="2" t="s">
        <v>101</v>
      </c>
      <c r="U930" s="2" t="s">
        <v>46</v>
      </c>
    </row>
    <row r="931">
      <c r="A931" s="2">
        <v>930.0</v>
      </c>
      <c r="B931" s="2">
        <v>930.0</v>
      </c>
      <c r="C931" s="2">
        <v>930.0</v>
      </c>
      <c r="D931" s="3">
        <v>44201.0</v>
      </c>
      <c r="E931" s="2" t="s">
        <v>2768</v>
      </c>
      <c r="F931" s="2" t="s">
        <v>73</v>
      </c>
      <c r="G931" s="2">
        <v>211.64</v>
      </c>
      <c r="H931" s="2" t="s">
        <v>5801</v>
      </c>
      <c r="I931" s="2" t="s">
        <v>5802</v>
      </c>
      <c r="J931" s="2" t="s">
        <v>5803</v>
      </c>
      <c r="K931" s="2" t="s">
        <v>5804</v>
      </c>
      <c r="M931" s="2">
        <v>89.0</v>
      </c>
      <c r="N931" s="2">
        <v>5032.62</v>
      </c>
      <c r="O931" s="2" t="s">
        <v>28</v>
      </c>
      <c r="P931" s="2" t="s">
        <v>643</v>
      </c>
      <c r="Q931" s="2" t="s">
        <v>5805</v>
      </c>
      <c r="T931" s="2" t="s">
        <v>2261</v>
      </c>
      <c r="U931" s="2" t="s">
        <v>71</v>
      </c>
    </row>
    <row r="932">
      <c r="A932" s="2">
        <v>931.0</v>
      </c>
      <c r="B932" s="2">
        <v>931.0</v>
      </c>
      <c r="C932" s="2">
        <v>931.0</v>
      </c>
      <c r="D932" s="3">
        <v>44317.0</v>
      </c>
      <c r="E932" s="2" t="s">
        <v>5806</v>
      </c>
      <c r="F932" s="2" t="s">
        <v>97</v>
      </c>
      <c r="G932" s="2">
        <v>414.62</v>
      </c>
      <c r="H932" s="2" t="s">
        <v>5807</v>
      </c>
      <c r="I932" s="2" t="s">
        <v>5808</v>
      </c>
      <c r="J932" s="2" t="s">
        <v>5809</v>
      </c>
      <c r="K932" s="2" t="s">
        <v>292</v>
      </c>
      <c r="M932" s="2">
        <v>47.0</v>
      </c>
      <c r="N932" s="2">
        <v>1694.36</v>
      </c>
      <c r="O932" s="2" t="s">
        <v>52</v>
      </c>
      <c r="P932" s="2" t="s">
        <v>5810</v>
      </c>
      <c r="Q932" s="2" t="s">
        <v>5811</v>
      </c>
      <c r="S932" s="2">
        <v>173007.0</v>
      </c>
      <c r="T932" s="2" t="s">
        <v>819</v>
      </c>
      <c r="U932" s="2" t="s">
        <v>33</v>
      </c>
    </row>
    <row r="933">
      <c r="A933" s="2">
        <v>932.0</v>
      </c>
      <c r="B933" s="2">
        <v>932.0</v>
      </c>
      <c r="C933" s="2">
        <v>932.0</v>
      </c>
      <c r="D933" s="3">
        <v>43888.0</v>
      </c>
      <c r="E933" s="2" t="s">
        <v>5812</v>
      </c>
      <c r="F933" s="2" t="s">
        <v>73</v>
      </c>
      <c r="G933" s="2">
        <v>622.12</v>
      </c>
      <c r="H933" s="2" t="s">
        <v>5813</v>
      </c>
      <c r="I933" s="2" t="s">
        <v>5814</v>
      </c>
      <c r="J933" s="2" t="s">
        <v>5815</v>
      </c>
      <c r="K933" s="2" t="s">
        <v>114</v>
      </c>
      <c r="L933" s="2" t="s">
        <v>5816</v>
      </c>
      <c r="M933" s="2">
        <v>53.0</v>
      </c>
      <c r="N933" s="2">
        <v>1917.23</v>
      </c>
      <c r="O933" s="2" t="s">
        <v>28</v>
      </c>
      <c r="P933" s="2" t="s">
        <v>5817</v>
      </c>
      <c r="Q933" s="2" t="s">
        <v>5818</v>
      </c>
      <c r="T933" s="2" t="s">
        <v>32</v>
      </c>
      <c r="U933" s="2" t="s">
        <v>71</v>
      </c>
    </row>
    <row r="934">
      <c r="A934" s="2">
        <v>933.0</v>
      </c>
      <c r="B934" s="2">
        <v>933.0</v>
      </c>
      <c r="C934" s="2">
        <v>933.0</v>
      </c>
      <c r="D934" s="3">
        <v>44047.0</v>
      </c>
      <c r="E934" s="2" t="s">
        <v>5454</v>
      </c>
      <c r="F934" s="2" t="s">
        <v>206</v>
      </c>
      <c r="G934" s="2">
        <v>365.28</v>
      </c>
      <c r="H934" s="2" t="s">
        <v>5819</v>
      </c>
      <c r="I934" s="2" t="s">
        <v>5820</v>
      </c>
      <c r="J934" s="2" t="s">
        <v>5821</v>
      </c>
      <c r="K934" s="2" t="s">
        <v>228</v>
      </c>
      <c r="M934" s="2">
        <v>1.0</v>
      </c>
      <c r="N934" s="2">
        <v>4880.1</v>
      </c>
      <c r="O934" s="2" t="s">
        <v>28</v>
      </c>
      <c r="P934" s="2" t="s">
        <v>5822</v>
      </c>
      <c r="Q934" s="2" t="s">
        <v>2761</v>
      </c>
      <c r="T934" s="2" t="s">
        <v>146</v>
      </c>
      <c r="U934" s="2" t="s">
        <v>33</v>
      </c>
    </row>
    <row r="935">
      <c r="A935" s="2">
        <v>934.0</v>
      </c>
      <c r="B935" s="2">
        <v>934.0</v>
      </c>
      <c r="C935" s="2">
        <v>934.0</v>
      </c>
      <c r="D935" s="3">
        <v>44253.0</v>
      </c>
      <c r="E935" s="2" t="s">
        <v>646</v>
      </c>
      <c r="F935" s="2" t="s">
        <v>546</v>
      </c>
      <c r="G935" s="2">
        <v>842.24</v>
      </c>
      <c r="H935" s="2" t="s">
        <v>5823</v>
      </c>
      <c r="I935" s="2" t="s">
        <v>5824</v>
      </c>
      <c r="J935" s="2" t="s">
        <v>5825</v>
      </c>
      <c r="K935" s="2" t="s">
        <v>119</v>
      </c>
      <c r="M935" s="2">
        <v>43.0</v>
      </c>
      <c r="N935" s="2">
        <v>5508.78</v>
      </c>
      <c r="O935" s="2" t="s">
        <v>41</v>
      </c>
      <c r="P935" s="2" t="s">
        <v>5826</v>
      </c>
      <c r="Q935" s="2" t="s">
        <v>5827</v>
      </c>
      <c r="T935" s="2" t="s">
        <v>32</v>
      </c>
      <c r="U935" s="2" t="s">
        <v>46</v>
      </c>
    </row>
    <row r="936">
      <c r="A936" s="2">
        <v>935.0</v>
      </c>
      <c r="B936" s="2">
        <v>935.0</v>
      </c>
      <c r="C936" s="2">
        <v>935.0</v>
      </c>
      <c r="D936" s="3">
        <v>43943.0</v>
      </c>
      <c r="E936" s="2" t="s">
        <v>5828</v>
      </c>
      <c r="F936" s="2" t="s">
        <v>5829</v>
      </c>
      <c r="G936" s="2">
        <v>60.05</v>
      </c>
      <c r="H936" s="2" t="s">
        <v>5830</v>
      </c>
      <c r="I936" s="2" t="s">
        <v>5831</v>
      </c>
      <c r="J936" s="2" t="s">
        <v>5832</v>
      </c>
      <c r="K936" s="2" t="s">
        <v>5833</v>
      </c>
      <c r="M936" s="2">
        <v>84.0</v>
      </c>
      <c r="N936" s="2">
        <v>6600.73</v>
      </c>
      <c r="O936" s="2" t="s">
        <v>41</v>
      </c>
      <c r="P936" s="2" t="s">
        <v>5834</v>
      </c>
      <c r="Q936" s="2" t="s">
        <v>5835</v>
      </c>
      <c r="T936" s="2" t="s">
        <v>1316</v>
      </c>
      <c r="U936" s="2" t="s">
        <v>71</v>
      </c>
    </row>
    <row r="937">
      <c r="A937" s="2">
        <v>936.0</v>
      </c>
      <c r="B937" s="2">
        <v>936.0</v>
      </c>
      <c r="C937" s="2">
        <v>936.0</v>
      </c>
      <c r="D937" s="3">
        <v>44168.0</v>
      </c>
      <c r="E937" s="2" t="s">
        <v>5836</v>
      </c>
      <c r="F937" s="2" t="s">
        <v>951</v>
      </c>
      <c r="G937" s="2">
        <v>447.88</v>
      </c>
      <c r="H937" s="2" t="s">
        <v>5837</v>
      </c>
      <c r="I937" s="2" t="s">
        <v>5838</v>
      </c>
      <c r="J937" s="2" t="s">
        <v>5839</v>
      </c>
      <c r="K937" s="2" t="s">
        <v>119</v>
      </c>
      <c r="M937" s="2">
        <v>60.0</v>
      </c>
      <c r="N937" s="2">
        <v>3063.86</v>
      </c>
      <c r="O937" s="2" t="s">
        <v>52</v>
      </c>
      <c r="P937" s="2" t="s">
        <v>5840</v>
      </c>
      <c r="Q937" s="2" t="s">
        <v>5841</v>
      </c>
      <c r="T937" s="2" t="s">
        <v>32</v>
      </c>
      <c r="U937" s="2" t="s">
        <v>71</v>
      </c>
    </row>
    <row r="938">
      <c r="A938" s="2">
        <v>937.0</v>
      </c>
      <c r="B938" s="2">
        <v>937.0</v>
      </c>
      <c r="C938" s="2">
        <v>937.0</v>
      </c>
      <c r="D938" s="3">
        <v>44307.0</v>
      </c>
      <c r="E938" s="2" t="s">
        <v>1451</v>
      </c>
      <c r="F938" s="2" t="s">
        <v>35</v>
      </c>
      <c r="G938" s="2">
        <v>57.16</v>
      </c>
      <c r="H938" s="2" t="s">
        <v>5842</v>
      </c>
      <c r="I938" s="2" t="s">
        <v>5843</v>
      </c>
      <c r="J938" s="2" t="s">
        <v>5844</v>
      </c>
      <c r="K938" s="2" t="s">
        <v>379</v>
      </c>
      <c r="L938" s="2" t="s">
        <v>3326</v>
      </c>
      <c r="M938" s="2">
        <v>91.0</v>
      </c>
      <c r="N938" s="2">
        <v>2.54</v>
      </c>
      <c r="O938" s="2" t="s">
        <v>28</v>
      </c>
      <c r="P938" s="2" t="s">
        <v>5845</v>
      </c>
      <c r="Q938" s="2" t="s">
        <v>5846</v>
      </c>
      <c r="R938" s="2" t="s">
        <v>5847</v>
      </c>
      <c r="S938" s="2">
        <v>308510.0</v>
      </c>
      <c r="T938" s="2" t="s">
        <v>68</v>
      </c>
      <c r="U938" s="2" t="s">
        <v>71</v>
      </c>
    </row>
    <row r="939">
      <c r="A939" s="2">
        <v>938.0</v>
      </c>
      <c r="B939" s="2">
        <v>938.0</v>
      </c>
      <c r="C939" s="2">
        <v>938.0</v>
      </c>
      <c r="D939" s="3">
        <v>44446.0</v>
      </c>
      <c r="E939" s="2" t="s">
        <v>4503</v>
      </c>
      <c r="F939" s="2" t="s">
        <v>237</v>
      </c>
      <c r="G939" s="2">
        <v>628.32</v>
      </c>
      <c r="H939" s="2" t="s">
        <v>5848</v>
      </c>
      <c r="I939" s="2" t="s">
        <v>5849</v>
      </c>
      <c r="J939" s="2" t="s">
        <v>5850</v>
      </c>
      <c r="K939" s="2" t="s">
        <v>327</v>
      </c>
      <c r="L939" s="2">
        <v>5049.0</v>
      </c>
      <c r="M939" s="2">
        <v>72.0</v>
      </c>
      <c r="N939" s="2">
        <v>2858.76</v>
      </c>
      <c r="O939" s="2" t="s">
        <v>52</v>
      </c>
      <c r="P939" s="2" t="s">
        <v>5851</v>
      </c>
      <c r="Q939" s="2" t="s">
        <v>4226</v>
      </c>
      <c r="S939" s="2">
        <v>2600.0</v>
      </c>
      <c r="T939" s="2" t="s">
        <v>241</v>
      </c>
      <c r="U939" s="2" t="s">
        <v>33</v>
      </c>
    </row>
    <row r="940">
      <c r="A940" s="2">
        <v>939.0</v>
      </c>
      <c r="B940" s="2">
        <v>939.0</v>
      </c>
      <c r="C940" s="2">
        <v>939.0</v>
      </c>
      <c r="D940" s="3">
        <v>44218.0</v>
      </c>
      <c r="E940" s="2" t="s">
        <v>1865</v>
      </c>
      <c r="F940" s="2" t="s">
        <v>142</v>
      </c>
      <c r="G940" s="2">
        <v>168.54</v>
      </c>
      <c r="H940" s="2" t="s">
        <v>5852</v>
      </c>
      <c r="I940" s="2" t="s">
        <v>5853</v>
      </c>
      <c r="J940" s="2" t="s">
        <v>5854</v>
      </c>
      <c r="K940" s="2" t="s">
        <v>26</v>
      </c>
      <c r="L940" s="2" t="s">
        <v>5855</v>
      </c>
      <c r="M940" s="2">
        <v>63.0</v>
      </c>
      <c r="N940" s="2">
        <v>4413.53</v>
      </c>
      <c r="O940" s="2" t="s">
        <v>28</v>
      </c>
      <c r="P940" s="2" t="s">
        <v>5856</v>
      </c>
      <c r="Q940" s="2" t="s">
        <v>5857</v>
      </c>
      <c r="R940" s="2" t="s">
        <v>660</v>
      </c>
      <c r="T940" s="2" t="s">
        <v>4045</v>
      </c>
      <c r="U940" s="2" t="s">
        <v>71</v>
      </c>
    </row>
    <row r="941">
      <c r="A941" s="2">
        <v>940.0</v>
      </c>
      <c r="B941" s="2">
        <v>940.0</v>
      </c>
      <c r="C941" s="2">
        <v>940.0</v>
      </c>
      <c r="D941" s="3">
        <v>43920.0</v>
      </c>
      <c r="E941" s="2" t="s">
        <v>412</v>
      </c>
      <c r="F941" s="2" t="s">
        <v>413</v>
      </c>
      <c r="G941" s="2">
        <v>920.38</v>
      </c>
      <c r="H941" s="2" t="s">
        <v>5858</v>
      </c>
      <c r="I941" s="2" t="s">
        <v>5859</v>
      </c>
      <c r="J941" s="2" t="s">
        <v>5860</v>
      </c>
      <c r="K941" s="2" t="s">
        <v>885</v>
      </c>
      <c r="L941" s="2">
        <v>7560.0</v>
      </c>
      <c r="M941" s="2">
        <v>94.0</v>
      </c>
      <c r="N941" s="2">
        <v>4810.38</v>
      </c>
      <c r="O941" s="2" t="s">
        <v>41</v>
      </c>
      <c r="P941" s="2" t="s">
        <v>600</v>
      </c>
      <c r="Q941" s="2" t="s">
        <v>5861</v>
      </c>
      <c r="T941" s="2" t="s">
        <v>32</v>
      </c>
      <c r="U941" s="2" t="s">
        <v>46</v>
      </c>
    </row>
    <row r="942">
      <c r="A942" s="2">
        <v>941.0</v>
      </c>
      <c r="B942" s="2">
        <v>941.0</v>
      </c>
      <c r="C942" s="2">
        <v>941.0</v>
      </c>
      <c r="D942" s="3">
        <v>44430.0</v>
      </c>
      <c r="E942" s="2" t="s">
        <v>5605</v>
      </c>
      <c r="F942" s="2" t="s">
        <v>97</v>
      </c>
      <c r="G942" s="2">
        <v>933.88</v>
      </c>
      <c r="H942" s="2" t="s">
        <v>5862</v>
      </c>
      <c r="I942" s="2" t="s">
        <v>5863</v>
      </c>
      <c r="J942" s="2" t="s">
        <v>5864</v>
      </c>
      <c r="K942" s="2" t="s">
        <v>119</v>
      </c>
      <c r="M942" s="2">
        <v>17.0</v>
      </c>
      <c r="N942" s="2">
        <v>9936.42</v>
      </c>
      <c r="O942" s="2" t="s">
        <v>52</v>
      </c>
      <c r="P942" s="2" t="s">
        <v>2601</v>
      </c>
      <c r="Q942" s="2" t="s">
        <v>5865</v>
      </c>
      <c r="T942" s="2" t="s">
        <v>119</v>
      </c>
      <c r="U942" s="2" t="s">
        <v>71</v>
      </c>
    </row>
    <row r="943">
      <c r="A943" s="2">
        <v>942.0</v>
      </c>
      <c r="B943" s="2">
        <v>942.0</v>
      </c>
      <c r="C943" s="2">
        <v>942.0</v>
      </c>
      <c r="D943" s="3">
        <v>44085.0</v>
      </c>
      <c r="E943" s="2" t="s">
        <v>2380</v>
      </c>
      <c r="F943" s="2" t="s">
        <v>662</v>
      </c>
      <c r="G943" s="2">
        <v>213.86</v>
      </c>
      <c r="H943" s="2" t="s">
        <v>5866</v>
      </c>
      <c r="I943" s="2" t="s">
        <v>5867</v>
      </c>
      <c r="J943" s="2" t="s">
        <v>5868</v>
      </c>
      <c r="K943" s="2" t="s">
        <v>267</v>
      </c>
      <c r="M943" s="2">
        <v>55.0</v>
      </c>
      <c r="N943" s="2">
        <v>3734.4</v>
      </c>
      <c r="O943" s="2" t="s">
        <v>28</v>
      </c>
      <c r="P943" s="2" t="s">
        <v>3531</v>
      </c>
      <c r="Q943" s="2" t="s">
        <v>5869</v>
      </c>
      <c r="S943" s="2" t="s">
        <v>5870</v>
      </c>
      <c r="T943" s="2" t="s">
        <v>114</v>
      </c>
      <c r="U943" s="2" t="s">
        <v>71</v>
      </c>
    </row>
    <row r="944">
      <c r="A944" s="2">
        <v>943.0</v>
      </c>
      <c r="B944" s="2">
        <v>943.0</v>
      </c>
      <c r="C944" s="2">
        <v>943.0</v>
      </c>
      <c r="D944" s="3">
        <v>44537.0</v>
      </c>
      <c r="E944" s="2" t="s">
        <v>5871</v>
      </c>
      <c r="F944" s="2" t="s">
        <v>237</v>
      </c>
      <c r="G944" s="2">
        <v>813.34</v>
      </c>
      <c r="H944" s="2" t="s">
        <v>5872</v>
      </c>
      <c r="I944" s="2" t="s">
        <v>5873</v>
      </c>
      <c r="J944" s="2" t="s">
        <v>5874</v>
      </c>
      <c r="K944" s="2" t="s">
        <v>119</v>
      </c>
      <c r="M944" s="2">
        <v>89.0</v>
      </c>
      <c r="N944" s="2">
        <v>5715.14</v>
      </c>
      <c r="O944" s="2" t="s">
        <v>41</v>
      </c>
      <c r="P944" s="2" t="s">
        <v>5875</v>
      </c>
      <c r="Q944" s="2" t="s">
        <v>5876</v>
      </c>
      <c r="T944" s="2" t="s">
        <v>4216</v>
      </c>
      <c r="U944" s="2" t="s">
        <v>46</v>
      </c>
    </row>
    <row r="945">
      <c r="A945" s="2">
        <v>944.0</v>
      </c>
      <c r="B945" s="2">
        <v>944.0</v>
      </c>
      <c r="C945" s="2">
        <v>944.0</v>
      </c>
      <c r="D945" s="3">
        <v>44133.0</v>
      </c>
      <c r="E945" s="2" t="s">
        <v>5877</v>
      </c>
      <c r="F945" s="2" t="s">
        <v>237</v>
      </c>
      <c r="G945" s="2">
        <v>501.79</v>
      </c>
      <c r="H945" s="2" t="s">
        <v>5878</v>
      </c>
      <c r="I945" s="2" t="s">
        <v>5879</v>
      </c>
      <c r="J945" s="2" t="s">
        <v>5880</v>
      </c>
      <c r="K945" s="2" t="s">
        <v>106</v>
      </c>
      <c r="L945" s="2" t="s">
        <v>5881</v>
      </c>
      <c r="M945" s="2">
        <v>87.0</v>
      </c>
      <c r="N945" s="2">
        <v>1423.7</v>
      </c>
      <c r="O945" s="2" t="s">
        <v>52</v>
      </c>
      <c r="P945" s="2" t="s">
        <v>883</v>
      </c>
      <c r="Q945" s="2" t="s">
        <v>5882</v>
      </c>
      <c r="S945" s="2">
        <v>5875.0</v>
      </c>
      <c r="T945" s="2" t="s">
        <v>178</v>
      </c>
      <c r="U945" s="2" t="s">
        <v>33</v>
      </c>
    </row>
    <row r="946">
      <c r="A946" s="2">
        <v>945.0</v>
      </c>
      <c r="B946" s="2">
        <v>945.0</v>
      </c>
      <c r="C946" s="2">
        <v>945.0</v>
      </c>
      <c r="D946" s="3">
        <v>44437.0</v>
      </c>
      <c r="E946" s="2" t="s">
        <v>5883</v>
      </c>
      <c r="F946" s="2" t="s">
        <v>133</v>
      </c>
      <c r="G946" s="2">
        <v>92.45</v>
      </c>
      <c r="H946" s="2" t="s">
        <v>5884</v>
      </c>
      <c r="I946" s="2" t="s">
        <v>663</v>
      </c>
      <c r="J946" s="2" t="s">
        <v>5885</v>
      </c>
      <c r="K946" s="2" t="s">
        <v>68</v>
      </c>
      <c r="L946" s="2">
        <v>678149.0</v>
      </c>
      <c r="M946" s="2">
        <v>28.0</v>
      </c>
      <c r="N946" s="2">
        <v>9915.27</v>
      </c>
      <c r="O946" s="2" t="s">
        <v>41</v>
      </c>
      <c r="P946" s="2" t="s">
        <v>5886</v>
      </c>
      <c r="Q946" s="2" t="s">
        <v>5887</v>
      </c>
      <c r="S946" s="2">
        <v>191507.0</v>
      </c>
      <c r="T946" s="2" t="s">
        <v>819</v>
      </c>
      <c r="U946" s="2" t="s">
        <v>46</v>
      </c>
    </row>
    <row r="947">
      <c r="A947" s="2">
        <v>946.0</v>
      </c>
      <c r="B947" s="2">
        <v>946.0</v>
      </c>
      <c r="C947" s="2">
        <v>946.0</v>
      </c>
      <c r="D947" s="3">
        <v>44451.0</v>
      </c>
      <c r="E947" s="2" t="s">
        <v>5202</v>
      </c>
      <c r="F947" s="2" t="s">
        <v>738</v>
      </c>
      <c r="G947" s="2">
        <v>783.93</v>
      </c>
      <c r="H947" s="2" t="s">
        <v>5888</v>
      </c>
      <c r="I947" s="2" t="s">
        <v>5889</v>
      </c>
      <c r="J947" s="2" t="s">
        <v>5890</v>
      </c>
      <c r="K947" s="2" t="s">
        <v>885</v>
      </c>
      <c r="L947" s="2">
        <v>81101.0</v>
      </c>
      <c r="M947" s="2">
        <v>36.0</v>
      </c>
      <c r="N947" s="2">
        <v>3097.99</v>
      </c>
      <c r="O947" s="2" t="s">
        <v>28</v>
      </c>
      <c r="P947" s="2" t="s">
        <v>1155</v>
      </c>
      <c r="Q947" s="2" t="s">
        <v>5891</v>
      </c>
      <c r="T947" s="2" t="s">
        <v>32</v>
      </c>
      <c r="U947" s="2" t="s">
        <v>46</v>
      </c>
    </row>
    <row r="948">
      <c r="A948" s="2">
        <v>947.0</v>
      </c>
      <c r="B948" s="2">
        <v>947.0</v>
      </c>
      <c r="C948" s="2">
        <v>947.0</v>
      </c>
      <c r="D948" s="3">
        <v>44124.0</v>
      </c>
      <c r="E948" s="2" t="s">
        <v>5892</v>
      </c>
      <c r="F948" s="2" t="s">
        <v>73</v>
      </c>
      <c r="G948" s="2">
        <v>189.35</v>
      </c>
      <c r="H948" s="2" t="s">
        <v>5893</v>
      </c>
      <c r="I948" s="2" t="s">
        <v>5894</v>
      </c>
      <c r="J948" s="2" t="s">
        <v>5895</v>
      </c>
      <c r="K948" s="2" t="s">
        <v>32</v>
      </c>
      <c r="M948" s="2">
        <v>67.0</v>
      </c>
      <c r="N948" s="2">
        <v>8415.78</v>
      </c>
      <c r="O948" s="2" t="s">
        <v>28</v>
      </c>
      <c r="P948" s="2" t="s">
        <v>5896</v>
      </c>
      <c r="Q948" s="2" t="s">
        <v>5897</v>
      </c>
      <c r="T948" s="2" t="s">
        <v>119</v>
      </c>
      <c r="U948" s="2" t="s">
        <v>46</v>
      </c>
    </row>
    <row r="949">
      <c r="A949" s="2">
        <v>948.0</v>
      </c>
      <c r="B949" s="2">
        <v>948.0</v>
      </c>
      <c r="C949" s="2">
        <v>948.0</v>
      </c>
      <c r="D949" s="3">
        <v>44006.0</v>
      </c>
      <c r="E949" s="2" t="s">
        <v>3874</v>
      </c>
      <c r="F949" s="2" t="s">
        <v>73</v>
      </c>
      <c r="G949" s="2">
        <v>872.89</v>
      </c>
      <c r="H949" s="2" t="s">
        <v>5898</v>
      </c>
      <c r="I949" s="2" t="s">
        <v>5899</v>
      </c>
      <c r="J949" s="2" t="s">
        <v>5900</v>
      </c>
      <c r="K949" s="2" t="s">
        <v>627</v>
      </c>
      <c r="L949" s="2">
        <v>66110.0</v>
      </c>
      <c r="M949" s="2">
        <v>49.0</v>
      </c>
      <c r="N949" s="2">
        <v>1302.74</v>
      </c>
      <c r="O949" s="2" t="s">
        <v>41</v>
      </c>
      <c r="P949" s="2" t="s">
        <v>1929</v>
      </c>
      <c r="Q949" s="2" t="s">
        <v>5901</v>
      </c>
      <c r="T949" s="2" t="s">
        <v>92</v>
      </c>
      <c r="U949" s="2" t="s">
        <v>71</v>
      </c>
    </row>
    <row r="950">
      <c r="A950" s="2">
        <v>949.0</v>
      </c>
      <c r="B950" s="2">
        <v>949.0</v>
      </c>
      <c r="C950" s="2">
        <v>949.0</v>
      </c>
      <c r="D950" s="3">
        <v>44005.0</v>
      </c>
      <c r="E950" s="2" t="s">
        <v>5657</v>
      </c>
      <c r="F950" s="2" t="s">
        <v>1199</v>
      </c>
      <c r="G950" s="2">
        <v>959.64</v>
      </c>
      <c r="H950" s="2" t="s">
        <v>5902</v>
      </c>
      <c r="I950" s="2" t="s">
        <v>5903</v>
      </c>
      <c r="J950" s="2" t="s">
        <v>5904</v>
      </c>
      <c r="K950" s="2" t="s">
        <v>106</v>
      </c>
      <c r="L950" s="2" t="s">
        <v>5905</v>
      </c>
      <c r="M950" s="2">
        <v>17.0</v>
      </c>
      <c r="N950" s="2">
        <v>6477.98</v>
      </c>
      <c r="O950" s="2" t="s">
        <v>41</v>
      </c>
      <c r="P950" s="2" t="s">
        <v>883</v>
      </c>
      <c r="Q950" s="2" t="s">
        <v>5906</v>
      </c>
      <c r="T950" s="2" t="s">
        <v>32</v>
      </c>
      <c r="U950" s="2" t="s">
        <v>71</v>
      </c>
    </row>
    <row r="951">
      <c r="A951" s="2">
        <v>950.0</v>
      </c>
      <c r="B951" s="2">
        <v>950.0</v>
      </c>
      <c r="C951" s="2">
        <v>950.0</v>
      </c>
      <c r="D951" s="3">
        <v>44402.0</v>
      </c>
      <c r="E951" s="2" t="s">
        <v>323</v>
      </c>
      <c r="F951" s="2" t="s">
        <v>237</v>
      </c>
      <c r="G951" s="2">
        <v>224.18</v>
      </c>
      <c r="H951" s="2" t="s">
        <v>5907</v>
      </c>
      <c r="I951" s="2" t="s">
        <v>5908</v>
      </c>
      <c r="J951" s="2" t="s">
        <v>5909</v>
      </c>
      <c r="K951" s="2" t="s">
        <v>119</v>
      </c>
      <c r="M951" s="2">
        <v>73.0</v>
      </c>
      <c r="N951" s="2">
        <v>9240.67</v>
      </c>
      <c r="O951" s="2" t="s">
        <v>28</v>
      </c>
      <c r="P951" s="2" t="s">
        <v>277</v>
      </c>
      <c r="Q951" s="2" t="s">
        <v>5910</v>
      </c>
      <c r="S951" s="2">
        <v>83000.0</v>
      </c>
      <c r="T951" s="2" t="s">
        <v>45</v>
      </c>
      <c r="U951" s="2" t="s">
        <v>46</v>
      </c>
    </row>
    <row r="952">
      <c r="A952" s="2">
        <v>951.0</v>
      </c>
      <c r="B952" s="2">
        <v>951.0</v>
      </c>
      <c r="C952" s="2">
        <v>951.0</v>
      </c>
      <c r="D952" s="3">
        <v>44375.0</v>
      </c>
      <c r="E952" s="2" t="s">
        <v>5911</v>
      </c>
      <c r="F952" s="2" t="s">
        <v>2344</v>
      </c>
      <c r="G952" s="2">
        <v>423.59</v>
      </c>
      <c r="H952" s="2" t="s">
        <v>5912</v>
      </c>
      <c r="I952" s="2" t="s">
        <v>5913</v>
      </c>
      <c r="J952" s="2" t="s">
        <v>5914</v>
      </c>
      <c r="K952" s="2" t="s">
        <v>106</v>
      </c>
      <c r="L952" s="2" t="s">
        <v>5915</v>
      </c>
      <c r="M952" s="2">
        <v>58.0</v>
      </c>
      <c r="N952" s="2">
        <v>9769.16</v>
      </c>
      <c r="O952" s="2" t="s">
        <v>52</v>
      </c>
      <c r="P952" s="2" t="s">
        <v>2850</v>
      </c>
      <c r="Q952" s="2" t="s">
        <v>5916</v>
      </c>
      <c r="T952" s="2" t="s">
        <v>119</v>
      </c>
      <c r="U952" s="2" t="s">
        <v>33</v>
      </c>
    </row>
    <row r="953">
      <c r="A953" s="2">
        <v>952.0</v>
      </c>
      <c r="B953" s="2">
        <v>952.0</v>
      </c>
      <c r="C953" s="2">
        <v>952.0</v>
      </c>
      <c r="D953" s="3">
        <v>43837.0</v>
      </c>
      <c r="E953" s="2" t="s">
        <v>5917</v>
      </c>
      <c r="F953" s="2" t="s">
        <v>64</v>
      </c>
      <c r="G953" s="2">
        <v>722.42</v>
      </c>
      <c r="H953" s="2" t="s">
        <v>1872</v>
      </c>
      <c r="I953" s="2" t="s">
        <v>5918</v>
      </c>
      <c r="J953" s="2" t="s">
        <v>5919</v>
      </c>
      <c r="K953" s="2" t="s">
        <v>32</v>
      </c>
      <c r="M953" s="2">
        <v>6.0</v>
      </c>
      <c r="N953" s="2">
        <v>6360.98</v>
      </c>
      <c r="O953" s="2" t="s">
        <v>52</v>
      </c>
      <c r="P953" s="2" t="s">
        <v>84</v>
      </c>
      <c r="Q953" s="2" t="s">
        <v>5920</v>
      </c>
      <c r="S953" s="2" t="s">
        <v>5921</v>
      </c>
      <c r="T953" s="2" t="s">
        <v>257</v>
      </c>
      <c r="U953" s="2" t="s">
        <v>71</v>
      </c>
    </row>
    <row r="954">
      <c r="A954" s="2">
        <v>953.0</v>
      </c>
      <c r="B954" s="2">
        <v>953.0</v>
      </c>
      <c r="C954" s="2">
        <v>953.0</v>
      </c>
      <c r="D954" s="3">
        <v>43927.0</v>
      </c>
      <c r="E954" s="2" t="s">
        <v>5293</v>
      </c>
      <c r="F954" s="2" t="s">
        <v>237</v>
      </c>
      <c r="G954" s="2">
        <v>447.77</v>
      </c>
      <c r="H954" s="2" t="s">
        <v>5922</v>
      </c>
      <c r="I954" s="2" t="s">
        <v>5923</v>
      </c>
      <c r="J954" s="2" t="s">
        <v>5924</v>
      </c>
      <c r="K954" s="2" t="s">
        <v>119</v>
      </c>
      <c r="M954" s="2">
        <v>90.0</v>
      </c>
      <c r="N954" s="2">
        <v>2943.72</v>
      </c>
      <c r="O954" s="2" t="s">
        <v>52</v>
      </c>
      <c r="P954" s="2" t="s">
        <v>234</v>
      </c>
      <c r="Q954" s="2" t="s">
        <v>5925</v>
      </c>
      <c r="T954" s="2" t="s">
        <v>32</v>
      </c>
      <c r="U954" s="2" t="s">
        <v>46</v>
      </c>
    </row>
    <row r="955">
      <c r="A955" s="2">
        <v>954.0</v>
      </c>
      <c r="B955" s="2">
        <v>954.0</v>
      </c>
      <c r="C955" s="2">
        <v>954.0</v>
      </c>
      <c r="D955" s="3">
        <v>43998.0</v>
      </c>
      <c r="E955" s="2" t="s">
        <v>5926</v>
      </c>
      <c r="F955" s="2" t="s">
        <v>123</v>
      </c>
      <c r="G955" s="2">
        <v>384.38</v>
      </c>
      <c r="H955" s="2" t="s">
        <v>5927</v>
      </c>
      <c r="I955" s="2" t="s">
        <v>5928</v>
      </c>
      <c r="J955" s="2" t="s">
        <v>5929</v>
      </c>
      <c r="K955" s="2" t="s">
        <v>106</v>
      </c>
      <c r="L955" s="2" t="s">
        <v>5930</v>
      </c>
      <c r="M955" s="2">
        <v>1.0</v>
      </c>
      <c r="N955" s="2">
        <v>8364.45</v>
      </c>
      <c r="O955" s="2" t="s">
        <v>52</v>
      </c>
      <c r="P955" s="2" t="s">
        <v>5931</v>
      </c>
      <c r="Q955" s="2" t="s">
        <v>5932</v>
      </c>
      <c r="S955" s="2" t="s">
        <v>5933</v>
      </c>
      <c r="T955" s="2" t="s">
        <v>114</v>
      </c>
      <c r="U955" s="2" t="s">
        <v>46</v>
      </c>
    </row>
    <row r="956">
      <c r="A956" s="2">
        <v>955.0</v>
      </c>
      <c r="B956" s="2">
        <v>955.0</v>
      </c>
      <c r="C956" s="2">
        <v>955.0</v>
      </c>
      <c r="D956" s="3">
        <v>44065.0</v>
      </c>
      <c r="E956" s="2" t="s">
        <v>5934</v>
      </c>
      <c r="F956" s="2" t="s">
        <v>342</v>
      </c>
      <c r="G956" s="2">
        <v>46.54</v>
      </c>
      <c r="H956" s="2" t="s">
        <v>5935</v>
      </c>
      <c r="I956" s="2" t="s">
        <v>5936</v>
      </c>
      <c r="J956" s="2" t="s">
        <v>5937</v>
      </c>
      <c r="K956" s="2" t="s">
        <v>26</v>
      </c>
      <c r="L956" s="2" t="s">
        <v>5938</v>
      </c>
      <c r="M956" s="2">
        <v>90.0</v>
      </c>
      <c r="N956" s="2">
        <v>2704.87</v>
      </c>
      <c r="O956" s="2" t="s">
        <v>41</v>
      </c>
      <c r="P956" s="2" t="s">
        <v>613</v>
      </c>
      <c r="Q956" s="2" t="s">
        <v>5939</v>
      </c>
      <c r="R956" s="2" t="s">
        <v>1756</v>
      </c>
      <c r="S956" s="2">
        <v>2370.0</v>
      </c>
      <c r="T956" s="2" t="s">
        <v>460</v>
      </c>
      <c r="U956" s="2" t="s">
        <v>46</v>
      </c>
    </row>
    <row r="957">
      <c r="A957" s="2">
        <v>956.0</v>
      </c>
      <c r="B957" s="2">
        <v>956.0</v>
      </c>
      <c r="C957" s="2">
        <v>956.0</v>
      </c>
      <c r="D957" s="3">
        <v>44405.0</v>
      </c>
      <c r="E957" s="2" t="s">
        <v>5940</v>
      </c>
      <c r="F957" s="2" t="s">
        <v>501</v>
      </c>
      <c r="G957" s="2">
        <v>500.54</v>
      </c>
      <c r="H957" s="2" t="s">
        <v>5941</v>
      </c>
      <c r="I957" s="2" t="s">
        <v>5942</v>
      </c>
      <c r="J957" s="2" t="s">
        <v>5943</v>
      </c>
      <c r="K957" s="2" t="s">
        <v>257</v>
      </c>
      <c r="L957" s="2" t="s">
        <v>5944</v>
      </c>
      <c r="M957" s="2">
        <v>75.0</v>
      </c>
      <c r="N957" s="2">
        <v>9359.64</v>
      </c>
      <c r="O957" s="2" t="s">
        <v>28</v>
      </c>
      <c r="P957" s="2" t="s">
        <v>613</v>
      </c>
      <c r="Q957" s="2" t="s">
        <v>5945</v>
      </c>
      <c r="R957" s="2" t="s">
        <v>349</v>
      </c>
      <c r="S957" s="2">
        <v>4331.0</v>
      </c>
      <c r="T957" s="2" t="s">
        <v>241</v>
      </c>
      <c r="U957" s="2" t="s">
        <v>46</v>
      </c>
    </row>
    <row r="958">
      <c r="A958" s="2">
        <v>957.0</v>
      </c>
      <c r="B958" s="2">
        <v>957.0</v>
      </c>
      <c r="C958" s="2">
        <v>957.0</v>
      </c>
      <c r="D958" s="3">
        <v>44529.0</v>
      </c>
      <c r="E958" s="2" t="s">
        <v>603</v>
      </c>
      <c r="F958" s="2" t="s">
        <v>230</v>
      </c>
      <c r="G958" s="2">
        <v>297.08</v>
      </c>
      <c r="H958" s="2" t="s">
        <v>5946</v>
      </c>
      <c r="I958" s="2" t="s">
        <v>5947</v>
      </c>
      <c r="J958" s="2" t="s">
        <v>5948</v>
      </c>
      <c r="K958" s="2" t="s">
        <v>32</v>
      </c>
      <c r="M958" s="2">
        <v>68.0</v>
      </c>
      <c r="N958" s="2">
        <v>485.21</v>
      </c>
      <c r="O958" s="2" t="s">
        <v>41</v>
      </c>
      <c r="P958" s="2" t="s">
        <v>5949</v>
      </c>
      <c r="Q958" s="2" t="s">
        <v>1502</v>
      </c>
      <c r="S958" s="2" t="s">
        <v>5950</v>
      </c>
      <c r="T958" s="2" t="s">
        <v>127</v>
      </c>
      <c r="U958" s="2" t="s">
        <v>71</v>
      </c>
    </row>
    <row r="959">
      <c r="A959" s="2">
        <v>958.0</v>
      </c>
      <c r="B959" s="2">
        <v>958.0</v>
      </c>
      <c r="C959" s="2">
        <v>958.0</v>
      </c>
      <c r="D959" s="3">
        <v>44258.0</v>
      </c>
      <c r="E959" s="2" t="s">
        <v>5951</v>
      </c>
      <c r="F959" s="2" t="s">
        <v>245</v>
      </c>
      <c r="G959" s="2">
        <v>831.83</v>
      </c>
      <c r="H959" s="2" t="s">
        <v>1982</v>
      </c>
      <c r="I959" s="2" t="s">
        <v>5952</v>
      </c>
      <c r="J959" s="2" t="s">
        <v>5953</v>
      </c>
      <c r="K959" s="2" t="s">
        <v>1328</v>
      </c>
      <c r="M959" s="2">
        <v>15.0</v>
      </c>
      <c r="N959" s="2">
        <v>3566.08</v>
      </c>
      <c r="O959" s="2" t="s">
        <v>28</v>
      </c>
      <c r="P959" s="2" t="s">
        <v>5954</v>
      </c>
      <c r="Q959" s="2" t="s">
        <v>5955</v>
      </c>
      <c r="T959" s="2" t="s">
        <v>32</v>
      </c>
      <c r="U959" s="2" t="s">
        <v>33</v>
      </c>
    </row>
    <row r="960">
      <c r="A960" s="2">
        <v>959.0</v>
      </c>
      <c r="B960" s="2">
        <v>959.0</v>
      </c>
      <c r="C960" s="2">
        <v>959.0</v>
      </c>
      <c r="D960" s="3">
        <v>44237.0</v>
      </c>
      <c r="E960" s="2" t="s">
        <v>5956</v>
      </c>
      <c r="F960" s="2" t="s">
        <v>381</v>
      </c>
      <c r="G960" s="2">
        <v>600.37</v>
      </c>
      <c r="H960" s="2" t="s">
        <v>5957</v>
      </c>
      <c r="I960" s="2" t="s">
        <v>5958</v>
      </c>
      <c r="J960" s="2" t="s">
        <v>5959</v>
      </c>
      <c r="K960" s="2" t="s">
        <v>1227</v>
      </c>
      <c r="M960" s="2">
        <v>83.0</v>
      </c>
      <c r="N960" s="2">
        <v>6340.26</v>
      </c>
      <c r="O960" s="2" t="s">
        <v>52</v>
      </c>
      <c r="P960" s="2" t="s">
        <v>5960</v>
      </c>
      <c r="Q960" s="2" t="s">
        <v>5961</v>
      </c>
      <c r="T960" s="2" t="s">
        <v>1328</v>
      </c>
      <c r="U960" s="2" t="s">
        <v>46</v>
      </c>
    </row>
    <row r="961">
      <c r="A961" s="2">
        <v>960.0</v>
      </c>
      <c r="B961" s="2">
        <v>960.0</v>
      </c>
      <c r="C961" s="2">
        <v>960.0</v>
      </c>
      <c r="D961" s="3">
        <v>44406.0</v>
      </c>
      <c r="E961" s="2" t="s">
        <v>5962</v>
      </c>
      <c r="F961" s="2" t="s">
        <v>35</v>
      </c>
      <c r="G961" s="2">
        <v>383.57</v>
      </c>
      <c r="H961" s="2" t="s">
        <v>5963</v>
      </c>
      <c r="I961" s="2" t="s">
        <v>4789</v>
      </c>
      <c r="J961" s="2" t="s">
        <v>5964</v>
      </c>
      <c r="K961" s="2" t="s">
        <v>26</v>
      </c>
      <c r="L961" s="2" t="s">
        <v>5965</v>
      </c>
      <c r="M961" s="2">
        <v>50.0</v>
      </c>
      <c r="N961" s="2">
        <v>9449.37</v>
      </c>
      <c r="O961" s="2" t="s">
        <v>28</v>
      </c>
      <c r="P961" s="2" t="s">
        <v>5966</v>
      </c>
      <c r="Q961" s="2" t="s">
        <v>5967</v>
      </c>
      <c r="R961" s="2" t="s">
        <v>849</v>
      </c>
      <c r="S961" s="2">
        <v>346530.0</v>
      </c>
      <c r="T961" s="2" t="s">
        <v>68</v>
      </c>
      <c r="U961" s="2" t="s">
        <v>71</v>
      </c>
    </row>
    <row r="962">
      <c r="A962" s="2">
        <v>961.0</v>
      </c>
      <c r="B962" s="2">
        <v>961.0</v>
      </c>
      <c r="C962" s="2">
        <v>961.0</v>
      </c>
      <c r="D962" s="3">
        <v>44375.0</v>
      </c>
      <c r="E962" s="2" t="s">
        <v>5968</v>
      </c>
      <c r="F962" s="2" t="s">
        <v>22</v>
      </c>
      <c r="G962" s="2">
        <v>216.47</v>
      </c>
      <c r="H962" s="2" t="s">
        <v>5969</v>
      </c>
      <c r="I962" s="2" t="s">
        <v>5970</v>
      </c>
      <c r="J962" s="2" t="s">
        <v>5971</v>
      </c>
      <c r="K962" s="2" t="s">
        <v>119</v>
      </c>
      <c r="M962" s="2">
        <v>59.0</v>
      </c>
      <c r="N962" s="2">
        <v>534.19</v>
      </c>
      <c r="O962" s="2" t="s">
        <v>28</v>
      </c>
      <c r="P962" s="2" t="s">
        <v>42</v>
      </c>
      <c r="Q962" s="2" t="s">
        <v>5972</v>
      </c>
      <c r="T962" s="2" t="s">
        <v>77</v>
      </c>
      <c r="U962" s="2" t="s">
        <v>33</v>
      </c>
    </row>
    <row r="963">
      <c r="A963" s="2">
        <v>962.0</v>
      </c>
      <c r="B963" s="2">
        <v>962.0</v>
      </c>
      <c r="C963" s="2">
        <v>962.0</v>
      </c>
      <c r="D963" s="3">
        <v>44469.0</v>
      </c>
      <c r="E963" s="2" t="s">
        <v>5973</v>
      </c>
      <c r="F963" s="2" t="s">
        <v>310</v>
      </c>
      <c r="G963" s="2">
        <v>463.44</v>
      </c>
      <c r="H963" s="2" t="s">
        <v>5974</v>
      </c>
      <c r="I963" s="2" t="s">
        <v>5975</v>
      </c>
      <c r="J963" s="2" t="s">
        <v>5976</v>
      </c>
      <c r="K963" s="2" t="s">
        <v>119</v>
      </c>
      <c r="M963" s="2">
        <v>78.0</v>
      </c>
      <c r="N963" s="2">
        <v>9048.3</v>
      </c>
      <c r="O963" s="2" t="s">
        <v>41</v>
      </c>
      <c r="P963" s="2" t="s">
        <v>5977</v>
      </c>
      <c r="Q963" s="2" t="s">
        <v>1478</v>
      </c>
      <c r="T963" s="2" t="s">
        <v>1227</v>
      </c>
      <c r="U963" s="2" t="s">
        <v>71</v>
      </c>
    </row>
    <row r="964">
      <c r="A964" s="2">
        <v>963.0</v>
      </c>
      <c r="B964" s="2">
        <v>963.0</v>
      </c>
      <c r="C964" s="2">
        <v>963.0</v>
      </c>
      <c r="D964" s="3">
        <v>44417.0</v>
      </c>
      <c r="E964" s="2" t="s">
        <v>5978</v>
      </c>
      <c r="F964" s="2" t="s">
        <v>332</v>
      </c>
      <c r="G964" s="2">
        <v>469.97</v>
      </c>
      <c r="H964" s="2" t="s">
        <v>5979</v>
      </c>
      <c r="I964" s="2" t="s">
        <v>5980</v>
      </c>
      <c r="J964" s="2" t="s">
        <v>5981</v>
      </c>
      <c r="K964" s="2" t="s">
        <v>241</v>
      </c>
      <c r="L964" s="2">
        <v>2203.0</v>
      </c>
      <c r="M964" s="2">
        <v>38.0</v>
      </c>
      <c r="N964" s="2">
        <v>8352.15</v>
      </c>
      <c r="O964" s="2" t="s">
        <v>41</v>
      </c>
      <c r="P964" s="2" t="s">
        <v>5982</v>
      </c>
      <c r="Q964" s="2" t="s">
        <v>5983</v>
      </c>
      <c r="T964" s="2" t="s">
        <v>225</v>
      </c>
      <c r="U964" s="2" t="s">
        <v>71</v>
      </c>
    </row>
    <row r="965">
      <c r="A965" s="2">
        <v>964.0</v>
      </c>
      <c r="B965" s="2">
        <v>964.0</v>
      </c>
      <c r="C965" s="2">
        <v>964.0</v>
      </c>
      <c r="D965" s="3">
        <v>44281.0</v>
      </c>
      <c r="E965" s="2" t="s">
        <v>5984</v>
      </c>
      <c r="F965" s="2" t="s">
        <v>206</v>
      </c>
      <c r="G965" s="2">
        <v>177.96</v>
      </c>
      <c r="H965" s="2" t="s">
        <v>5985</v>
      </c>
      <c r="I965" s="2" t="s">
        <v>5986</v>
      </c>
      <c r="J965" s="2" t="s">
        <v>5987</v>
      </c>
      <c r="K965" s="2" t="s">
        <v>241</v>
      </c>
      <c r="L965" s="2">
        <v>2333.0</v>
      </c>
      <c r="M965" s="2">
        <v>48.0</v>
      </c>
      <c r="N965" s="2">
        <v>9959.42</v>
      </c>
      <c r="O965" s="2" t="s">
        <v>41</v>
      </c>
      <c r="P965" s="2" t="s">
        <v>5988</v>
      </c>
      <c r="Q965" s="2" t="s">
        <v>5989</v>
      </c>
      <c r="S965" s="2">
        <v>230029.0</v>
      </c>
      <c r="T965" s="2" t="s">
        <v>819</v>
      </c>
      <c r="U965" s="2" t="s">
        <v>46</v>
      </c>
    </row>
    <row r="966">
      <c r="A966" s="2">
        <v>965.0</v>
      </c>
      <c r="B966" s="2">
        <v>965.0</v>
      </c>
      <c r="C966" s="2">
        <v>965.0</v>
      </c>
      <c r="D966" s="3">
        <v>44288.0</v>
      </c>
      <c r="E966" s="2" t="s">
        <v>5990</v>
      </c>
      <c r="F966" s="2" t="s">
        <v>546</v>
      </c>
      <c r="G966" s="2">
        <v>745.85</v>
      </c>
      <c r="H966" s="2" t="s">
        <v>5991</v>
      </c>
      <c r="I966" s="2" t="s">
        <v>5992</v>
      </c>
      <c r="J966" s="2" t="s">
        <v>5993</v>
      </c>
      <c r="K966" s="2" t="s">
        <v>32</v>
      </c>
      <c r="M966" s="2">
        <v>43.0</v>
      </c>
      <c r="N966" s="2">
        <v>8307.35</v>
      </c>
      <c r="O966" s="2" t="s">
        <v>41</v>
      </c>
      <c r="P966" s="2" t="s">
        <v>5994</v>
      </c>
      <c r="Q966" s="2" t="s">
        <v>5995</v>
      </c>
      <c r="T966" s="2" t="s">
        <v>32</v>
      </c>
      <c r="U966" s="2" t="s">
        <v>33</v>
      </c>
    </row>
    <row r="967">
      <c r="A967" s="2">
        <v>966.0</v>
      </c>
      <c r="B967" s="2">
        <v>966.0</v>
      </c>
      <c r="C967" s="2">
        <v>966.0</v>
      </c>
      <c r="D967" s="3">
        <v>43991.0</v>
      </c>
      <c r="E967" s="2" t="s">
        <v>5996</v>
      </c>
      <c r="F967" s="2" t="s">
        <v>133</v>
      </c>
      <c r="G967" s="2">
        <v>505.43</v>
      </c>
      <c r="H967" s="2" t="s">
        <v>5997</v>
      </c>
      <c r="I967" s="2" t="s">
        <v>5998</v>
      </c>
      <c r="J967" s="2" t="s">
        <v>5999</v>
      </c>
      <c r="K967" s="2" t="s">
        <v>241</v>
      </c>
      <c r="L967" s="2">
        <v>2517.0</v>
      </c>
      <c r="M967" s="2">
        <v>19.0</v>
      </c>
      <c r="N967" s="2">
        <v>1066.11</v>
      </c>
      <c r="O967" s="2" t="s">
        <v>41</v>
      </c>
      <c r="P967" s="2" t="s">
        <v>6000</v>
      </c>
      <c r="Q967" s="2" t="s">
        <v>6001</v>
      </c>
      <c r="S967" s="2">
        <v>9259.0</v>
      </c>
      <c r="T967" s="2" t="s">
        <v>453</v>
      </c>
      <c r="U967" s="2" t="s">
        <v>33</v>
      </c>
    </row>
    <row r="968">
      <c r="A968" s="2">
        <v>967.0</v>
      </c>
      <c r="B968" s="2">
        <v>967.0</v>
      </c>
      <c r="C968" s="2">
        <v>967.0</v>
      </c>
      <c r="D968" s="3">
        <v>44359.0</v>
      </c>
      <c r="E968" s="2" t="s">
        <v>6002</v>
      </c>
      <c r="F968" s="2" t="s">
        <v>1199</v>
      </c>
      <c r="G968" s="2">
        <v>699.06</v>
      </c>
      <c r="H968" s="2" t="s">
        <v>5539</v>
      </c>
      <c r="I968" s="2" t="s">
        <v>6003</v>
      </c>
      <c r="J968" s="2" t="s">
        <v>6004</v>
      </c>
      <c r="K968" s="2" t="s">
        <v>819</v>
      </c>
      <c r="L968" s="2">
        <v>203048.0</v>
      </c>
      <c r="M968" s="2">
        <v>24.0</v>
      </c>
      <c r="N968" s="2">
        <v>8361.13</v>
      </c>
      <c r="O968" s="2" t="s">
        <v>41</v>
      </c>
      <c r="P968" s="2" t="s">
        <v>1470</v>
      </c>
      <c r="Q968" s="2" t="s">
        <v>6005</v>
      </c>
      <c r="T968" s="2" t="s">
        <v>119</v>
      </c>
      <c r="U968" s="2" t="s">
        <v>71</v>
      </c>
    </row>
    <row r="969">
      <c r="A969" s="2">
        <v>968.0</v>
      </c>
      <c r="B969" s="2">
        <v>968.0</v>
      </c>
      <c r="C969" s="2">
        <v>968.0</v>
      </c>
      <c r="D969" s="3">
        <v>44372.0</v>
      </c>
      <c r="E969" s="2" t="s">
        <v>6006</v>
      </c>
      <c r="F969" s="2" t="s">
        <v>1046</v>
      </c>
      <c r="G969" s="2">
        <v>561.15</v>
      </c>
      <c r="H969" s="2" t="s">
        <v>6007</v>
      </c>
      <c r="I969" s="2" t="s">
        <v>6008</v>
      </c>
      <c r="J969" s="2" t="s">
        <v>6009</v>
      </c>
      <c r="K969" s="2" t="s">
        <v>1660</v>
      </c>
      <c r="L969" s="2" t="s">
        <v>6010</v>
      </c>
      <c r="M969" s="2">
        <v>87.0</v>
      </c>
      <c r="N969" s="2">
        <v>8270.05</v>
      </c>
      <c r="O969" s="2" t="s">
        <v>28</v>
      </c>
      <c r="P969" s="2" t="s">
        <v>6011</v>
      </c>
      <c r="Q969" s="2" t="s">
        <v>6012</v>
      </c>
      <c r="T969" s="2" t="s">
        <v>119</v>
      </c>
      <c r="U969" s="2" t="s">
        <v>46</v>
      </c>
    </row>
    <row r="970">
      <c r="A970" s="2">
        <v>969.0</v>
      </c>
      <c r="B970" s="2">
        <v>969.0</v>
      </c>
      <c r="C970" s="2">
        <v>969.0</v>
      </c>
      <c r="D970" s="3">
        <v>44314.0</v>
      </c>
      <c r="E970" s="2" t="s">
        <v>4654</v>
      </c>
      <c r="F970" s="2" t="s">
        <v>992</v>
      </c>
      <c r="G970" s="2">
        <v>900.94</v>
      </c>
      <c r="H970" s="2" t="s">
        <v>6013</v>
      </c>
      <c r="I970" s="2" t="s">
        <v>6014</v>
      </c>
      <c r="J970" s="2" t="s">
        <v>6015</v>
      </c>
      <c r="K970" s="2" t="s">
        <v>241</v>
      </c>
      <c r="L970" s="2">
        <v>4516.0</v>
      </c>
      <c r="M970" s="2">
        <v>89.0</v>
      </c>
      <c r="N970" s="2">
        <v>6807.4</v>
      </c>
      <c r="O970" s="2" t="s">
        <v>52</v>
      </c>
      <c r="P970" s="2" t="s">
        <v>6016</v>
      </c>
      <c r="Q970" s="2" t="s">
        <v>6017</v>
      </c>
      <c r="S970" s="2">
        <v>361805.0</v>
      </c>
      <c r="T970" s="2" t="s">
        <v>68</v>
      </c>
      <c r="U970" s="2" t="s">
        <v>46</v>
      </c>
    </row>
    <row r="971">
      <c r="A971" s="2">
        <v>970.0</v>
      </c>
      <c r="B971" s="2">
        <v>970.0</v>
      </c>
      <c r="C971" s="2">
        <v>970.0</v>
      </c>
      <c r="D971" s="3">
        <v>43996.0</v>
      </c>
      <c r="E971" s="2" t="s">
        <v>6018</v>
      </c>
      <c r="F971" s="2" t="s">
        <v>965</v>
      </c>
      <c r="G971" s="2">
        <v>832.46</v>
      </c>
      <c r="H971" s="2" t="s">
        <v>5927</v>
      </c>
      <c r="I971" s="2" t="s">
        <v>6019</v>
      </c>
      <c r="J971" s="2" t="s">
        <v>6020</v>
      </c>
      <c r="K971" s="2" t="s">
        <v>225</v>
      </c>
      <c r="M971" s="2">
        <v>23.0</v>
      </c>
      <c r="N971" s="2">
        <v>8591.76</v>
      </c>
      <c r="O971" s="2" t="s">
        <v>28</v>
      </c>
      <c r="P971" s="2" t="s">
        <v>6021</v>
      </c>
      <c r="Q971" s="2" t="s">
        <v>6022</v>
      </c>
      <c r="S971" s="2">
        <v>78769.0</v>
      </c>
      <c r="T971" s="2" t="s">
        <v>101</v>
      </c>
      <c r="U971" s="2" t="s">
        <v>46</v>
      </c>
    </row>
    <row r="972">
      <c r="A972" s="2">
        <v>971.0</v>
      </c>
      <c r="B972" s="2">
        <v>971.0</v>
      </c>
      <c r="C972" s="2">
        <v>971.0</v>
      </c>
      <c r="D972" s="3">
        <v>44415.0</v>
      </c>
      <c r="E972" s="2" t="s">
        <v>6023</v>
      </c>
      <c r="F972" s="2" t="s">
        <v>73</v>
      </c>
      <c r="G972" s="2">
        <v>246.59</v>
      </c>
      <c r="H972" s="2" t="s">
        <v>6024</v>
      </c>
      <c r="I972" s="2" t="s">
        <v>6025</v>
      </c>
      <c r="J972" s="2" t="s">
        <v>6026</v>
      </c>
      <c r="K972" s="2" t="s">
        <v>1988</v>
      </c>
      <c r="L972" s="2">
        <v>9814.0</v>
      </c>
      <c r="M972" s="2">
        <v>11.0</v>
      </c>
      <c r="N972" s="2">
        <v>7839.73</v>
      </c>
      <c r="O972" s="2" t="s">
        <v>28</v>
      </c>
      <c r="P972" s="2" t="s">
        <v>3179</v>
      </c>
      <c r="Q972" s="2" t="s">
        <v>6027</v>
      </c>
      <c r="T972" s="2" t="s">
        <v>119</v>
      </c>
      <c r="U972" s="2" t="s">
        <v>46</v>
      </c>
    </row>
    <row r="973">
      <c r="A973" s="2">
        <v>972.0</v>
      </c>
      <c r="B973" s="2">
        <v>972.0</v>
      </c>
      <c r="C973" s="2">
        <v>972.0</v>
      </c>
      <c r="D973" s="3">
        <v>44336.0</v>
      </c>
      <c r="E973" s="2" t="s">
        <v>380</v>
      </c>
      <c r="F973" s="2" t="s">
        <v>381</v>
      </c>
      <c r="G973" s="2">
        <v>387.33</v>
      </c>
      <c r="H973" s="2" t="s">
        <v>6028</v>
      </c>
      <c r="I973" s="2" t="s">
        <v>6029</v>
      </c>
      <c r="J973" s="2" t="s">
        <v>6030</v>
      </c>
      <c r="K973" s="2" t="s">
        <v>32</v>
      </c>
      <c r="M973" s="2">
        <v>30.0</v>
      </c>
      <c r="N973" s="2">
        <v>9297.78</v>
      </c>
      <c r="O973" s="2" t="s">
        <v>28</v>
      </c>
      <c r="P973" s="2" t="s">
        <v>5055</v>
      </c>
      <c r="Q973" s="2" t="s">
        <v>6031</v>
      </c>
      <c r="S973" s="2">
        <v>99981.0</v>
      </c>
      <c r="T973" s="2" t="s">
        <v>885</v>
      </c>
      <c r="U973" s="2" t="s">
        <v>71</v>
      </c>
    </row>
    <row r="974">
      <c r="A974" s="2">
        <v>973.0</v>
      </c>
      <c r="B974" s="2">
        <v>973.0</v>
      </c>
      <c r="C974" s="2">
        <v>973.0</v>
      </c>
      <c r="D974" s="3">
        <v>44080.0</v>
      </c>
      <c r="E974" s="2" t="s">
        <v>6032</v>
      </c>
      <c r="F974" s="2" t="s">
        <v>56</v>
      </c>
      <c r="G974" s="2">
        <v>515.02</v>
      </c>
      <c r="H974" s="2" t="s">
        <v>6033</v>
      </c>
      <c r="I974" s="2" t="s">
        <v>6034</v>
      </c>
      <c r="J974" s="2" t="s">
        <v>6035</v>
      </c>
      <c r="K974" s="2" t="s">
        <v>379</v>
      </c>
      <c r="L974" s="2" t="s">
        <v>6036</v>
      </c>
      <c r="M974" s="2">
        <v>57.0</v>
      </c>
      <c r="N974" s="2">
        <v>8830.13</v>
      </c>
      <c r="O974" s="2" t="s">
        <v>52</v>
      </c>
      <c r="P974" s="2" t="s">
        <v>6037</v>
      </c>
      <c r="Q974" s="2" t="s">
        <v>6038</v>
      </c>
      <c r="R974" s="2" t="s">
        <v>3089</v>
      </c>
      <c r="S974" s="2" t="s">
        <v>6039</v>
      </c>
      <c r="T974" s="2" t="s">
        <v>26</v>
      </c>
      <c r="U974" s="2" t="s">
        <v>46</v>
      </c>
    </row>
    <row r="975">
      <c r="A975" s="2">
        <v>974.0</v>
      </c>
      <c r="B975" s="2">
        <v>974.0</v>
      </c>
      <c r="C975" s="2">
        <v>974.0</v>
      </c>
      <c r="D975" s="3">
        <v>44402.0</v>
      </c>
      <c r="E975" s="2" t="s">
        <v>2022</v>
      </c>
      <c r="F975" s="2" t="s">
        <v>230</v>
      </c>
      <c r="G975" s="2">
        <v>105.86</v>
      </c>
      <c r="H975" s="2" t="s">
        <v>6040</v>
      </c>
      <c r="I975" s="2" t="s">
        <v>26</v>
      </c>
      <c r="J975" s="2" t="s">
        <v>6041</v>
      </c>
      <c r="K975" s="2" t="s">
        <v>119</v>
      </c>
      <c r="M975" s="2">
        <v>18.0</v>
      </c>
      <c r="N975" s="2">
        <v>3484.88</v>
      </c>
      <c r="O975" s="2" t="s">
        <v>28</v>
      </c>
      <c r="P975" s="2" t="s">
        <v>4760</v>
      </c>
      <c r="Q975" s="2" t="s">
        <v>695</v>
      </c>
      <c r="S975" s="2">
        <v>4655.0</v>
      </c>
      <c r="T975" s="2" t="s">
        <v>178</v>
      </c>
      <c r="U975" s="2" t="s">
        <v>33</v>
      </c>
    </row>
    <row r="976">
      <c r="A976" s="2">
        <v>975.0</v>
      </c>
      <c r="B976" s="2">
        <v>975.0</v>
      </c>
      <c r="C976" s="2">
        <v>975.0</v>
      </c>
      <c r="D976" s="3">
        <v>44208.0</v>
      </c>
      <c r="E976" s="2" t="s">
        <v>3655</v>
      </c>
      <c r="F976" s="2" t="s">
        <v>73</v>
      </c>
      <c r="G976" s="2">
        <v>924.76</v>
      </c>
      <c r="H976" s="2" t="s">
        <v>6042</v>
      </c>
      <c r="I976" s="2" t="s">
        <v>6043</v>
      </c>
      <c r="J976" s="2" t="s">
        <v>6044</v>
      </c>
      <c r="K976" s="2" t="s">
        <v>573</v>
      </c>
      <c r="M976" s="2">
        <v>74.0</v>
      </c>
      <c r="N976" s="2">
        <v>4867.58</v>
      </c>
      <c r="O976" s="2" t="s">
        <v>28</v>
      </c>
      <c r="P976" s="2" t="s">
        <v>6045</v>
      </c>
      <c r="Q976" s="2" t="s">
        <v>6046</v>
      </c>
      <c r="T976" s="2" t="s">
        <v>2684</v>
      </c>
      <c r="U976" s="2" t="s">
        <v>46</v>
      </c>
    </row>
    <row r="977">
      <c r="A977" s="2">
        <v>976.0</v>
      </c>
      <c r="B977" s="2">
        <v>976.0</v>
      </c>
      <c r="C977" s="2">
        <v>976.0</v>
      </c>
      <c r="D977" s="3">
        <v>44274.0</v>
      </c>
      <c r="E977" s="2" t="s">
        <v>6047</v>
      </c>
      <c r="F977" s="2" t="s">
        <v>56</v>
      </c>
      <c r="G977" s="2">
        <v>509.54</v>
      </c>
      <c r="H977" s="2" t="s">
        <v>6048</v>
      </c>
      <c r="I977" s="2" t="s">
        <v>6049</v>
      </c>
      <c r="J977" s="2" t="s">
        <v>6050</v>
      </c>
      <c r="K977" s="2" t="s">
        <v>1708</v>
      </c>
      <c r="M977" s="2">
        <v>83.0</v>
      </c>
      <c r="N977" s="2">
        <v>2647.89</v>
      </c>
      <c r="O977" s="2" t="s">
        <v>52</v>
      </c>
      <c r="P977" s="2" t="s">
        <v>1641</v>
      </c>
      <c r="Q977" s="2" t="s">
        <v>6051</v>
      </c>
      <c r="T977" s="2" t="s">
        <v>650</v>
      </c>
      <c r="U977" s="2" t="s">
        <v>46</v>
      </c>
    </row>
    <row r="978">
      <c r="A978" s="2">
        <v>977.0</v>
      </c>
      <c r="B978" s="2">
        <v>977.0</v>
      </c>
      <c r="C978" s="2">
        <v>977.0</v>
      </c>
      <c r="D978" s="3">
        <v>43891.0</v>
      </c>
      <c r="E978" s="2" t="s">
        <v>6052</v>
      </c>
      <c r="F978" s="2" t="s">
        <v>332</v>
      </c>
      <c r="G978" s="2">
        <v>282.5</v>
      </c>
      <c r="H978" s="2" t="s">
        <v>6053</v>
      </c>
      <c r="I978" s="2" t="s">
        <v>6054</v>
      </c>
      <c r="J978" s="2" t="s">
        <v>6055</v>
      </c>
      <c r="K978" s="2" t="s">
        <v>241</v>
      </c>
      <c r="L978" s="2">
        <v>6017.0</v>
      </c>
      <c r="M978" s="2">
        <v>54.0</v>
      </c>
      <c r="N978" s="2">
        <v>6828.11</v>
      </c>
      <c r="O978" s="2" t="s">
        <v>52</v>
      </c>
      <c r="P978" s="2" t="s">
        <v>300</v>
      </c>
      <c r="Q978" s="2" t="s">
        <v>6056</v>
      </c>
      <c r="T978" s="2" t="s">
        <v>32</v>
      </c>
      <c r="U978" s="2" t="s">
        <v>46</v>
      </c>
    </row>
    <row r="979">
      <c r="A979" s="2">
        <v>978.0</v>
      </c>
      <c r="B979" s="2">
        <v>978.0</v>
      </c>
      <c r="C979" s="2">
        <v>978.0</v>
      </c>
      <c r="D979" s="3">
        <v>44376.0</v>
      </c>
      <c r="E979" s="2" t="s">
        <v>47</v>
      </c>
      <c r="F979" s="2" t="s">
        <v>48</v>
      </c>
      <c r="G979" s="2">
        <v>535.85</v>
      </c>
      <c r="H979" s="2" t="s">
        <v>6057</v>
      </c>
      <c r="I979" s="2" t="s">
        <v>6058</v>
      </c>
      <c r="J979" s="2" t="s">
        <v>6059</v>
      </c>
      <c r="K979" s="2" t="s">
        <v>26</v>
      </c>
      <c r="L979" s="2" t="s">
        <v>6060</v>
      </c>
      <c r="M979" s="2">
        <v>54.0</v>
      </c>
      <c r="N979" s="2">
        <v>7589.96</v>
      </c>
      <c r="O979" s="2" t="s">
        <v>28</v>
      </c>
      <c r="P979" s="2" t="s">
        <v>6061</v>
      </c>
      <c r="Q979" s="2" t="s">
        <v>6062</v>
      </c>
      <c r="R979" s="2" t="s">
        <v>1575</v>
      </c>
      <c r="S979" s="2" t="s">
        <v>6063</v>
      </c>
      <c r="T979" s="2" t="s">
        <v>39</v>
      </c>
      <c r="U979" s="2" t="s">
        <v>46</v>
      </c>
    </row>
    <row r="980">
      <c r="A980" s="2">
        <v>979.0</v>
      </c>
      <c r="B980" s="2">
        <v>979.0</v>
      </c>
      <c r="C980" s="2">
        <v>979.0</v>
      </c>
      <c r="D980" s="3">
        <v>44228.0</v>
      </c>
      <c r="E980" s="2" t="s">
        <v>5149</v>
      </c>
      <c r="F980" s="2" t="s">
        <v>272</v>
      </c>
      <c r="G980" s="2">
        <v>576.04</v>
      </c>
      <c r="H980" s="2" t="s">
        <v>6064</v>
      </c>
      <c r="I980" s="2" t="s">
        <v>6065</v>
      </c>
      <c r="J980" s="2" t="s">
        <v>6066</v>
      </c>
      <c r="K980" s="2" t="s">
        <v>2963</v>
      </c>
      <c r="M980" s="2">
        <v>91.0</v>
      </c>
      <c r="N980" s="2">
        <v>8025.79</v>
      </c>
      <c r="O980" s="2" t="s">
        <v>41</v>
      </c>
      <c r="P980" s="2" t="s">
        <v>454</v>
      </c>
      <c r="Q980" s="2" t="s">
        <v>6067</v>
      </c>
      <c r="T980" s="2" t="s">
        <v>1180</v>
      </c>
      <c r="U980" s="2" t="s">
        <v>71</v>
      </c>
    </row>
    <row r="981">
      <c r="A981" s="2">
        <v>980.0</v>
      </c>
      <c r="B981" s="2">
        <v>980.0</v>
      </c>
      <c r="C981" s="2">
        <v>980.0</v>
      </c>
      <c r="D981" s="3">
        <v>44196.0</v>
      </c>
      <c r="E981" s="2" t="s">
        <v>6068</v>
      </c>
      <c r="F981" s="2" t="s">
        <v>73</v>
      </c>
      <c r="G981" s="2">
        <v>458.29</v>
      </c>
      <c r="H981" s="2" t="s">
        <v>5294</v>
      </c>
      <c r="I981" s="2" t="s">
        <v>6069</v>
      </c>
      <c r="J981" s="2" t="s">
        <v>6070</v>
      </c>
      <c r="K981" s="2" t="s">
        <v>1697</v>
      </c>
      <c r="L981" s="2">
        <v>1315.0</v>
      </c>
      <c r="M981" s="2">
        <v>37.0</v>
      </c>
      <c r="N981" s="2">
        <v>2865.92</v>
      </c>
      <c r="O981" s="2" t="s">
        <v>52</v>
      </c>
      <c r="P981" s="2" t="s">
        <v>424</v>
      </c>
      <c r="Q981" s="2" t="s">
        <v>6071</v>
      </c>
      <c r="R981" s="2" t="s">
        <v>1700</v>
      </c>
      <c r="T981" s="2" t="s">
        <v>1008</v>
      </c>
      <c r="U981" s="2" t="s">
        <v>46</v>
      </c>
    </row>
    <row r="982">
      <c r="A982" s="2">
        <v>981.0</v>
      </c>
      <c r="B982" s="2">
        <v>981.0</v>
      </c>
      <c r="C982" s="2">
        <v>981.0</v>
      </c>
      <c r="D982" s="3">
        <v>44371.0</v>
      </c>
      <c r="E982" s="2" t="s">
        <v>6072</v>
      </c>
      <c r="F982" s="2" t="s">
        <v>73</v>
      </c>
      <c r="G982" s="2">
        <v>700.26</v>
      </c>
      <c r="H982" s="2" t="s">
        <v>6073</v>
      </c>
      <c r="I982" s="2" t="s">
        <v>6074</v>
      </c>
      <c r="J982" s="2" t="s">
        <v>6075</v>
      </c>
      <c r="K982" s="2" t="s">
        <v>257</v>
      </c>
      <c r="L982" s="2" t="s">
        <v>6076</v>
      </c>
      <c r="M982" s="2">
        <v>1.0</v>
      </c>
      <c r="N982" s="2">
        <v>9057.31</v>
      </c>
      <c r="O982" s="2" t="s">
        <v>28</v>
      </c>
      <c r="P982" s="2" t="s">
        <v>6077</v>
      </c>
      <c r="Q982" s="2" t="s">
        <v>6078</v>
      </c>
      <c r="R982" s="2" t="s">
        <v>6079</v>
      </c>
      <c r="T982" s="2" t="s">
        <v>1227</v>
      </c>
      <c r="U982" s="2" t="s">
        <v>71</v>
      </c>
    </row>
    <row r="983">
      <c r="A983" s="2">
        <v>982.0</v>
      </c>
      <c r="B983" s="2">
        <v>982.0</v>
      </c>
      <c r="C983" s="2">
        <v>982.0</v>
      </c>
      <c r="D983" s="3">
        <v>44056.0</v>
      </c>
      <c r="E983" s="2" t="s">
        <v>6080</v>
      </c>
      <c r="F983" s="2" t="s">
        <v>3769</v>
      </c>
      <c r="G983" s="2">
        <v>771.97</v>
      </c>
      <c r="H983" s="2" t="s">
        <v>6081</v>
      </c>
      <c r="I983" s="2" t="s">
        <v>6082</v>
      </c>
      <c r="J983" s="2" t="s">
        <v>6083</v>
      </c>
      <c r="K983" s="2" t="s">
        <v>585</v>
      </c>
      <c r="M983" s="2">
        <v>79.0</v>
      </c>
      <c r="N983" s="2">
        <v>611.57</v>
      </c>
      <c r="O983" s="2" t="s">
        <v>52</v>
      </c>
      <c r="P983" s="2" t="s">
        <v>6084</v>
      </c>
      <c r="Q983" s="2" t="s">
        <v>6085</v>
      </c>
      <c r="T983" s="2" t="s">
        <v>225</v>
      </c>
      <c r="U983" s="2" t="s">
        <v>71</v>
      </c>
    </row>
    <row r="984">
      <c r="A984" s="2">
        <v>983.0</v>
      </c>
      <c r="B984" s="2">
        <v>983.0</v>
      </c>
      <c r="C984" s="2">
        <v>983.0</v>
      </c>
      <c r="D984" s="3">
        <v>43961.0</v>
      </c>
      <c r="E984" s="2" t="s">
        <v>3552</v>
      </c>
      <c r="F984" s="2" t="s">
        <v>3553</v>
      </c>
      <c r="G984" s="2">
        <v>67.36</v>
      </c>
      <c r="H984" s="2" t="s">
        <v>6086</v>
      </c>
      <c r="I984" s="2" t="s">
        <v>6087</v>
      </c>
      <c r="J984" s="2" t="s">
        <v>6088</v>
      </c>
      <c r="K984" s="2" t="s">
        <v>393</v>
      </c>
      <c r="M984" s="2">
        <v>74.0</v>
      </c>
      <c r="N984" s="2">
        <v>5247.18</v>
      </c>
      <c r="O984" s="2" t="s">
        <v>41</v>
      </c>
      <c r="P984" s="2" t="s">
        <v>6089</v>
      </c>
      <c r="Q984" s="2" t="s">
        <v>6090</v>
      </c>
      <c r="S984" s="2">
        <v>243418.0</v>
      </c>
      <c r="T984" s="2" t="s">
        <v>68</v>
      </c>
      <c r="U984" s="2" t="s">
        <v>33</v>
      </c>
    </row>
    <row r="985">
      <c r="A985" s="2">
        <v>984.0</v>
      </c>
      <c r="B985" s="2">
        <v>984.0</v>
      </c>
      <c r="C985" s="2">
        <v>984.0</v>
      </c>
      <c r="D985" s="3">
        <v>44210.0</v>
      </c>
      <c r="E985" s="2" t="s">
        <v>303</v>
      </c>
      <c r="F985" s="2" t="s">
        <v>22</v>
      </c>
      <c r="G985" s="2">
        <v>472.23</v>
      </c>
      <c r="H985" s="2" t="s">
        <v>6091</v>
      </c>
      <c r="I985" s="2" t="s">
        <v>6092</v>
      </c>
      <c r="J985" s="2" t="s">
        <v>6093</v>
      </c>
      <c r="K985" s="2" t="s">
        <v>119</v>
      </c>
      <c r="M985" s="2">
        <v>33.0</v>
      </c>
      <c r="N985" s="2">
        <v>9741.81</v>
      </c>
      <c r="O985" s="2" t="s">
        <v>41</v>
      </c>
      <c r="P985" s="2" t="s">
        <v>469</v>
      </c>
      <c r="Q985" s="2" t="s">
        <v>6094</v>
      </c>
      <c r="T985" s="2" t="s">
        <v>292</v>
      </c>
      <c r="U985" s="2" t="s">
        <v>71</v>
      </c>
    </row>
    <row r="986">
      <c r="A986" s="2">
        <v>985.0</v>
      </c>
      <c r="B986" s="2">
        <v>985.0</v>
      </c>
      <c r="C986" s="2">
        <v>985.0</v>
      </c>
      <c r="D986" s="3">
        <v>43964.0</v>
      </c>
      <c r="E986" s="2" t="s">
        <v>6095</v>
      </c>
      <c r="F986" s="2" t="s">
        <v>73</v>
      </c>
      <c r="G986" s="2">
        <v>172.5</v>
      </c>
      <c r="H986" s="2" t="s">
        <v>6096</v>
      </c>
      <c r="I986" s="2" t="s">
        <v>6097</v>
      </c>
      <c r="J986" s="2" t="s">
        <v>6098</v>
      </c>
      <c r="K986" s="2" t="s">
        <v>1603</v>
      </c>
      <c r="L986" s="2">
        <v>1608.0</v>
      </c>
      <c r="M986" s="2">
        <v>26.0</v>
      </c>
      <c r="N986" s="2">
        <v>3211.12</v>
      </c>
      <c r="O986" s="2" t="s">
        <v>28</v>
      </c>
      <c r="P986" s="2" t="s">
        <v>6099</v>
      </c>
      <c r="Q986" s="2" t="s">
        <v>1604</v>
      </c>
      <c r="R986" s="2" t="s">
        <v>1605</v>
      </c>
      <c r="S986" s="2" t="s">
        <v>6100</v>
      </c>
      <c r="T986" s="2" t="s">
        <v>379</v>
      </c>
      <c r="U986" s="2" t="s">
        <v>71</v>
      </c>
    </row>
    <row r="987">
      <c r="A987" s="2">
        <v>986.0</v>
      </c>
      <c r="B987" s="2">
        <v>986.0</v>
      </c>
      <c r="C987" s="2">
        <v>986.0</v>
      </c>
      <c r="D987" s="3">
        <v>44204.0</v>
      </c>
      <c r="E987" s="2" t="s">
        <v>1686</v>
      </c>
      <c r="F987" s="2" t="s">
        <v>501</v>
      </c>
      <c r="G987" s="2">
        <v>892.85</v>
      </c>
      <c r="H987" s="2" t="s">
        <v>6101</v>
      </c>
      <c r="I987" s="2" t="s">
        <v>6102</v>
      </c>
      <c r="J987" s="2" t="s">
        <v>6103</v>
      </c>
      <c r="K987" s="2" t="s">
        <v>106</v>
      </c>
      <c r="L987" s="2" t="s">
        <v>6104</v>
      </c>
      <c r="M987" s="2">
        <v>9.0</v>
      </c>
      <c r="N987" s="2">
        <v>8219.28</v>
      </c>
      <c r="O987" s="2" t="s">
        <v>28</v>
      </c>
      <c r="P987" s="2" t="s">
        <v>543</v>
      </c>
      <c r="Q987" s="2" t="s">
        <v>6105</v>
      </c>
      <c r="T987" s="2" t="s">
        <v>119</v>
      </c>
      <c r="U987" s="2" t="s">
        <v>46</v>
      </c>
    </row>
    <row r="988">
      <c r="A988" s="2">
        <v>987.0</v>
      </c>
      <c r="B988" s="2">
        <v>987.0</v>
      </c>
      <c r="C988" s="2">
        <v>987.0</v>
      </c>
      <c r="D988" s="3">
        <v>44255.0</v>
      </c>
      <c r="E988" s="2" t="s">
        <v>5486</v>
      </c>
      <c r="F988" s="2" t="s">
        <v>381</v>
      </c>
      <c r="G988" s="2">
        <v>945.94</v>
      </c>
      <c r="H988" s="2" t="s">
        <v>6106</v>
      </c>
      <c r="I988" s="2" t="s">
        <v>6107</v>
      </c>
      <c r="J988" s="2" t="s">
        <v>6108</v>
      </c>
      <c r="K988" s="2" t="s">
        <v>127</v>
      </c>
      <c r="L988" s="2" t="s">
        <v>6109</v>
      </c>
      <c r="M988" s="2">
        <v>84.0</v>
      </c>
      <c r="N988" s="2">
        <v>5531.13</v>
      </c>
      <c r="O988" s="2" t="s">
        <v>41</v>
      </c>
      <c r="P988" s="2" t="s">
        <v>6110</v>
      </c>
      <c r="Q988" s="2" t="s">
        <v>6111</v>
      </c>
      <c r="S988" s="2">
        <v>32221.0</v>
      </c>
      <c r="T988" s="2" t="s">
        <v>217</v>
      </c>
      <c r="U988" s="2" t="s">
        <v>71</v>
      </c>
    </row>
    <row r="989">
      <c r="A989" s="2">
        <v>988.0</v>
      </c>
      <c r="B989" s="2">
        <v>988.0</v>
      </c>
      <c r="C989" s="2">
        <v>988.0</v>
      </c>
      <c r="D989" s="3">
        <v>44078.0</v>
      </c>
      <c r="E989" s="2" t="s">
        <v>6112</v>
      </c>
      <c r="F989" s="2" t="s">
        <v>237</v>
      </c>
      <c r="G989" s="2">
        <v>47.06</v>
      </c>
      <c r="H989" s="2" t="s">
        <v>6113</v>
      </c>
      <c r="I989" s="2" t="s">
        <v>6114</v>
      </c>
      <c r="J989" s="2" t="s">
        <v>6115</v>
      </c>
      <c r="K989" s="2" t="s">
        <v>137</v>
      </c>
      <c r="M989" s="2">
        <v>16.0</v>
      </c>
      <c r="N989" s="2">
        <v>2190.68</v>
      </c>
      <c r="O989" s="2" t="s">
        <v>52</v>
      </c>
      <c r="P989" s="2" t="s">
        <v>600</v>
      </c>
      <c r="Q989" s="2" t="s">
        <v>6116</v>
      </c>
      <c r="S989" s="2" t="s">
        <v>6117</v>
      </c>
      <c r="T989" s="2" t="s">
        <v>39</v>
      </c>
      <c r="U989" s="2" t="s">
        <v>46</v>
      </c>
    </row>
    <row r="990">
      <c r="A990" s="2">
        <v>989.0</v>
      </c>
      <c r="B990" s="2">
        <v>989.0</v>
      </c>
      <c r="C990" s="2">
        <v>989.0</v>
      </c>
      <c r="D990" s="3">
        <v>44112.0</v>
      </c>
      <c r="E990" s="2" t="s">
        <v>6118</v>
      </c>
      <c r="F990" s="2" t="s">
        <v>992</v>
      </c>
      <c r="G990" s="2">
        <v>632.24</v>
      </c>
      <c r="H990" s="2" t="s">
        <v>6119</v>
      </c>
      <c r="I990" s="2" t="s">
        <v>6120</v>
      </c>
      <c r="J990" s="2" t="s">
        <v>6121</v>
      </c>
      <c r="K990" s="2" t="s">
        <v>241</v>
      </c>
      <c r="L990" s="2">
        <v>6513.0</v>
      </c>
      <c r="M990" s="2">
        <v>90.0</v>
      </c>
      <c r="N990" s="2">
        <v>4642.98</v>
      </c>
      <c r="O990" s="2" t="s">
        <v>41</v>
      </c>
      <c r="P990" s="2" t="s">
        <v>5719</v>
      </c>
      <c r="Q990" s="2" t="s">
        <v>6122</v>
      </c>
      <c r="S990" s="2">
        <v>19805.0</v>
      </c>
      <c r="T990" s="2" t="s">
        <v>101</v>
      </c>
      <c r="U990" s="2" t="s">
        <v>71</v>
      </c>
    </row>
    <row r="991">
      <c r="A991" s="2">
        <v>990.0</v>
      </c>
      <c r="B991" s="2">
        <v>990.0</v>
      </c>
      <c r="C991" s="2">
        <v>990.0</v>
      </c>
      <c r="D991" s="3">
        <v>43979.0</v>
      </c>
      <c r="E991" s="2" t="s">
        <v>6123</v>
      </c>
      <c r="F991" s="2" t="s">
        <v>501</v>
      </c>
      <c r="G991" s="2">
        <v>820.64</v>
      </c>
      <c r="H991" s="2" t="s">
        <v>6124</v>
      </c>
      <c r="I991" s="2" t="s">
        <v>6125</v>
      </c>
      <c r="J991" s="2" t="s">
        <v>6126</v>
      </c>
      <c r="K991" s="2" t="s">
        <v>119</v>
      </c>
      <c r="M991" s="2">
        <v>1.0</v>
      </c>
      <c r="N991" s="2">
        <v>6803.85</v>
      </c>
      <c r="O991" s="2" t="s">
        <v>52</v>
      </c>
      <c r="P991" s="2" t="s">
        <v>1057</v>
      </c>
      <c r="Q991" s="2" t="s">
        <v>6127</v>
      </c>
      <c r="T991" s="2" t="s">
        <v>714</v>
      </c>
      <c r="U991" s="2" t="s">
        <v>46</v>
      </c>
    </row>
    <row r="992">
      <c r="A992" s="2">
        <v>991.0</v>
      </c>
      <c r="B992" s="2">
        <v>991.0</v>
      </c>
      <c r="C992" s="2">
        <v>991.0</v>
      </c>
      <c r="D992" s="3">
        <v>44521.0</v>
      </c>
      <c r="E992" s="2" t="s">
        <v>6128</v>
      </c>
      <c r="F992" s="2" t="s">
        <v>35</v>
      </c>
      <c r="G992" s="2">
        <v>825.53</v>
      </c>
      <c r="H992" s="2" t="s">
        <v>6129</v>
      </c>
      <c r="I992" s="2" t="s">
        <v>6130</v>
      </c>
      <c r="J992" s="2" t="s">
        <v>6131</v>
      </c>
      <c r="K992" s="2" t="s">
        <v>257</v>
      </c>
      <c r="L992" s="2" t="s">
        <v>6132</v>
      </c>
      <c r="M992" s="2">
        <v>93.0</v>
      </c>
      <c r="N992" s="2">
        <v>3755.48</v>
      </c>
      <c r="O992" s="2" t="s">
        <v>52</v>
      </c>
      <c r="P992" s="2" t="s">
        <v>6133</v>
      </c>
      <c r="Q992" s="2" t="s">
        <v>6134</v>
      </c>
      <c r="R992" s="2" t="s">
        <v>2223</v>
      </c>
      <c r="S992" s="2">
        <v>186304.0</v>
      </c>
      <c r="T992" s="2" t="s">
        <v>68</v>
      </c>
      <c r="U992" s="2" t="s">
        <v>46</v>
      </c>
    </row>
    <row r="993">
      <c r="A993" s="2">
        <v>992.0</v>
      </c>
      <c r="B993" s="2">
        <v>992.0</v>
      </c>
      <c r="C993" s="2">
        <v>992.0</v>
      </c>
      <c r="D993" s="3">
        <v>44544.0</v>
      </c>
      <c r="E993" s="2" t="s">
        <v>6135</v>
      </c>
      <c r="F993" s="2" t="s">
        <v>381</v>
      </c>
      <c r="G993" s="2">
        <v>528.8</v>
      </c>
      <c r="H993" s="2" t="s">
        <v>6136</v>
      </c>
      <c r="I993" s="2" t="s">
        <v>6137</v>
      </c>
      <c r="J993" s="2" t="s">
        <v>6138</v>
      </c>
      <c r="K993" s="2" t="s">
        <v>101</v>
      </c>
      <c r="L993" s="2">
        <v>2298.0</v>
      </c>
      <c r="M993" s="2">
        <v>78.0</v>
      </c>
      <c r="N993" s="2">
        <v>5257.2</v>
      </c>
      <c r="O993" s="2" t="s">
        <v>28</v>
      </c>
      <c r="P993" s="2" t="s">
        <v>6139</v>
      </c>
      <c r="Q993" s="2" t="s">
        <v>1691</v>
      </c>
      <c r="R993" s="2" t="s">
        <v>1692</v>
      </c>
      <c r="T993" s="2" t="s">
        <v>32</v>
      </c>
      <c r="U993" s="2" t="s">
        <v>33</v>
      </c>
    </row>
    <row r="994">
      <c r="A994" s="2">
        <v>993.0</v>
      </c>
      <c r="B994" s="2">
        <v>993.0</v>
      </c>
      <c r="C994" s="2">
        <v>993.0</v>
      </c>
      <c r="D994" s="3">
        <v>44366.0</v>
      </c>
      <c r="E994" s="2" t="s">
        <v>6140</v>
      </c>
      <c r="F994" s="2" t="s">
        <v>22</v>
      </c>
      <c r="G994" s="2">
        <v>278.13</v>
      </c>
      <c r="H994" s="2" t="s">
        <v>2317</v>
      </c>
      <c r="I994" s="2" t="s">
        <v>6141</v>
      </c>
      <c r="J994" s="2" t="s">
        <v>6142</v>
      </c>
      <c r="K994" s="2" t="s">
        <v>32</v>
      </c>
      <c r="M994" s="2">
        <v>22.0</v>
      </c>
      <c r="N994" s="2">
        <v>1811.91</v>
      </c>
      <c r="O994" s="2" t="s">
        <v>41</v>
      </c>
      <c r="P994" s="2" t="s">
        <v>277</v>
      </c>
      <c r="Q994" s="2" t="s">
        <v>6143</v>
      </c>
      <c r="S994" s="2">
        <v>54140.0</v>
      </c>
      <c r="T994" s="2" t="s">
        <v>627</v>
      </c>
      <c r="U994" s="2" t="s">
        <v>71</v>
      </c>
    </row>
    <row r="995">
      <c r="A995" s="2">
        <v>994.0</v>
      </c>
      <c r="B995" s="2">
        <v>994.0</v>
      </c>
      <c r="C995" s="2">
        <v>994.0</v>
      </c>
      <c r="D995" s="3">
        <v>44360.0</v>
      </c>
      <c r="E995" s="2" t="s">
        <v>1841</v>
      </c>
      <c r="F995" s="2" t="s">
        <v>73</v>
      </c>
      <c r="G995" s="2">
        <v>595.0</v>
      </c>
      <c r="H995" s="2" t="s">
        <v>786</v>
      </c>
      <c r="I995" s="2" t="s">
        <v>6144</v>
      </c>
      <c r="J995" s="2" t="s">
        <v>6145</v>
      </c>
      <c r="K995" s="2" t="s">
        <v>228</v>
      </c>
      <c r="M995" s="2">
        <v>22.0</v>
      </c>
      <c r="N995" s="2">
        <v>4651.24</v>
      </c>
      <c r="O995" s="2" t="s">
        <v>52</v>
      </c>
      <c r="P995" s="2" t="s">
        <v>543</v>
      </c>
      <c r="Q995" s="2" t="s">
        <v>6146</v>
      </c>
      <c r="T995" s="2" t="s">
        <v>119</v>
      </c>
      <c r="U995" s="2" t="s">
        <v>71</v>
      </c>
    </row>
    <row r="996">
      <c r="A996" s="2">
        <v>995.0</v>
      </c>
      <c r="B996" s="2">
        <v>995.0</v>
      </c>
      <c r="C996" s="2">
        <v>995.0</v>
      </c>
      <c r="D996" s="3">
        <v>43986.0</v>
      </c>
      <c r="E996" s="2" t="s">
        <v>6147</v>
      </c>
      <c r="F996" s="2" t="s">
        <v>183</v>
      </c>
      <c r="G996" s="2">
        <v>557.78</v>
      </c>
      <c r="H996" s="2" t="s">
        <v>6148</v>
      </c>
      <c r="I996" s="2" t="s">
        <v>6149</v>
      </c>
      <c r="J996" s="2" t="s">
        <v>6150</v>
      </c>
      <c r="K996" s="2" t="s">
        <v>127</v>
      </c>
      <c r="L996" s="2" t="s">
        <v>6151</v>
      </c>
      <c r="M996" s="2">
        <v>88.0</v>
      </c>
      <c r="N996" s="2">
        <v>9689.65</v>
      </c>
      <c r="O996" s="2" t="s">
        <v>41</v>
      </c>
      <c r="P996" s="2" t="s">
        <v>863</v>
      </c>
      <c r="Q996" s="2" t="s">
        <v>6152</v>
      </c>
      <c r="S996" s="2">
        <v>6414.0</v>
      </c>
      <c r="T996" s="2" t="s">
        <v>241</v>
      </c>
      <c r="U996" s="2" t="s">
        <v>71</v>
      </c>
    </row>
    <row r="997">
      <c r="A997" s="2">
        <v>996.0</v>
      </c>
      <c r="B997" s="2">
        <v>996.0</v>
      </c>
      <c r="C997" s="2">
        <v>996.0</v>
      </c>
      <c r="D997" s="3">
        <v>43885.0</v>
      </c>
      <c r="E997" s="2" t="s">
        <v>6153</v>
      </c>
      <c r="F997" s="2" t="s">
        <v>623</v>
      </c>
      <c r="G997" s="2">
        <v>428.97</v>
      </c>
      <c r="H997" s="2" t="s">
        <v>6154</v>
      </c>
      <c r="I997" s="2" t="s">
        <v>6155</v>
      </c>
      <c r="J997" s="2" t="s">
        <v>6156</v>
      </c>
      <c r="K997" s="2" t="s">
        <v>1826</v>
      </c>
      <c r="M997" s="2">
        <v>88.0</v>
      </c>
      <c r="N997" s="2">
        <v>2735.73</v>
      </c>
      <c r="O997" s="2" t="s">
        <v>41</v>
      </c>
      <c r="P997" s="2" t="s">
        <v>6157</v>
      </c>
      <c r="Q997" s="2" t="s">
        <v>6158</v>
      </c>
      <c r="T997" s="2" t="s">
        <v>137</v>
      </c>
      <c r="U997" s="2" t="s">
        <v>71</v>
      </c>
    </row>
    <row r="998">
      <c r="A998" s="2">
        <v>997.0</v>
      </c>
      <c r="B998" s="2">
        <v>997.0</v>
      </c>
      <c r="C998" s="2">
        <v>997.0</v>
      </c>
      <c r="D998" s="3">
        <v>44202.0</v>
      </c>
      <c r="E998" s="2" t="s">
        <v>6159</v>
      </c>
      <c r="F998" s="2" t="s">
        <v>1027</v>
      </c>
      <c r="G998" s="2">
        <v>433.33</v>
      </c>
      <c r="H998" s="2" t="s">
        <v>1332</v>
      </c>
      <c r="I998" s="2" t="s">
        <v>6160</v>
      </c>
      <c r="J998" s="2" t="s">
        <v>6161</v>
      </c>
      <c r="K998" s="2" t="s">
        <v>529</v>
      </c>
      <c r="L998" s="2">
        <v>87076.0</v>
      </c>
      <c r="M998" s="2">
        <v>52.0</v>
      </c>
      <c r="N998" s="2">
        <v>9056.99</v>
      </c>
      <c r="O998" s="2" t="s">
        <v>28</v>
      </c>
      <c r="P998" s="2" t="s">
        <v>6162</v>
      </c>
      <c r="Q998" s="2" t="s">
        <v>6163</v>
      </c>
      <c r="R998" s="2" t="s">
        <v>948</v>
      </c>
      <c r="T998" s="2" t="s">
        <v>137</v>
      </c>
      <c r="U998" s="2" t="s">
        <v>33</v>
      </c>
    </row>
    <row r="999">
      <c r="A999" s="2">
        <v>998.0</v>
      </c>
      <c r="B999" s="2">
        <v>998.0</v>
      </c>
      <c r="C999" s="2">
        <v>998.0</v>
      </c>
      <c r="D999" s="3">
        <v>44171.0</v>
      </c>
      <c r="E999" s="2" t="s">
        <v>6164</v>
      </c>
      <c r="F999" s="2" t="s">
        <v>183</v>
      </c>
      <c r="G999" s="2">
        <v>147.89</v>
      </c>
      <c r="H999" s="2" t="s">
        <v>6165</v>
      </c>
      <c r="I999" s="2" t="s">
        <v>6166</v>
      </c>
      <c r="J999" s="2" t="s">
        <v>6167</v>
      </c>
      <c r="K999" s="2" t="s">
        <v>1492</v>
      </c>
      <c r="L999" s="2" t="s">
        <v>4452</v>
      </c>
      <c r="M999" s="2">
        <v>96.0</v>
      </c>
      <c r="N999" s="2">
        <v>2209.09</v>
      </c>
      <c r="O999" s="2" t="s">
        <v>28</v>
      </c>
      <c r="P999" s="2" t="s">
        <v>6168</v>
      </c>
      <c r="Q999" s="2" t="s">
        <v>6169</v>
      </c>
      <c r="T999" s="2" t="s">
        <v>434</v>
      </c>
      <c r="U999" s="2" t="s">
        <v>33</v>
      </c>
    </row>
    <row r="1000">
      <c r="A1000" s="2">
        <v>999.0</v>
      </c>
      <c r="B1000" s="2">
        <v>999.0</v>
      </c>
      <c r="C1000" s="2">
        <v>999.0</v>
      </c>
      <c r="D1000" s="3">
        <v>43936.0</v>
      </c>
      <c r="E1000" s="2" t="s">
        <v>5962</v>
      </c>
      <c r="F1000" s="2" t="s">
        <v>35</v>
      </c>
      <c r="G1000" s="2">
        <v>177.07</v>
      </c>
      <c r="H1000" s="2" t="s">
        <v>6170</v>
      </c>
      <c r="I1000" s="2" t="s">
        <v>6171</v>
      </c>
      <c r="J1000" s="2" t="s">
        <v>6172</v>
      </c>
      <c r="K1000" s="2" t="s">
        <v>1008</v>
      </c>
      <c r="M1000" s="2">
        <v>56.0</v>
      </c>
      <c r="N1000" s="2">
        <v>9565.57</v>
      </c>
      <c r="O1000" s="2" t="s">
        <v>52</v>
      </c>
      <c r="P1000" s="2" t="s">
        <v>6173</v>
      </c>
      <c r="Q1000" s="2" t="s">
        <v>6174</v>
      </c>
      <c r="T1000" s="2" t="s">
        <v>119</v>
      </c>
      <c r="U1000" s="2" t="s">
        <v>46</v>
      </c>
    </row>
    <row r="1001">
      <c r="A1001" s="2">
        <v>1000.0</v>
      </c>
      <c r="B1001" s="2">
        <v>1000.0</v>
      </c>
      <c r="C1001" s="2">
        <v>1000.0</v>
      </c>
      <c r="D1001" s="3">
        <v>44023.0</v>
      </c>
      <c r="E1001" s="2" t="s">
        <v>6175</v>
      </c>
      <c r="F1001" s="2" t="s">
        <v>237</v>
      </c>
      <c r="G1001" s="2">
        <v>587.13</v>
      </c>
      <c r="H1001" s="2" t="s">
        <v>6176</v>
      </c>
      <c r="I1001" s="2" t="s">
        <v>6177</v>
      </c>
      <c r="J1001" s="2" t="s">
        <v>6178</v>
      </c>
      <c r="K1001" s="2" t="s">
        <v>241</v>
      </c>
      <c r="L1001" s="2">
        <v>3811.0</v>
      </c>
      <c r="M1001" s="2">
        <v>95.0</v>
      </c>
      <c r="N1001" s="2">
        <v>8822.23</v>
      </c>
      <c r="O1001" s="2" t="s">
        <v>52</v>
      </c>
      <c r="P1001" s="2" t="s">
        <v>6179</v>
      </c>
      <c r="Q1001" s="2" t="s">
        <v>6180</v>
      </c>
      <c r="S1001" s="2">
        <v>29970.0</v>
      </c>
      <c r="T1001" s="2" t="s">
        <v>529</v>
      </c>
      <c r="U1001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2.0"/>
    <col customWidth="1" min="3" max="3" width="19.13"/>
    <col customWidth="1" min="4" max="4" width="14.38"/>
    <col customWidth="1" min="5" max="5" width="17.13"/>
    <col customWidth="1" min="6" max="6" width="26.75"/>
  </cols>
  <sheetData>
    <row r="1">
      <c r="A1" s="4" t="s">
        <v>6181</v>
      </c>
      <c r="B1" s="4" t="s">
        <v>6182</v>
      </c>
      <c r="C1" s="4" t="s">
        <v>6183</v>
      </c>
      <c r="D1" s="4" t="s">
        <v>6184</v>
      </c>
      <c r="E1" s="4" t="s">
        <v>6185</v>
      </c>
      <c r="F1" s="4" t="s">
        <v>6186</v>
      </c>
      <c r="G1" s="5"/>
    </row>
    <row r="2">
      <c r="A2" s="6" t="str">
        <f>IFERROR(__xludf.DUMMYFUNCTION("UNIQUE('Raw Data Sales'!E2:E1000)"),"Ultra-Thin Laptop Sleeve")</f>
        <v>Ultra-Thin Laptop Sleeve</v>
      </c>
      <c r="B2" s="6" t="str">
        <f t="array" ref="B2">INDEX('Raw Data Sales'!F2:F1000, MATCH(A2, 'Raw Data Sales'!E2:E1000, 0))</f>
        <v>Accessories</v>
      </c>
      <c r="C2" s="6">
        <f>SUMIFS('Raw Data Sales'!M2:M1000, 'Raw Data Sales'!E2:E1000,A2)</f>
        <v>54</v>
      </c>
      <c r="D2" s="6">
        <f>SUMIFS('Raw Data Sales'!N2:N1000, 'Raw Data Sales'!E2:E1000, A2)</f>
        <v>2305.58</v>
      </c>
      <c r="E2" s="6">
        <f>AVERAGEIFS('Raw Data Sales'!G2:G1000, 'Raw Data Sales'!E2:E1000, A2)</f>
        <v>440.91</v>
      </c>
      <c r="F2" s="6" t="str">
        <f t="shared" ref="F2:F344" si="1">INDEX(A2:A1995, MATCH(MAX(D2:D1995), D2:D1995, 0))</f>
        <v>Vanilla Protein Powder</v>
      </c>
    </row>
    <row r="3">
      <c r="A3" s="6" t="str">
        <f>IFERROR(__xludf.DUMMYFUNCTION("""COMPUTED_VALUE"""),"Sweet Chili Thai Sauce")</f>
        <v>Sweet Chili Thai Sauce</v>
      </c>
      <c r="B3" s="6" t="str">
        <f t="array" ref="B3">INDEX('Raw Data Sales'!F3:F1001, MATCH(A3, 'Raw Data Sales'!E3:E1001, 0))</f>
        <v>Food - Condiments</v>
      </c>
      <c r="C3" s="6">
        <f>SUMIFS('Raw Data Sales'!M3:M1001, 'Raw Data Sales'!E3:E1001,A3)</f>
        <v>75</v>
      </c>
      <c r="D3" s="6">
        <f>SUMIFS('Raw Data Sales'!N3:N1001, 'Raw Data Sales'!E3:E1001, A3)</f>
        <v>2292.82</v>
      </c>
      <c r="E3" s="6">
        <f>AVERAGEIFS('Raw Data Sales'!G3:G1001, 'Raw Data Sales'!E3:E1001, A3)</f>
        <v>914.38</v>
      </c>
      <c r="F3" s="6" t="str">
        <f t="shared" si="1"/>
        <v>Vanilla Protein Powder</v>
      </c>
    </row>
    <row r="4">
      <c r="A4" s="6" t="str">
        <f>IFERROR(__xludf.DUMMYFUNCTION("""COMPUTED_VALUE"""),"Wireless Induction Charger")</f>
        <v>Wireless Induction Charger</v>
      </c>
      <c r="B4" s="6" t="str">
        <f t="array" ref="B4">INDEX('Raw Data Sales'!F4:F1002, MATCH(A4, 'Raw Data Sales'!E4:E1002, 0))</f>
        <v>Electronics</v>
      </c>
      <c r="C4" s="6">
        <f>SUMIFS('Raw Data Sales'!M4:M1002, 'Raw Data Sales'!E4:E1002,A4)</f>
        <v>124</v>
      </c>
      <c r="D4" s="6">
        <f>SUMIFS('Raw Data Sales'!N4:N1002, 'Raw Data Sales'!E4:E1002, A4)</f>
        <v>7795.87</v>
      </c>
      <c r="E4" s="6">
        <f>AVERAGEIFS('Raw Data Sales'!G4:G1002, 'Raw Data Sales'!E4:E1002, A4)</f>
        <v>362.595</v>
      </c>
      <c r="F4" s="6" t="str">
        <f t="shared" si="1"/>
        <v>Vanilla Protein Powder</v>
      </c>
    </row>
    <row r="5">
      <c r="A5" s="6" t="str">
        <f>IFERROR(__xludf.DUMMYFUNCTION("""COMPUTED_VALUE"""),"Herbed Mushroom Risotto")</f>
        <v>Herbed Mushroom Risotto</v>
      </c>
      <c r="B5" s="6" t="str">
        <f t="array" ref="B5">INDEX('Raw Data Sales'!F5:F1003, MATCH(A5, 'Raw Data Sales'!E5:E1003, 0))</f>
        <v>Food - Prepared Foods</v>
      </c>
      <c r="C5" s="6">
        <f>SUMIFS('Raw Data Sales'!M5:M1003, 'Raw Data Sales'!E5:E1003,A5)</f>
        <v>146</v>
      </c>
      <c r="D5" s="6">
        <f>SUMIFS('Raw Data Sales'!N5:N1003, 'Raw Data Sales'!E5:E1003, A5)</f>
        <v>13739.44</v>
      </c>
      <c r="E5" s="6">
        <f>AVERAGEIFS('Raw Data Sales'!G5:G1003, 'Raw Data Sales'!E5:E1003, A5)</f>
        <v>470.28</v>
      </c>
      <c r="F5" s="6" t="str">
        <f t="shared" si="1"/>
        <v>Vanilla Protein Powder</v>
      </c>
    </row>
    <row r="6">
      <c r="A6" s="6" t="str">
        <f>IFERROR(__xludf.DUMMYFUNCTION("""COMPUTED_VALUE"""),"Pesto Pasta Sauce")</f>
        <v>Pesto Pasta Sauce</v>
      </c>
      <c r="B6" s="6" t="str">
        <f t="array" ref="B6">INDEX('Raw Data Sales'!F6:F1004, MATCH(A6, 'Raw Data Sales'!E6:E1004, 0))</f>
        <v>Food - Sauces</v>
      </c>
      <c r="C6" s="6">
        <f>SUMIFS('Raw Data Sales'!M6:M1004, 'Raw Data Sales'!E6:E1004,A6)</f>
        <v>25</v>
      </c>
      <c r="D6" s="6">
        <f>SUMIFS('Raw Data Sales'!N6:N1004, 'Raw Data Sales'!E6:E1004, A6)</f>
        <v>1881.39</v>
      </c>
      <c r="E6" s="6">
        <f>AVERAGEIFS('Raw Data Sales'!G6:G1004, 'Raw Data Sales'!E6:E1004, A6)</f>
        <v>162.61</v>
      </c>
      <c r="F6" s="6" t="str">
        <f t="shared" si="1"/>
        <v>Vanilla Protein Powder</v>
      </c>
    </row>
    <row r="7">
      <c r="A7" s="6" t="str">
        <f>IFERROR(__xludf.DUMMYFUNCTION("""COMPUTED_VALUE"""),"Digital Food Thermometer")</f>
        <v>Digital Food Thermometer</v>
      </c>
      <c r="B7" s="6" t="str">
        <f t="array" ref="B7">INDEX('Raw Data Sales'!F7:F1005, MATCH(A7, 'Raw Data Sales'!E7:E1005, 0))</f>
        <v>Kitchen</v>
      </c>
      <c r="C7" s="6">
        <f>SUMIFS('Raw Data Sales'!M7:M1005, 'Raw Data Sales'!E7:E1005,A7)</f>
        <v>36</v>
      </c>
      <c r="D7" s="6">
        <f>SUMIFS('Raw Data Sales'!N7:N1005, 'Raw Data Sales'!E7:E1005, A7)</f>
        <v>9400.42</v>
      </c>
      <c r="E7" s="6">
        <f>AVERAGEIFS('Raw Data Sales'!G7:G1005, 'Raw Data Sales'!E7:E1005, A7)</f>
        <v>536.91</v>
      </c>
      <c r="F7" s="6" t="str">
        <f t="shared" si="1"/>
        <v>Vanilla Protein Powder</v>
      </c>
    </row>
    <row r="8">
      <c r="A8" s="6" t="str">
        <f>IFERROR(__xludf.DUMMYFUNCTION("""COMPUTED_VALUE"""),"Vegetable Spiralizer")</f>
        <v>Vegetable Spiralizer</v>
      </c>
      <c r="B8" s="6" t="str">
        <f t="array" ref="B8">INDEX('Raw Data Sales'!F8:F1006, MATCH(A8, 'Raw Data Sales'!E8:E1006, 0))</f>
        <v>Kitchen</v>
      </c>
      <c r="C8" s="6">
        <f>SUMIFS('Raw Data Sales'!M8:M1006, 'Raw Data Sales'!E8:E1006,A8)</f>
        <v>69</v>
      </c>
      <c r="D8" s="6">
        <f>SUMIFS('Raw Data Sales'!N8:N1006, 'Raw Data Sales'!E8:E1006, A8)</f>
        <v>3048.02</v>
      </c>
      <c r="E8" s="6">
        <f>AVERAGEIFS('Raw Data Sales'!G8:G1006, 'Raw Data Sales'!E8:E1006, A8)</f>
        <v>993.98</v>
      </c>
      <c r="F8" s="6" t="str">
        <f t="shared" si="1"/>
        <v>Vanilla Protein Powder</v>
      </c>
    </row>
    <row r="9">
      <c r="A9" s="6" t="str">
        <f>IFERROR(__xludf.DUMMYFUNCTION("""COMPUTED_VALUE"""),"Travel Hair Straightener")</f>
        <v>Travel Hair Straightener</v>
      </c>
      <c r="B9" s="6" t="str">
        <f t="array" ref="B9">INDEX('Raw Data Sales'!F9:F1007, MATCH(A9, 'Raw Data Sales'!E9:E1007, 0))</f>
        <v>Beauty</v>
      </c>
      <c r="C9" s="6">
        <f>SUMIFS('Raw Data Sales'!M9:M1007, 'Raw Data Sales'!E9:E1007,A9)</f>
        <v>87</v>
      </c>
      <c r="D9" s="6">
        <f>SUMIFS('Raw Data Sales'!N9:N1007, 'Raw Data Sales'!E9:E1007, A9)</f>
        <v>2772.39</v>
      </c>
      <c r="E9" s="6">
        <f>AVERAGEIFS('Raw Data Sales'!G9:G1007, 'Raw Data Sales'!E9:E1007, A9)</f>
        <v>506.475</v>
      </c>
      <c r="F9" s="6" t="str">
        <f t="shared" si="1"/>
        <v>Vanilla Protein Powder</v>
      </c>
    </row>
    <row r="10">
      <c r="A10" s="6" t="str">
        <f>IFERROR(__xludf.DUMMYFUNCTION("""COMPUTED_VALUE"""),"Dog Collar")</f>
        <v>Dog Collar</v>
      </c>
      <c r="B10" s="6" t="str">
        <f t="array" ref="B10">INDEX('Raw Data Sales'!F10:F1008, MATCH(A10, 'Raw Data Sales'!E10:E1008, 0))</f>
        <v>Pets</v>
      </c>
      <c r="C10" s="6">
        <f>SUMIFS('Raw Data Sales'!M10:M1008, 'Raw Data Sales'!E10:E1008,A10)</f>
        <v>28</v>
      </c>
      <c r="D10" s="6">
        <f>SUMIFS('Raw Data Sales'!N10:N1008, 'Raw Data Sales'!E10:E1008, A10)</f>
        <v>9426.99</v>
      </c>
      <c r="E10" s="6">
        <f>AVERAGEIFS('Raw Data Sales'!G10:G1008, 'Raw Data Sales'!E10:E1008, A10)</f>
        <v>714.59</v>
      </c>
      <c r="F10" s="6" t="str">
        <f t="shared" si="1"/>
        <v>Vanilla Protein Powder</v>
      </c>
    </row>
    <row r="11">
      <c r="A11" s="6" t="str">
        <f>IFERROR(__xludf.DUMMYFUNCTION("""COMPUTED_VALUE"""),"Compact Electric Kettle")</f>
        <v>Compact Electric Kettle</v>
      </c>
      <c r="B11" s="6" t="str">
        <f t="array" ref="B11">INDEX('Raw Data Sales'!F11:F1009, MATCH(A11, 'Raw Data Sales'!E11:E1009, 0))</f>
        <v>Kitchen</v>
      </c>
      <c r="C11" s="6">
        <f>SUMIFS('Raw Data Sales'!M11:M1009, 'Raw Data Sales'!E11:E1009,A11)</f>
        <v>42</v>
      </c>
      <c r="D11" s="6">
        <f>SUMIFS('Raw Data Sales'!N11:N1009, 'Raw Data Sales'!E11:E1009, A11)</f>
        <v>12967.72</v>
      </c>
      <c r="E11" s="6">
        <f>AVERAGEIFS('Raw Data Sales'!G11:G1009, 'Raw Data Sales'!E11:E1009, A11)</f>
        <v>483.17</v>
      </c>
      <c r="F11" s="6" t="str">
        <f t="shared" si="1"/>
        <v>Vanilla Protein Powder</v>
      </c>
    </row>
    <row r="12">
      <c r="A12" s="6" t="str">
        <f>IFERROR(__xludf.DUMMYFUNCTION("""COMPUTED_VALUE"""),"Italian Herb Balsamic Marinade")</f>
        <v>Italian Herb Balsamic Marinade</v>
      </c>
      <c r="B12" s="6" t="str">
        <f t="array" ref="B12">INDEX('Raw Data Sales'!F12:F1010, MATCH(A12, 'Raw Data Sales'!E12:E1010, 0))</f>
        <v>Food - Condiments</v>
      </c>
      <c r="C12" s="6">
        <f>SUMIFS('Raw Data Sales'!M12:M1010, 'Raw Data Sales'!E12:E1010,A12)</f>
        <v>1</v>
      </c>
      <c r="D12" s="6">
        <f>SUMIFS('Raw Data Sales'!N12:N1010, 'Raw Data Sales'!E12:E1010, A12)</f>
        <v>5119.51</v>
      </c>
      <c r="E12" s="6">
        <f>AVERAGEIFS('Raw Data Sales'!G12:G1010, 'Raw Data Sales'!E12:E1010, A12)</f>
        <v>488.82</v>
      </c>
      <c r="F12" s="6" t="str">
        <f t="shared" si="1"/>
        <v>Vanilla Protein Powder</v>
      </c>
    </row>
    <row r="13">
      <c r="A13" s="6" t="str">
        <f>IFERROR(__xludf.DUMMYFUNCTION("""COMPUTED_VALUE"""),"Whipped Cream Cheese")</f>
        <v>Whipped Cream Cheese</v>
      </c>
      <c r="B13" s="6" t="str">
        <f t="array" ref="B13">INDEX('Raw Data Sales'!F13:F1011, MATCH(A13, 'Raw Data Sales'!E13:E1011, 0))</f>
        <v>Food - Dairy</v>
      </c>
      <c r="C13" s="6">
        <f>SUMIFS('Raw Data Sales'!M13:M1011, 'Raw Data Sales'!E13:E1011,A13)</f>
        <v>79</v>
      </c>
      <c r="D13" s="6">
        <f>SUMIFS('Raw Data Sales'!N13:N1011, 'Raw Data Sales'!E13:E1011, A13)</f>
        <v>6295.95</v>
      </c>
      <c r="E13" s="6">
        <f>AVERAGEIFS('Raw Data Sales'!G13:G1011, 'Raw Data Sales'!E13:E1011, A13)</f>
        <v>596.775</v>
      </c>
      <c r="F13" s="6" t="str">
        <f t="shared" si="1"/>
        <v>Vanilla Protein Powder</v>
      </c>
    </row>
    <row r="14">
      <c r="A14" s="6" t="str">
        <f>IFERROR(__xludf.DUMMYFUNCTION("""COMPUTED_VALUE"""),"Lemon Lime Sparkling Water")</f>
        <v>Lemon Lime Sparkling Water</v>
      </c>
      <c r="B14" s="6" t="str">
        <f t="array" ref="B14">INDEX('Raw Data Sales'!F14:F1012, MATCH(A14, 'Raw Data Sales'!E14:E1012, 0))</f>
        <v>Food - Beverages</v>
      </c>
      <c r="C14" s="6">
        <f>SUMIFS('Raw Data Sales'!M14:M1012, 'Raw Data Sales'!E14:E1012,A14)</f>
        <v>78</v>
      </c>
      <c r="D14" s="6">
        <f>SUMIFS('Raw Data Sales'!N14:N1012, 'Raw Data Sales'!E14:E1012, A14)</f>
        <v>7984.75</v>
      </c>
      <c r="E14" s="6">
        <f>AVERAGEIFS('Raw Data Sales'!G14:G1012, 'Raw Data Sales'!E14:E1012, A14)</f>
        <v>569.31</v>
      </c>
      <c r="F14" s="6" t="str">
        <f t="shared" si="1"/>
        <v>Vanilla Protein Powder</v>
      </c>
    </row>
    <row r="15">
      <c r="A15" s="6" t="str">
        <f>IFERROR(__xludf.DUMMYFUNCTION("""COMPUTED_VALUE"""),"Over-The-Door Shoe Organizer")</f>
        <v>Over-The-Door Shoe Organizer</v>
      </c>
      <c r="B15" s="6" t="str">
        <f t="array" ref="B15">INDEX('Raw Data Sales'!F15:F1013, MATCH(A15, 'Raw Data Sales'!E15:E1013, 0))</f>
        <v>Home</v>
      </c>
      <c r="C15" s="6">
        <f>SUMIFS('Raw Data Sales'!M15:M1013, 'Raw Data Sales'!E15:E1013,A15)</f>
        <v>148</v>
      </c>
      <c r="D15" s="6">
        <f>SUMIFS('Raw Data Sales'!N15:N1013, 'Raw Data Sales'!E15:E1013, A15)</f>
        <v>20858.34</v>
      </c>
      <c r="E15" s="6">
        <f>AVERAGEIFS('Raw Data Sales'!G15:G1013, 'Raw Data Sales'!E15:E1013, A15)</f>
        <v>692.1866667</v>
      </c>
      <c r="F15" s="6" t="str">
        <f t="shared" si="1"/>
        <v>Vanilla Protein Powder</v>
      </c>
    </row>
    <row r="16">
      <c r="A16" s="6" t="str">
        <f>IFERROR(__xludf.DUMMYFUNCTION("""COMPUTED_VALUE"""),"Trackpad for Laptop")</f>
        <v>Trackpad for Laptop</v>
      </c>
      <c r="B16" s="6" t="str">
        <f t="array" ref="B16">INDEX('Raw Data Sales'!F16:F1014, MATCH(A16, 'Raw Data Sales'!E16:E1014, 0))</f>
        <v>Accessories</v>
      </c>
      <c r="C16" s="6">
        <f>SUMIFS('Raw Data Sales'!M16:M1014, 'Raw Data Sales'!E16:E1014,A16)</f>
        <v>21</v>
      </c>
      <c r="D16" s="6">
        <f>SUMIFS('Raw Data Sales'!N16:N1014, 'Raw Data Sales'!E16:E1014, A16)</f>
        <v>6990.63</v>
      </c>
      <c r="E16" s="6">
        <f>AVERAGEIFS('Raw Data Sales'!G16:G1014, 'Raw Data Sales'!E16:E1014, A16)</f>
        <v>527.01</v>
      </c>
      <c r="F16" s="6" t="str">
        <f t="shared" si="1"/>
        <v>Vanilla Protein Powder</v>
      </c>
    </row>
    <row r="17">
      <c r="A17" s="6" t="str">
        <f>IFERROR(__xludf.DUMMYFUNCTION("""COMPUTED_VALUE"""),"Electric Griddle with Lid")</f>
        <v>Electric Griddle with Lid</v>
      </c>
      <c r="B17" s="6" t="str">
        <f t="array" ref="B17">INDEX('Raw Data Sales'!F17:F1015, MATCH(A17, 'Raw Data Sales'!E17:E1015, 0))</f>
        <v>Kitchen</v>
      </c>
      <c r="C17" s="6">
        <f>SUMIFS('Raw Data Sales'!M17:M1015, 'Raw Data Sales'!E17:E1015,A17)</f>
        <v>29</v>
      </c>
      <c r="D17" s="6">
        <f>SUMIFS('Raw Data Sales'!N17:N1015, 'Raw Data Sales'!E17:E1015, A17)</f>
        <v>4354.31</v>
      </c>
      <c r="E17" s="6">
        <f>AVERAGEIFS('Raw Data Sales'!G17:G1015, 'Raw Data Sales'!E17:E1015, A17)</f>
        <v>711.82</v>
      </c>
      <c r="F17" s="6" t="str">
        <f t="shared" si="1"/>
        <v>Vanilla Protein Powder</v>
      </c>
    </row>
    <row r="18">
      <c r="A18" s="6" t="str">
        <f>IFERROR(__xludf.DUMMYFUNCTION("""COMPUTED_VALUE"""),"Smart Plug")</f>
        <v>Smart Plug</v>
      </c>
      <c r="B18" s="6" t="str">
        <f t="array" ref="B18">INDEX('Raw Data Sales'!F18:F1016, MATCH(A18, 'Raw Data Sales'!E18:E1016, 0))</f>
        <v>Smart Home</v>
      </c>
      <c r="C18" s="6">
        <f>SUMIFS('Raw Data Sales'!M18:M1016, 'Raw Data Sales'!E18:E1016,A18)</f>
        <v>64</v>
      </c>
      <c r="D18" s="6">
        <f>SUMIFS('Raw Data Sales'!N18:N1016, 'Raw Data Sales'!E18:E1016, A18)</f>
        <v>6168.49</v>
      </c>
      <c r="E18" s="6">
        <f>AVERAGEIFS('Raw Data Sales'!G18:G1016, 'Raw Data Sales'!E18:E1016, A18)</f>
        <v>365.7</v>
      </c>
      <c r="F18" s="6" t="str">
        <f t="shared" si="1"/>
        <v>Vanilla Protein Powder</v>
      </c>
    </row>
    <row r="19">
      <c r="A19" s="6" t="str">
        <f>IFERROR(__xludf.DUMMYFUNCTION("""COMPUTED_VALUE"""),"Microfiber Cleaning Cloth Set")</f>
        <v>Microfiber Cleaning Cloth Set</v>
      </c>
      <c r="B19" s="6" t="str">
        <f t="array" ref="B19">INDEX('Raw Data Sales'!F19:F1017, MATCH(A19, 'Raw Data Sales'!E19:E1017, 0))</f>
        <v>Home</v>
      </c>
      <c r="C19" s="6">
        <f>SUMIFS('Raw Data Sales'!M19:M1017, 'Raw Data Sales'!E19:E1017,A19)</f>
        <v>25</v>
      </c>
      <c r="D19" s="6">
        <f>SUMIFS('Raw Data Sales'!N19:N1017, 'Raw Data Sales'!E19:E1017, A19)</f>
        <v>9172.97</v>
      </c>
      <c r="E19" s="6">
        <f>AVERAGEIFS('Raw Data Sales'!G19:G1017, 'Raw Data Sales'!E19:E1017, A19)</f>
        <v>364.43</v>
      </c>
      <c r="F19" s="6" t="str">
        <f t="shared" si="1"/>
        <v>Vanilla Protein Powder</v>
      </c>
    </row>
    <row r="20">
      <c r="A20" s="6" t="str">
        <f>IFERROR(__xludf.DUMMYFUNCTION("""COMPUTED_VALUE"""),"Mediterranean Couscous")</f>
        <v>Mediterranean Couscous</v>
      </c>
      <c r="B20" s="6" t="str">
        <f t="array" ref="B20">INDEX('Raw Data Sales'!F20:F1018, MATCH(A20, 'Raw Data Sales'!E20:E1018, 0))</f>
        <v>Food - Grains</v>
      </c>
      <c r="C20" s="6">
        <f>SUMIFS('Raw Data Sales'!M20:M1018, 'Raw Data Sales'!E20:E1018,A20)</f>
        <v>72</v>
      </c>
      <c r="D20" s="6">
        <f>SUMIFS('Raw Data Sales'!N20:N1018, 'Raw Data Sales'!E20:E1018, A20)</f>
        <v>9790.7</v>
      </c>
      <c r="E20" s="6">
        <f>AVERAGEIFS('Raw Data Sales'!G20:G1018, 'Raw Data Sales'!E20:E1018, A20)</f>
        <v>678.745</v>
      </c>
      <c r="F20" s="6" t="str">
        <f t="shared" si="1"/>
        <v>Vanilla Protein Powder</v>
      </c>
    </row>
    <row r="21">
      <c r="A21" s="6" t="str">
        <f>IFERROR(__xludf.DUMMYFUNCTION("""COMPUTED_VALUE"""),"Weighted Jump Rope")</f>
        <v>Weighted Jump Rope</v>
      </c>
      <c r="B21" s="6" t="str">
        <f t="array" ref="B21">INDEX('Raw Data Sales'!F21:F1019, MATCH(A21, 'Raw Data Sales'!E21:E1019, 0))</f>
        <v>Fitness</v>
      </c>
      <c r="C21" s="6">
        <f>SUMIFS('Raw Data Sales'!M21:M1019, 'Raw Data Sales'!E21:E1019,A21)</f>
        <v>25</v>
      </c>
      <c r="D21" s="6">
        <f>SUMIFS('Raw Data Sales'!N21:N1019, 'Raw Data Sales'!E21:E1019, A21)</f>
        <v>1397.42</v>
      </c>
      <c r="E21" s="6">
        <f>AVERAGEIFS('Raw Data Sales'!G21:G1019, 'Raw Data Sales'!E21:E1019, A21)</f>
        <v>35.84</v>
      </c>
      <c r="F21" s="6" t="str">
        <f t="shared" si="1"/>
        <v>Vanilla Protein Powder</v>
      </c>
    </row>
    <row r="22">
      <c r="A22" s="6" t="str">
        <f>IFERROR(__xludf.DUMMYFUNCTION("""COMPUTED_VALUE"""),"Instant Mashed Potatoes")</f>
        <v>Instant Mashed Potatoes</v>
      </c>
      <c r="B22" s="6" t="str">
        <f t="array" ref="B22">INDEX('Raw Data Sales'!F22:F1020, MATCH(A22, 'Raw Data Sales'!E22:E1020, 0))</f>
        <v>Food - Sides</v>
      </c>
      <c r="C22" s="6">
        <f>SUMIFS('Raw Data Sales'!M22:M1020, 'Raw Data Sales'!E22:E1020,A22)</f>
        <v>16</v>
      </c>
      <c r="D22" s="6">
        <f>SUMIFS('Raw Data Sales'!N22:N1020, 'Raw Data Sales'!E22:E1020, A22)</f>
        <v>7180.54</v>
      </c>
      <c r="E22" s="6">
        <f>AVERAGEIFS('Raw Data Sales'!G22:G1020, 'Raw Data Sales'!E22:E1020, A22)</f>
        <v>254.7</v>
      </c>
      <c r="F22" s="6" t="str">
        <f t="shared" si="1"/>
        <v>Vanilla Protein Powder</v>
      </c>
    </row>
    <row r="23">
      <c r="A23" s="6" t="str">
        <f>IFERROR(__xludf.DUMMYFUNCTION("""COMPUTED_VALUE"""),"Vintage Button-Down Shirt")</f>
        <v>Vintage Button-Down Shirt</v>
      </c>
      <c r="B23" s="6" t="str">
        <f t="array" ref="B23">INDEX('Raw Data Sales'!F23:F1021, MATCH(A23, 'Raw Data Sales'!E23:E1021, 0))</f>
        <v>Clothing - Shirts</v>
      </c>
      <c r="C23" s="6">
        <f>SUMIFS('Raw Data Sales'!M23:M1021, 'Raw Data Sales'!E23:E1021,A23)</f>
        <v>26</v>
      </c>
      <c r="D23" s="6">
        <f>SUMIFS('Raw Data Sales'!N23:N1021, 'Raw Data Sales'!E23:E1021, A23)</f>
        <v>120.28</v>
      </c>
      <c r="E23" s="6">
        <f>AVERAGEIFS('Raw Data Sales'!G23:G1021, 'Raw Data Sales'!E23:E1021, A23)</f>
        <v>965.17</v>
      </c>
      <c r="F23" s="6" t="str">
        <f t="shared" si="1"/>
        <v>Vanilla Protein Powder</v>
      </c>
    </row>
    <row r="24">
      <c r="A24" s="6" t="str">
        <f>IFERROR(__xludf.DUMMYFUNCTION("""COMPUTED_VALUE"""),"Black Bean Soup")</f>
        <v>Black Bean Soup</v>
      </c>
      <c r="B24" s="6" t="str">
        <f t="array" ref="B24">INDEX('Raw Data Sales'!F24:F1022, MATCH(A24, 'Raw Data Sales'!E24:E1022, 0))</f>
        <v>Food - Soups</v>
      </c>
      <c r="C24" s="6">
        <f>SUMIFS('Raw Data Sales'!M24:M1022, 'Raw Data Sales'!E24:E1022,A24)</f>
        <v>116</v>
      </c>
      <c r="D24" s="6">
        <f>SUMIFS('Raw Data Sales'!N24:N1022, 'Raw Data Sales'!E24:E1022, A24)</f>
        <v>5475.32</v>
      </c>
      <c r="E24" s="6">
        <f>AVERAGEIFS('Raw Data Sales'!G24:G1022, 'Raw Data Sales'!E24:E1022, A24)</f>
        <v>726.06</v>
      </c>
      <c r="F24" s="6" t="str">
        <f t="shared" si="1"/>
        <v>Vanilla Protein Powder</v>
      </c>
    </row>
    <row r="25">
      <c r="A25" s="6" t="str">
        <f>IFERROR(__xludf.DUMMYFUNCTION("""COMPUTED_VALUE"""),"Home Office Chair")</f>
        <v>Home Office Chair</v>
      </c>
      <c r="B25" s="6" t="str">
        <f t="array" ref="B25">INDEX('Raw Data Sales'!F25:F1023, MATCH(A25, 'Raw Data Sales'!E25:E1023, 0))</f>
        <v>Furniture</v>
      </c>
      <c r="C25" s="6">
        <f>SUMIFS('Raw Data Sales'!M25:M1023, 'Raw Data Sales'!E25:E1023,A25)</f>
        <v>47</v>
      </c>
      <c r="D25" s="6">
        <f>SUMIFS('Raw Data Sales'!N25:N1023, 'Raw Data Sales'!E25:E1023, A25)</f>
        <v>792.14</v>
      </c>
      <c r="E25" s="6">
        <f>AVERAGEIFS('Raw Data Sales'!G25:G1023, 'Raw Data Sales'!E25:E1023, A25)</f>
        <v>554.28</v>
      </c>
      <c r="F25" s="6" t="str">
        <f t="shared" si="1"/>
        <v>Vanilla Protein Powder</v>
      </c>
    </row>
    <row r="26">
      <c r="A26" s="6" t="str">
        <f>IFERROR(__xludf.DUMMYFUNCTION("""COMPUTED_VALUE"""),"Car Vacuum Cleaner")</f>
        <v>Car Vacuum Cleaner</v>
      </c>
      <c r="B26" s="6" t="str">
        <f t="array" ref="B26">INDEX('Raw Data Sales'!F26:F1024, MATCH(A26, 'Raw Data Sales'!E26:E1024, 0))</f>
        <v>Automotive</v>
      </c>
      <c r="C26" s="6">
        <f>SUMIFS('Raw Data Sales'!M26:M1024, 'Raw Data Sales'!E26:E1024,A26)</f>
        <v>18</v>
      </c>
      <c r="D26" s="6">
        <f>SUMIFS('Raw Data Sales'!N26:N1024, 'Raw Data Sales'!E26:E1024, A26)</f>
        <v>5942.08</v>
      </c>
      <c r="E26" s="6">
        <f>AVERAGEIFS('Raw Data Sales'!G26:G1024, 'Raw Data Sales'!E26:E1024, A26)</f>
        <v>581.01</v>
      </c>
      <c r="F26" s="6" t="str">
        <f t="shared" si="1"/>
        <v>Vanilla Protein Powder</v>
      </c>
    </row>
    <row r="27">
      <c r="A27" s="6" t="str">
        <f>IFERROR(__xludf.DUMMYFUNCTION("""COMPUTED_VALUE"""),"Savory Rice Cakes")</f>
        <v>Savory Rice Cakes</v>
      </c>
      <c r="B27" s="6" t="str">
        <f t="array" ref="B27">INDEX('Raw Data Sales'!F27:F1025, MATCH(A27, 'Raw Data Sales'!E27:E1025, 0))</f>
        <v>Food - Snacks</v>
      </c>
      <c r="C27" s="6">
        <f>SUMIFS('Raw Data Sales'!M27:M1025, 'Raw Data Sales'!E27:E1025,A27)</f>
        <v>85</v>
      </c>
      <c r="D27" s="6">
        <f>SUMIFS('Raw Data Sales'!N27:N1025, 'Raw Data Sales'!E27:E1025, A27)</f>
        <v>1768.48</v>
      </c>
      <c r="E27" s="6">
        <f>AVERAGEIFS('Raw Data Sales'!G27:G1025, 'Raw Data Sales'!E27:E1025, A27)</f>
        <v>494.99</v>
      </c>
      <c r="F27" s="6" t="str">
        <f t="shared" si="1"/>
        <v>Vanilla Protein Powder</v>
      </c>
    </row>
    <row r="28">
      <c r="A28" s="6" t="str">
        <f>IFERROR(__xludf.DUMMYFUNCTION("""COMPUTED_VALUE"""),"Digital Drawing Tablet")</f>
        <v>Digital Drawing Tablet</v>
      </c>
      <c r="B28" s="6" t="str">
        <f t="array" ref="B28">INDEX('Raw Data Sales'!F28:F1026, MATCH(A28, 'Raw Data Sales'!E28:E1026, 0))</f>
        <v>Art Supplies</v>
      </c>
      <c r="C28" s="6">
        <f>SUMIFS('Raw Data Sales'!M28:M1026, 'Raw Data Sales'!E28:E1026,A28)</f>
        <v>131</v>
      </c>
      <c r="D28" s="6">
        <f>SUMIFS('Raw Data Sales'!N28:N1026, 'Raw Data Sales'!E28:E1026, A28)</f>
        <v>17230.35</v>
      </c>
      <c r="E28" s="6">
        <f>AVERAGEIFS('Raw Data Sales'!G28:G1026, 'Raw Data Sales'!E28:E1026, A28)</f>
        <v>250.67</v>
      </c>
      <c r="F28" s="6" t="str">
        <f t="shared" si="1"/>
        <v>Vanilla Protein Powder</v>
      </c>
    </row>
    <row r="29">
      <c r="A29" s="6" t="str">
        <f>IFERROR(__xludf.DUMMYFUNCTION("""COMPUTED_VALUE"""),"Biodegradable Trash Bags")</f>
        <v>Biodegradable Trash Bags</v>
      </c>
      <c r="B29" s="6" t="str">
        <f t="array" ref="B29">INDEX('Raw Data Sales'!F29:F1027, MATCH(A29, 'Raw Data Sales'!E29:E1027, 0))</f>
        <v>Home</v>
      </c>
      <c r="C29" s="6">
        <f>SUMIFS('Raw Data Sales'!M29:M1027, 'Raw Data Sales'!E29:E1027,A29)</f>
        <v>100</v>
      </c>
      <c r="D29" s="6">
        <f>SUMIFS('Raw Data Sales'!N29:N1027, 'Raw Data Sales'!E29:E1027, A29)</f>
        <v>7819.25</v>
      </c>
      <c r="E29" s="6">
        <f>AVERAGEIFS('Raw Data Sales'!G29:G1027, 'Raw Data Sales'!E29:E1027, A29)</f>
        <v>794.83</v>
      </c>
      <c r="F29" s="6" t="str">
        <f t="shared" si="1"/>
        <v>Vanilla Protein Powder</v>
      </c>
    </row>
    <row r="30">
      <c r="A30" s="6" t="str">
        <f>IFERROR(__xludf.DUMMYFUNCTION("""COMPUTED_VALUE"""),"Camera Lens Cleaning Kit")</f>
        <v>Camera Lens Cleaning Kit</v>
      </c>
      <c r="B30" s="6" t="str">
        <f t="array" ref="B30">INDEX('Raw Data Sales'!F30:F1028, MATCH(A30, 'Raw Data Sales'!E30:E1028, 0))</f>
        <v>Photography</v>
      </c>
      <c r="C30" s="6">
        <f>SUMIFS('Raw Data Sales'!M30:M1028, 'Raw Data Sales'!E30:E1028,A30)</f>
        <v>99</v>
      </c>
      <c r="D30" s="6">
        <f>SUMIFS('Raw Data Sales'!N30:N1028, 'Raw Data Sales'!E30:E1028, A30)</f>
        <v>89.42</v>
      </c>
      <c r="E30" s="6">
        <f>AVERAGEIFS('Raw Data Sales'!G30:G1028, 'Raw Data Sales'!E30:E1028, A30)</f>
        <v>999.12</v>
      </c>
      <c r="F30" s="6" t="str">
        <f t="shared" si="1"/>
        <v>Vanilla Protein Powder</v>
      </c>
    </row>
    <row r="31">
      <c r="A31" s="6" t="str">
        <f>IFERROR(__xludf.DUMMYFUNCTION("""COMPUTED_VALUE"""),"Ribbed Knit Dress")</f>
        <v>Ribbed Knit Dress</v>
      </c>
      <c r="B31" s="6" t="str">
        <f t="array" ref="B31">INDEX('Raw Data Sales'!F31:F1029, MATCH(A31, 'Raw Data Sales'!E31:E1029, 0))</f>
        <v>Clothing - Dresses</v>
      </c>
      <c r="C31" s="6">
        <f>SUMIFS('Raw Data Sales'!M31:M1029, 'Raw Data Sales'!E31:E1029,A31)</f>
        <v>13</v>
      </c>
      <c r="D31" s="6">
        <f>SUMIFS('Raw Data Sales'!N31:N1029, 'Raw Data Sales'!E31:E1029, A31)</f>
        <v>6307.09</v>
      </c>
      <c r="E31" s="6">
        <f>AVERAGEIFS('Raw Data Sales'!G31:G1029, 'Raw Data Sales'!E31:E1029, A31)</f>
        <v>870.25</v>
      </c>
      <c r="F31" s="6" t="str">
        <f t="shared" si="1"/>
        <v>Vanilla Protein Powder</v>
      </c>
    </row>
    <row r="32">
      <c r="A32" s="6" t="str">
        <f>IFERROR(__xludf.DUMMYFUNCTION("""COMPUTED_VALUE"""),"Shower Curtain Hooks")</f>
        <v>Shower Curtain Hooks</v>
      </c>
      <c r="B32" s="6" t="str">
        <f t="array" ref="B32">INDEX('Raw Data Sales'!F32:F1030, MATCH(A32, 'Raw Data Sales'!E32:E1030, 0))</f>
        <v>Home</v>
      </c>
      <c r="C32" s="6">
        <f>SUMIFS('Raw Data Sales'!M32:M1030, 'Raw Data Sales'!E32:E1030,A32)</f>
        <v>185</v>
      </c>
      <c r="D32" s="6">
        <f>SUMIFS('Raw Data Sales'!N32:N1030, 'Raw Data Sales'!E32:E1030, A32)</f>
        <v>13648.33</v>
      </c>
      <c r="E32" s="6">
        <f>AVERAGEIFS('Raw Data Sales'!G32:G1030, 'Raw Data Sales'!E32:E1030, A32)</f>
        <v>846.285</v>
      </c>
      <c r="F32" s="6" t="str">
        <f t="shared" si="1"/>
        <v>Vanilla Protein Powder</v>
      </c>
    </row>
    <row r="33">
      <c r="A33" s="6" t="str">
        <f>IFERROR(__xludf.DUMMYFUNCTION("""COMPUTED_VALUE"""),"Guitar Tuner")</f>
        <v>Guitar Tuner</v>
      </c>
      <c r="B33" s="6" t="str">
        <f t="array" ref="B33">INDEX('Raw Data Sales'!F33:F1031, MATCH(A33, 'Raw Data Sales'!E33:E1031, 0))</f>
        <v>Music</v>
      </c>
      <c r="C33" s="6">
        <f>SUMIFS('Raw Data Sales'!M33:M1031, 'Raw Data Sales'!E33:E1031,A33)</f>
        <v>98</v>
      </c>
      <c r="D33" s="6">
        <f>SUMIFS('Raw Data Sales'!N33:N1031, 'Raw Data Sales'!E33:E1031, A33)</f>
        <v>9152.9</v>
      </c>
      <c r="E33" s="6">
        <f>AVERAGEIFS('Raw Data Sales'!G33:G1031, 'Raw Data Sales'!E33:E1031, A33)</f>
        <v>112.15</v>
      </c>
      <c r="F33" s="6" t="str">
        <f t="shared" si="1"/>
        <v>Vanilla Protein Powder</v>
      </c>
    </row>
    <row r="34">
      <c r="A34" s="6" t="str">
        <f>IFERROR(__xludf.DUMMYFUNCTION("""COMPUTED_VALUE"""),"Thai Basil Fried Rice")</f>
        <v>Thai Basil Fried Rice</v>
      </c>
      <c r="B34" s="6" t="str">
        <f t="array" ref="B34">INDEX('Raw Data Sales'!F34:F1032, MATCH(A34, 'Raw Data Sales'!E34:E1032, 0))</f>
        <v>Food - Frozen</v>
      </c>
      <c r="C34" s="6">
        <f>SUMIFS('Raw Data Sales'!M34:M1032, 'Raw Data Sales'!E34:E1032,A34)</f>
        <v>125</v>
      </c>
      <c r="D34" s="6">
        <f>SUMIFS('Raw Data Sales'!N34:N1032, 'Raw Data Sales'!E34:E1032, A34)</f>
        <v>9411.28</v>
      </c>
      <c r="E34" s="6">
        <f>AVERAGEIFS('Raw Data Sales'!G34:G1032, 'Raw Data Sales'!E34:E1032, A34)</f>
        <v>836.17</v>
      </c>
      <c r="F34" s="6" t="str">
        <f t="shared" si="1"/>
        <v>Vanilla Protein Powder</v>
      </c>
    </row>
    <row r="35">
      <c r="A35" s="6" t="str">
        <f>IFERROR(__xludf.DUMMYFUNCTION("""COMPUTED_VALUE"""),"Rechargeable Hand Warmer")</f>
        <v>Rechargeable Hand Warmer</v>
      </c>
      <c r="B35" s="6" t="str">
        <f t="array" ref="B35">INDEX('Raw Data Sales'!F35:F1033, MATCH(A35, 'Raw Data Sales'!E35:E1033, 0))</f>
        <v>Accessories</v>
      </c>
      <c r="C35" s="6">
        <f>SUMIFS('Raw Data Sales'!M35:M1033, 'Raw Data Sales'!E35:E1033,A35)</f>
        <v>37</v>
      </c>
      <c r="D35" s="6">
        <f>SUMIFS('Raw Data Sales'!N35:N1033, 'Raw Data Sales'!E35:E1033, A35)</f>
        <v>13768.5</v>
      </c>
      <c r="E35" s="6">
        <f>AVERAGEIFS('Raw Data Sales'!G35:G1033, 'Raw Data Sales'!E35:E1033, A35)</f>
        <v>666.845</v>
      </c>
      <c r="F35" s="6" t="str">
        <f t="shared" si="1"/>
        <v>Vanilla Protein Powder</v>
      </c>
    </row>
    <row r="36">
      <c r="A36" s="6" t="str">
        <f>IFERROR(__xludf.DUMMYFUNCTION("""COMPUTED_VALUE"""),"Canned Coconut Milk")</f>
        <v>Canned Coconut Milk</v>
      </c>
      <c r="B36" s="6" t="str">
        <f t="array" ref="B36">INDEX('Raw Data Sales'!F36:F1034, MATCH(A36, 'Raw Data Sales'!E36:E1034, 0))</f>
        <v>Food - Canned Goods</v>
      </c>
      <c r="C36" s="6">
        <f>SUMIFS('Raw Data Sales'!M36:M1034, 'Raw Data Sales'!E36:E1034,A36)</f>
        <v>61</v>
      </c>
      <c r="D36" s="6">
        <f>SUMIFS('Raw Data Sales'!N36:N1034, 'Raw Data Sales'!E36:E1034, A36)</f>
        <v>1483.36</v>
      </c>
      <c r="E36" s="6">
        <f>AVERAGEIFS('Raw Data Sales'!G36:G1034, 'Raw Data Sales'!E36:E1034, A36)</f>
        <v>887.53</v>
      </c>
      <c r="F36" s="6" t="str">
        <f t="shared" si="1"/>
        <v>Vanilla Protein Powder</v>
      </c>
    </row>
    <row r="37">
      <c r="A37" s="6" t="str">
        <f>IFERROR(__xludf.DUMMYFUNCTION("""COMPUTED_VALUE"""),"Tuna Fish (canned)")</f>
        <v>Tuna Fish (canned)</v>
      </c>
      <c r="B37" s="6" t="str">
        <f t="array" ref="B37">INDEX('Raw Data Sales'!F37:F1035, MATCH(A37, 'Raw Data Sales'!E37:E1035, 0))</f>
        <v>Food - Canned Goods</v>
      </c>
      <c r="C37" s="6">
        <f>SUMIFS('Raw Data Sales'!M37:M1035, 'Raw Data Sales'!E37:E1035,A37)</f>
        <v>120</v>
      </c>
      <c r="D37" s="6">
        <f>SUMIFS('Raw Data Sales'!N37:N1035, 'Raw Data Sales'!E37:E1035, A37)</f>
        <v>9026.14</v>
      </c>
      <c r="E37" s="6">
        <f>AVERAGEIFS('Raw Data Sales'!G37:G1035, 'Raw Data Sales'!E37:E1035, A37)</f>
        <v>349.475</v>
      </c>
      <c r="F37" s="6" t="str">
        <f t="shared" si="1"/>
        <v>Vanilla Protein Powder</v>
      </c>
    </row>
    <row r="38">
      <c r="A38" s="6" t="str">
        <f>IFERROR(__xludf.DUMMYFUNCTION("""COMPUTED_VALUE"""),"BBQ Lentil Chips")</f>
        <v>BBQ Lentil Chips</v>
      </c>
      <c r="B38" s="6" t="str">
        <f t="array" ref="B38">INDEX('Raw Data Sales'!F38:F1036, MATCH(A38, 'Raw Data Sales'!E38:E1036, 0))</f>
        <v>Food - Snacks</v>
      </c>
      <c r="C38" s="6">
        <f>SUMIFS('Raw Data Sales'!M38:M1036, 'Raw Data Sales'!E38:E1036,A38)</f>
        <v>121</v>
      </c>
      <c r="D38" s="6">
        <f>SUMIFS('Raw Data Sales'!N38:N1036, 'Raw Data Sales'!E38:E1036, A38)</f>
        <v>11900.8</v>
      </c>
      <c r="E38" s="6">
        <f>AVERAGEIFS('Raw Data Sales'!G38:G1036, 'Raw Data Sales'!E38:E1036, A38)</f>
        <v>317.29</v>
      </c>
      <c r="F38" s="6" t="str">
        <f t="shared" si="1"/>
        <v>Vanilla Protein Powder</v>
      </c>
    </row>
    <row r="39">
      <c r="A39" s="6" t="str">
        <f>IFERROR(__xludf.DUMMYFUNCTION("""COMPUTED_VALUE"""),"Honey BBQ Ribs")</f>
        <v>Honey BBQ Ribs</v>
      </c>
      <c r="B39" s="6" t="str">
        <f t="array" ref="B39">INDEX('Raw Data Sales'!F39:F1037, MATCH(A39, 'Raw Data Sales'!E39:E1037, 0))</f>
        <v>Food - Meat</v>
      </c>
      <c r="C39" s="6">
        <f>SUMIFS('Raw Data Sales'!M39:M1037, 'Raw Data Sales'!E39:E1037,A39)</f>
        <v>99</v>
      </c>
      <c r="D39" s="6">
        <f>SUMIFS('Raw Data Sales'!N39:N1037, 'Raw Data Sales'!E39:E1037, A39)</f>
        <v>5132.13</v>
      </c>
      <c r="E39" s="6">
        <f>AVERAGEIFS('Raw Data Sales'!G39:G1037, 'Raw Data Sales'!E39:E1037, A39)</f>
        <v>259.85</v>
      </c>
      <c r="F39" s="6" t="str">
        <f t="shared" si="1"/>
        <v>Vanilla Protein Powder</v>
      </c>
    </row>
    <row r="40">
      <c r="A40" s="6" t="str">
        <f>IFERROR(__xludf.DUMMYFUNCTION("""COMPUTED_VALUE"""),"Foot Spa Bath Massager")</f>
        <v>Foot Spa Bath Massager</v>
      </c>
      <c r="B40" s="6" t="str">
        <f t="array" ref="B40">INDEX('Raw Data Sales'!F40:F1038, MATCH(A40, 'Raw Data Sales'!E40:E1038, 0))</f>
        <v>Health</v>
      </c>
      <c r="C40" s="6">
        <f>SUMIFS('Raw Data Sales'!M40:M1038, 'Raw Data Sales'!E40:E1038,A40)</f>
        <v>73</v>
      </c>
      <c r="D40" s="6">
        <f>SUMIFS('Raw Data Sales'!N40:N1038, 'Raw Data Sales'!E40:E1038, A40)</f>
        <v>9593.87</v>
      </c>
      <c r="E40" s="6">
        <f>AVERAGEIFS('Raw Data Sales'!G40:G1038, 'Raw Data Sales'!E40:E1038, A40)</f>
        <v>418.91</v>
      </c>
      <c r="F40" s="6" t="str">
        <f t="shared" si="1"/>
        <v>Vanilla Protein Powder</v>
      </c>
    </row>
    <row r="41">
      <c r="A41" s="6" t="str">
        <f>IFERROR(__xludf.DUMMYFUNCTION("""COMPUTED_VALUE"""),"Electric Kettle with Temperature Control")</f>
        <v>Electric Kettle with Temperature Control</v>
      </c>
      <c r="B41" s="6" t="str">
        <f t="array" ref="B41">INDEX('Raw Data Sales'!F41:F1039, MATCH(A41, 'Raw Data Sales'!E41:E1039, 0))</f>
        <v>Kitchen</v>
      </c>
      <c r="C41" s="6">
        <f>SUMIFS('Raw Data Sales'!M41:M1039, 'Raw Data Sales'!E41:E1039,A41)</f>
        <v>66</v>
      </c>
      <c r="D41" s="6">
        <f>SUMIFS('Raw Data Sales'!N41:N1039, 'Raw Data Sales'!E41:E1039, A41)</f>
        <v>9624.76</v>
      </c>
      <c r="E41" s="6">
        <f>AVERAGEIFS('Raw Data Sales'!G41:G1039, 'Raw Data Sales'!E41:E1039, A41)</f>
        <v>650.85</v>
      </c>
      <c r="F41" s="6" t="str">
        <f t="shared" si="1"/>
        <v>Vanilla Protein Powder</v>
      </c>
    </row>
    <row r="42">
      <c r="A42" s="6" t="str">
        <f>IFERROR(__xludf.DUMMYFUNCTION("""COMPUTED_VALUE"""),"Classic Black Dress")</f>
        <v>Classic Black Dress</v>
      </c>
      <c r="B42" s="6" t="str">
        <f t="array" ref="B42">INDEX('Raw Data Sales'!F42:F1040, MATCH(A42, 'Raw Data Sales'!E42:E1040, 0))</f>
        <v>Clothing - Dresses</v>
      </c>
      <c r="C42" s="6">
        <f>SUMIFS('Raw Data Sales'!M42:M1040, 'Raw Data Sales'!E42:E1040,A42)</f>
        <v>32</v>
      </c>
      <c r="D42" s="6">
        <f>SUMIFS('Raw Data Sales'!N42:N1040, 'Raw Data Sales'!E42:E1040, A42)</f>
        <v>2593.95</v>
      </c>
      <c r="E42" s="6">
        <f>AVERAGEIFS('Raw Data Sales'!G42:G1040, 'Raw Data Sales'!E42:E1040, A42)</f>
        <v>228.61</v>
      </c>
      <c r="F42" s="6" t="str">
        <f t="shared" si="1"/>
        <v>Vanilla Protein Powder</v>
      </c>
    </row>
    <row r="43">
      <c r="A43" s="6" t="str">
        <f>IFERROR(__xludf.DUMMYFUNCTION("""COMPUTED_VALUE"""),"Pasta Portion Control Measure")</f>
        <v>Pasta Portion Control Measure</v>
      </c>
      <c r="B43" s="6" t="str">
        <f t="array" ref="B43">INDEX('Raw Data Sales'!F43:F1041, MATCH(A43, 'Raw Data Sales'!E43:E1041, 0))</f>
        <v>Kitchen</v>
      </c>
      <c r="C43" s="6">
        <f>SUMIFS('Raw Data Sales'!M43:M1041, 'Raw Data Sales'!E43:E1041,A43)</f>
        <v>121</v>
      </c>
      <c r="D43" s="6">
        <f>SUMIFS('Raw Data Sales'!N43:N1041, 'Raw Data Sales'!E43:E1041, A43)</f>
        <v>5050.53</v>
      </c>
      <c r="E43" s="6">
        <f>AVERAGEIFS('Raw Data Sales'!G43:G1041, 'Raw Data Sales'!E43:E1041, A43)</f>
        <v>680.415</v>
      </c>
      <c r="F43" s="6" t="str">
        <f t="shared" si="1"/>
        <v>Vanilla Protein Powder</v>
      </c>
    </row>
    <row r="44">
      <c r="A44" s="6" t="str">
        <f>IFERROR(__xludf.DUMMYFUNCTION("""COMPUTED_VALUE"""),"Ice Cream Maker")</f>
        <v>Ice Cream Maker</v>
      </c>
      <c r="B44" s="6" t="str">
        <f t="array" ref="B44">INDEX('Raw Data Sales'!F44:F1042, MATCH(A44, 'Raw Data Sales'!E44:E1042, 0))</f>
        <v>Kitchen</v>
      </c>
      <c r="C44" s="6">
        <f>SUMIFS('Raw Data Sales'!M44:M1042, 'Raw Data Sales'!E44:E1042,A44)</f>
        <v>50</v>
      </c>
      <c r="D44" s="6">
        <f>SUMIFS('Raw Data Sales'!N44:N1042, 'Raw Data Sales'!E44:E1042, A44)</f>
        <v>6191.5</v>
      </c>
      <c r="E44" s="6">
        <f>AVERAGEIFS('Raw Data Sales'!G44:G1042, 'Raw Data Sales'!E44:E1042, A44)</f>
        <v>992.02</v>
      </c>
      <c r="F44" s="6" t="str">
        <f t="shared" si="1"/>
        <v>Vanilla Protein Powder</v>
      </c>
    </row>
    <row r="45">
      <c r="A45" s="6" t="str">
        <f>IFERROR(__xludf.DUMMYFUNCTION("""COMPUTED_VALUE"""),"Organic Italian Seasoning")</f>
        <v>Organic Italian Seasoning</v>
      </c>
      <c r="B45" s="6" t="str">
        <f t="array" ref="B45">INDEX('Raw Data Sales'!F45:F1043, MATCH(A45, 'Raw Data Sales'!E45:E1043, 0))</f>
        <v>Food - Spices</v>
      </c>
      <c r="C45" s="6">
        <f>SUMIFS('Raw Data Sales'!M45:M1043, 'Raw Data Sales'!E45:E1043,A45)</f>
        <v>54</v>
      </c>
      <c r="D45" s="6">
        <f>SUMIFS('Raw Data Sales'!N45:N1043, 'Raw Data Sales'!E45:E1043, A45)</f>
        <v>16333.45</v>
      </c>
      <c r="E45" s="6">
        <f>AVERAGEIFS('Raw Data Sales'!G45:G1043, 'Raw Data Sales'!E45:E1043, A45)</f>
        <v>597.855</v>
      </c>
      <c r="F45" s="6" t="str">
        <f t="shared" si="1"/>
        <v>Vanilla Protein Powder</v>
      </c>
    </row>
    <row r="46">
      <c r="A46" s="6" t="str">
        <f>IFERROR(__xludf.DUMMYFUNCTION("""COMPUTED_VALUE"""),"Teriyaki Stir-Fry Sauce")</f>
        <v>Teriyaki Stir-Fry Sauce</v>
      </c>
      <c r="B46" s="6" t="str">
        <f t="array" ref="B46">INDEX('Raw Data Sales'!F46:F1044, MATCH(A46, 'Raw Data Sales'!E46:E1044, 0))</f>
        <v>Food - Condiments</v>
      </c>
      <c r="C46" s="6">
        <f>SUMIFS('Raw Data Sales'!M46:M1044, 'Raw Data Sales'!E46:E1044,A46)</f>
        <v>26</v>
      </c>
      <c r="D46" s="6">
        <f>SUMIFS('Raw Data Sales'!N46:N1044, 'Raw Data Sales'!E46:E1044, A46)</f>
        <v>9606.31</v>
      </c>
      <c r="E46" s="6">
        <f>AVERAGEIFS('Raw Data Sales'!G46:G1044, 'Raw Data Sales'!E46:E1044, A46)</f>
        <v>8.32</v>
      </c>
      <c r="F46" s="6" t="str">
        <f t="shared" si="1"/>
        <v>Vanilla Protein Powder</v>
      </c>
    </row>
    <row r="47">
      <c r="A47" s="6" t="str">
        <f>IFERROR(__xludf.DUMMYFUNCTION("""COMPUTED_VALUE"""),"Smashed Avocado with Lime")</f>
        <v>Smashed Avocado with Lime</v>
      </c>
      <c r="B47" s="6" t="str">
        <f t="array" ref="B47">INDEX('Raw Data Sales'!F47:F1045, MATCH(A47, 'Raw Data Sales'!E47:E1045, 0))</f>
        <v>Food - Condiments</v>
      </c>
      <c r="C47" s="6">
        <f>SUMIFS('Raw Data Sales'!M47:M1045, 'Raw Data Sales'!E47:E1045,A47)</f>
        <v>16</v>
      </c>
      <c r="D47" s="6">
        <f>SUMIFS('Raw Data Sales'!N47:N1045, 'Raw Data Sales'!E47:E1045, A47)</f>
        <v>3150.34</v>
      </c>
      <c r="E47" s="6">
        <f>AVERAGEIFS('Raw Data Sales'!G47:G1045, 'Raw Data Sales'!E47:E1045, A47)</f>
        <v>633.07</v>
      </c>
      <c r="F47" s="6" t="str">
        <f t="shared" si="1"/>
        <v>Vanilla Protein Powder</v>
      </c>
    </row>
    <row r="48">
      <c r="A48" s="6" t="str">
        <f>IFERROR(__xludf.DUMMYFUNCTION("""COMPUTED_VALUE"""),"Fridge Magnet Set")</f>
        <v>Fridge Magnet Set</v>
      </c>
      <c r="B48" s="6" t="str">
        <f t="array" ref="B48">INDEX('Raw Data Sales'!F48:F1046, MATCH(A48, 'Raw Data Sales'!E48:E1046, 0))</f>
        <v>Home</v>
      </c>
      <c r="C48" s="6">
        <f>SUMIFS('Raw Data Sales'!M48:M1046, 'Raw Data Sales'!E48:E1046,A48)</f>
        <v>5</v>
      </c>
      <c r="D48" s="6">
        <f>SUMIFS('Raw Data Sales'!N48:N1046, 'Raw Data Sales'!E48:E1046, A48)</f>
        <v>3093.4</v>
      </c>
      <c r="E48" s="6">
        <f>AVERAGEIFS('Raw Data Sales'!G48:G1046, 'Raw Data Sales'!E48:E1046, A48)</f>
        <v>279.25</v>
      </c>
      <c r="F48" s="6" t="str">
        <f t="shared" si="1"/>
        <v>Vanilla Protein Powder</v>
      </c>
    </row>
    <row r="49">
      <c r="A49" s="6" t="str">
        <f>IFERROR(__xludf.DUMMYFUNCTION("""COMPUTED_VALUE"""),"Gardening Kneeler and Seat")</f>
        <v>Gardening Kneeler and Seat</v>
      </c>
      <c r="B49" s="6" t="str">
        <f t="array" ref="B49">INDEX('Raw Data Sales'!F49:F1047, MATCH(A49, 'Raw Data Sales'!E49:E1047, 0))</f>
        <v>Garden</v>
      </c>
      <c r="C49" s="6">
        <f>SUMIFS('Raw Data Sales'!M49:M1047, 'Raw Data Sales'!E49:E1047,A49)</f>
        <v>171</v>
      </c>
      <c r="D49" s="6">
        <f>SUMIFS('Raw Data Sales'!N49:N1047, 'Raw Data Sales'!E49:E1047, A49)</f>
        <v>10306.91</v>
      </c>
      <c r="E49" s="6">
        <f>AVERAGEIFS('Raw Data Sales'!G49:G1047, 'Raw Data Sales'!E49:E1047, A49)</f>
        <v>919.345</v>
      </c>
      <c r="F49" s="6" t="str">
        <f t="shared" si="1"/>
        <v>Vanilla Protein Powder</v>
      </c>
    </row>
    <row r="50">
      <c r="A50" s="6" t="str">
        <f>IFERROR(__xludf.DUMMYFUNCTION("""COMPUTED_VALUE"""),"Peanut Butter Chocolate Chip Bars")</f>
        <v>Peanut Butter Chocolate Chip Bars</v>
      </c>
      <c r="B50" s="6" t="str">
        <f t="array" ref="B50">INDEX('Raw Data Sales'!F50:F1048, MATCH(A50, 'Raw Data Sales'!E50:E1048, 0))</f>
        <v>Food - Snacks</v>
      </c>
      <c r="C50" s="6">
        <f>SUMIFS('Raw Data Sales'!M50:M1048, 'Raw Data Sales'!E50:E1048,A50)</f>
        <v>96</v>
      </c>
      <c r="D50" s="6">
        <f>SUMIFS('Raw Data Sales'!N50:N1048, 'Raw Data Sales'!E50:E1048, A50)</f>
        <v>8631.13</v>
      </c>
      <c r="E50" s="6">
        <f>AVERAGEIFS('Raw Data Sales'!G50:G1048, 'Raw Data Sales'!E50:E1048, A50)</f>
        <v>122.64</v>
      </c>
      <c r="F50" s="6" t="str">
        <f t="shared" si="1"/>
        <v>Vanilla Protein Powder</v>
      </c>
    </row>
    <row r="51">
      <c r="A51" s="6" t="str">
        <f>IFERROR(__xludf.DUMMYFUNCTION("""COMPUTED_VALUE"""),"Classic Minestrone Soup")</f>
        <v>Classic Minestrone Soup</v>
      </c>
      <c r="B51" s="6" t="str">
        <f t="array" ref="B51">INDEX('Raw Data Sales'!F51:F1049, MATCH(A51, 'Raw Data Sales'!E51:E1049, 0))</f>
        <v>Food - Soups</v>
      </c>
      <c r="C51" s="6">
        <f>SUMIFS('Raw Data Sales'!M51:M1049, 'Raw Data Sales'!E51:E1049,A51)</f>
        <v>170</v>
      </c>
      <c r="D51" s="6">
        <f>SUMIFS('Raw Data Sales'!N51:N1049, 'Raw Data Sales'!E51:E1049, A51)</f>
        <v>17792.18</v>
      </c>
      <c r="E51" s="6">
        <f>AVERAGEIFS('Raw Data Sales'!G51:G1049, 'Raw Data Sales'!E51:E1049, A51)</f>
        <v>379.4033333</v>
      </c>
      <c r="F51" s="6" t="str">
        <f t="shared" si="1"/>
        <v>Vanilla Protein Powder</v>
      </c>
    </row>
    <row r="52">
      <c r="A52" s="6" t="str">
        <f>IFERROR(__xludf.DUMMYFUNCTION("""COMPUTED_VALUE"""),"Thyme")</f>
        <v>Thyme</v>
      </c>
      <c r="B52" s="6" t="str">
        <f t="array" ref="B52">INDEX('Raw Data Sales'!F52:F1050, MATCH(A52, 'Raw Data Sales'!E52:E1050, 0))</f>
        <v>Food - Fresh Produce</v>
      </c>
      <c r="C52" s="6">
        <f>SUMIFS('Raw Data Sales'!M52:M1050, 'Raw Data Sales'!E52:E1050,A52)</f>
        <v>56</v>
      </c>
      <c r="D52" s="6">
        <f>SUMIFS('Raw Data Sales'!N52:N1050, 'Raw Data Sales'!E52:E1050, A52)</f>
        <v>619.38</v>
      </c>
      <c r="E52" s="6">
        <f>AVERAGEIFS('Raw Data Sales'!G52:G1050, 'Raw Data Sales'!E52:E1050, A52)</f>
        <v>158.12</v>
      </c>
      <c r="F52" s="6" t="str">
        <f t="shared" si="1"/>
        <v>Vanilla Protein Powder</v>
      </c>
    </row>
    <row r="53">
      <c r="A53" s="6" t="str">
        <f>IFERROR(__xludf.DUMMYFUNCTION("""COMPUTED_VALUE"""),"Instant Pot")</f>
        <v>Instant Pot</v>
      </c>
      <c r="B53" s="6" t="str">
        <f t="array" ref="B53">INDEX('Raw Data Sales'!F53:F1051, MATCH(A53, 'Raw Data Sales'!E53:E1051, 0))</f>
        <v>Kitchen</v>
      </c>
      <c r="C53" s="6">
        <f>SUMIFS('Raw Data Sales'!M53:M1051, 'Raw Data Sales'!E53:E1051,A53)</f>
        <v>36</v>
      </c>
      <c r="D53" s="6">
        <f>SUMIFS('Raw Data Sales'!N53:N1051, 'Raw Data Sales'!E53:E1051, A53)</f>
        <v>1486.39</v>
      </c>
      <c r="E53" s="6">
        <f>AVERAGEIFS('Raw Data Sales'!G53:G1051, 'Raw Data Sales'!E53:E1051, A53)</f>
        <v>371.41</v>
      </c>
      <c r="F53" s="6" t="str">
        <f t="shared" si="1"/>
        <v>Vanilla Protein Powder</v>
      </c>
    </row>
    <row r="54">
      <c r="A54" s="6" t="str">
        <f>IFERROR(__xludf.DUMMYFUNCTION("""COMPUTED_VALUE"""),"Portable Pet Bathing Tool")</f>
        <v>Portable Pet Bathing Tool</v>
      </c>
      <c r="B54" s="6" t="str">
        <f t="array" ref="B54">INDEX('Raw Data Sales'!F54:F1052, MATCH(A54, 'Raw Data Sales'!E54:E1052, 0))</f>
        <v>Pets</v>
      </c>
      <c r="C54" s="6">
        <f>SUMIFS('Raw Data Sales'!M54:M1052, 'Raw Data Sales'!E54:E1052,A54)</f>
        <v>39</v>
      </c>
      <c r="D54" s="6">
        <f>SUMIFS('Raw Data Sales'!N54:N1052, 'Raw Data Sales'!E54:E1052, A54)</f>
        <v>8712.25</v>
      </c>
      <c r="E54" s="6">
        <f>AVERAGEIFS('Raw Data Sales'!G54:G1052, 'Raw Data Sales'!E54:E1052, A54)</f>
        <v>449.95</v>
      </c>
      <c r="F54" s="6" t="str">
        <f t="shared" si="1"/>
        <v>Vanilla Protein Powder</v>
      </c>
    </row>
    <row r="55">
      <c r="A55" s="6" t="str">
        <f>IFERROR(__xludf.DUMMYFUNCTION("""COMPUTED_VALUE"""),"Blackberry Jam")</f>
        <v>Blackberry Jam</v>
      </c>
      <c r="B55" s="6" t="str">
        <f t="array" ref="B55">INDEX('Raw Data Sales'!F55:F1053, MATCH(A55, 'Raw Data Sales'!E55:E1053, 0))</f>
        <v>Food - Condiments</v>
      </c>
      <c r="C55" s="6">
        <f>SUMIFS('Raw Data Sales'!M55:M1053, 'Raw Data Sales'!E55:E1053,A55)</f>
        <v>73</v>
      </c>
      <c r="D55" s="6">
        <f>SUMIFS('Raw Data Sales'!N55:N1053, 'Raw Data Sales'!E55:E1053, A55)</f>
        <v>8727.59</v>
      </c>
      <c r="E55" s="6">
        <f>AVERAGEIFS('Raw Data Sales'!G55:G1053, 'Raw Data Sales'!E55:E1053, A55)</f>
        <v>784.835</v>
      </c>
      <c r="F55" s="6" t="str">
        <f t="shared" si="1"/>
        <v>Vanilla Protein Powder</v>
      </c>
    </row>
    <row r="56">
      <c r="A56" s="6" t="str">
        <f>IFERROR(__xludf.DUMMYFUNCTION("""COMPUTED_VALUE"""),"Cinnamon Roll Protein Bar")</f>
        <v>Cinnamon Roll Protein Bar</v>
      </c>
      <c r="B56" s="6" t="str">
        <f t="array" ref="B56">INDEX('Raw Data Sales'!F56:F1054, MATCH(A56, 'Raw Data Sales'!E56:E1054, 0))</f>
        <v>Food - Snacks</v>
      </c>
      <c r="C56" s="6">
        <f>SUMIFS('Raw Data Sales'!M56:M1054, 'Raw Data Sales'!E56:E1054,A56)</f>
        <v>59</v>
      </c>
      <c r="D56" s="6">
        <f>SUMIFS('Raw Data Sales'!N56:N1054, 'Raw Data Sales'!E56:E1054, A56)</f>
        <v>4664.86</v>
      </c>
      <c r="E56" s="6">
        <f>AVERAGEIFS('Raw Data Sales'!G56:G1054, 'Raw Data Sales'!E56:E1054, A56)</f>
        <v>721.05</v>
      </c>
      <c r="F56" s="6" t="str">
        <f t="shared" si="1"/>
        <v>Vanilla Protein Powder</v>
      </c>
    </row>
    <row r="57">
      <c r="A57" s="6" t="str">
        <f>IFERROR(__xludf.DUMMYFUNCTION("""COMPUTED_VALUE"""),"Energy Bites")</f>
        <v>Energy Bites</v>
      </c>
      <c r="B57" s="6" t="str">
        <f t="array" ref="B57">INDEX('Raw Data Sales'!F57:F1055, MATCH(A57, 'Raw Data Sales'!E57:E1055, 0))</f>
        <v>Food - Snacks</v>
      </c>
      <c r="C57" s="6">
        <f>SUMIFS('Raw Data Sales'!M57:M1055, 'Raw Data Sales'!E57:E1055,A57)</f>
        <v>30</v>
      </c>
      <c r="D57" s="6">
        <f>SUMIFS('Raw Data Sales'!N57:N1055, 'Raw Data Sales'!E57:E1055, A57)</f>
        <v>7824.59</v>
      </c>
      <c r="E57" s="6">
        <f>AVERAGEIFS('Raw Data Sales'!G57:G1055, 'Raw Data Sales'!E57:E1055, A57)</f>
        <v>653.07</v>
      </c>
      <c r="F57" s="6" t="str">
        <f t="shared" si="1"/>
        <v>Vanilla Protein Powder</v>
      </c>
    </row>
    <row r="58">
      <c r="A58" s="6" t="str">
        <f>IFERROR(__xludf.DUMMYFUNCTION("""COMPUTED_VALUE"""),"Trendy Bomber Jacket")</f>
        <v>Trendy Bomber Jacket</v>
      </c>
      <c r="B58" s="6" t="str">
        <f t="array" ref="B58">INDEX('Raw Data Sales'!F58:F1056, MATCH(A58, 'Raw Data Sales'!E58:E1056, 0))</f>
        <v>Clothing - Outerwear</v>
      </c>
      <c r="C58" s="6">
        <f>SUMIFS('Raw Data Sales'!M58:M1056, 'Raw Data Sales'!E58:E1056,A58)</f>
        <v>45</v>
      </c>
      <c r="D58" s="6">
        <f>SUMIFS('Raw Data Sales'!N58:N1056, 'Raw Data Sales'!E58:E1056, A58)</f>
        <v>4523.67</v>
      </c>
      <c r="E58" s="6">
        <f>AVERAGEIFS('Raw Data Sales'!G58:G1056, 'Raw Data Sales'!E58:E1056, A58)</f>
        <v>624.35</v>
      </c>
      <c r="F58" s="6" t="str">
        <f t="shared" si="1"/>
        <v>Vanilla Protein Powder</v>
      </c>
    </row>
    <row r="59">
      <c r="A59" s="6" t="str">
        <f>IFERROR(__xludf.DUMMYFUNCTION("""COMPUTED_VALUE"""),"Portable Blender")</f>
        <v>Portable Blender</v>
      </c>
      <c r="B59" s="6" t="str">
        <f t="array" ref="B59">INDEX('Raw Data Sales'!F59:F1057, MATCH(A59, 'Raw Data Sales'!E59:E1057, 0))</f>
        <v>Kitchen</v>
      </c>
      <c r="C59" s="6">
        <f>SUMIFS('Raw Data Sales'!M59:M1057, 'Raw Data Sales'!E59:E1057,A59)</f>
        <v>54</v>
      </c>
      <c r="D59" s="6">
        <f>SUMIFS('Raw Data Sales'!N59:N1057, 'Raw Data Sales'!E59:E1057, A59)</f>
        <v>6235.78</v>
      </c>
      <c r="E59" s="6">
        <f>AVERAGEIFS('Raw Data Sales'!G59:G1057, 'Raw Data Sales'!E59:E1057, A59)</f>
        <v>834.855</v>
      </c>
      <c r="F59" s="6" t="str">
        <f t="shared" si="1"/>
        <v>Vanilla Protein Powder</v>
      </c>
    </row>
    <row r="60">
      <c r="A60" s="6" t="str">
        <f>IFERROR(__xludf.DUMMYFUNCTION("""COMPUTED_VALUE"""),"Cilantro Lime Rice")</f>
        <v>Cilantro Lime Rice</v>
      </c>
      <c r="B60" s="6" t="str">
        <f t="array" ref="B60">INDEX('Raw Data Sales'!F60:F1058, MATCH(A60, 'Raw Data Sales'!E60:E1058, 0))</f>
        <v>Food - Grains</v>
      </c>
      <c r="C60" s="6">
        <f>SUMIFS('Raw Data Sales'!M60:M1058, 'Raw Data Sales'!E60:E1058,A60)</f>
        <v>146</v>
      </c>
      <c r="D60" s="6">
        <f>SUMIFS('Raw Data Sales'!N60:N1058, 'Raw Data Sales'!E60:E1058, A60)</f>
        <v>9003.57</v>
      </c>
      <c r="E60" s="6">
        <f>AVERAGEIFS('Raw Data Sales'!G60:G1058, 'Raw Data Sales'!E60:E1058, A60)</f>
        <v>598.3</v>
      </c>
      <c r="F60" s="6" t="str">
        <f t="shared" si="1"/>
        <v>Vanilla Protein Powder</v>
      </c>
    </row>
    <row r="61">
      <c r="A61" s="6" t="str">
        <f>IFERROR(__xludf.DUMMYFUNCTION("""COMPUTED_VALUE"""),"Hiking Gaiters")</f>
        <v>Hiking Gaiters</v>
      </c>
      <c r="B61" s="6" t="str">
        <f t="array" ref="B61">INDEX('Raw Data Sales'!F61:F1059, MATCH(A61, 'Raw Data Sales'!E61:E1059, 0))</f>
        <v>Outdoor</v>
      </c>
      <c r="C61" s="6">
        <f>SUMIFS('Raw Data Sales'!M61:M1059, 'Raw Data Sales'!E61:E1059,A61)</f>
        <v>48</v>
      </c>
      <c r="D61" s="6">
        <f>SUMIFS('Raw Data Sales'!N61:N1059, 'Raw Data Sales'!E61:E1059, A61)</f>
        <v>4344</v>
      </c>
      <c r="E61" s="6">
        <f>AVERAGEIFS('Raw Data Sales'!G61:G1059, 'Raw Data Sales'!E61:E1059, A61)</f>
        <v>606.58</v>
      </c>
      <c r="F61" s="6" t="str">
        <f t="shared" si="1"/>
        <v>Vanilla Protein Powder</v>
      </c>
    </row>
    <row r="62">
      <c r="A62" s="6" t="str">
        <f>IFERROR(__xludf.DUMMYFUNCTION("""COMPUTED_VALUE"""),"Pretzel Bites")</f>
        <v>Pretzel Bites</v>
      </c>
      <c r="B62" s="6" t="str">
        <f t="array" ref="B62">INDEX('Raw Data Sales'!F62:F1060, MATCH(A62, 'Raw Data Sales'!E62:E1060, 0))</f>
        <v>Food - Snacks</v>
      </c>
      <c r="C62" s="6">
        <f>SUMIFS('Raw Data Sales'!M62:M1060, 'Raw Data Sales'!E62:E1060,A62)</f>
        <v>92</v>
      </c>
      <c r="D62" s="6">
        <f>SUMIFS('Raw Data Sales'!N62:N1060, 'Raw Data Sales'!E62:E1060, A62)</f>
        <v>7875.06</v>
      </c>
      <c r="E62" s="6">
        <f>AVERAGEIFS('Raw Data Sales'!G62:G1060, 'Raw Data Sales'!E62:E1060, A62)</f>
        <v>284.91</v>
      </c>
      <c r="F62" s="6" t="str">
        <f t="shared" si="1"/>
        <v>Vanilla Protein Powder</v>
      </c>
    </row>
    <row r="63">
      <c r="A63" s="6" t="str">
        <f>IFERROR(__xludf.DUMMYFUNCTION("""COMPUTED_VALUE"""),"Homestyle Chicken Noodle Soup")</f>
        <v>Homestyle Chicken Noodle Soup</v>
      </c>
      <c r="B63" s="6" t="str">
        <f t="array" ref="B63">INDEX('Raw Data Sales'!F63:F1061, MATCH(A63, 'Raw Data Sales'!E63:E1061, 0))</f>
        <v>Food - Canned Goods</v>
      </c>
      <c r="C63" s="6">
        <f>SUMIFS('Raw Data Sales'!M63:M1061, 'Raw Data Sales'!E63:E1061,A63)</f>
        <v>30</v>
      </c>
      <c r="D63" s="6">
        <f>SUMIFS('Raw Data Sales'!N63:N1061, 'Raw Data Sales'!E63:E1061, A63)</f>
        <v>1201.8</v>
      </c>
      <c r="E63" s="6">
        <f>AVERAGEIFS('Raw Data Sales'!G63:G1061, 'Raw Data Sales'!E63:E1061, A63)</f>
        <v>640.09</v>
      </c>
      <c r="F63" s="6" t="str">
        <f t="shared" si="1"/>
        <v>Vanilla Protein Powder</v>
      </c>
    </row>
    <row r="64">
      <c r="A64" s="6" t="str">
        <f>IFERROR(__xludf.DUMMYFUNCTION("""COMPUTED_VALUE"""),"Dog Training Clicker")</f>
        <v>Dog Training Clicker</v>
      </c>
      <c r="B64" s="6" t="str">
        <f t="array" ref="B64">INDEX('Raw Data Sales'!F64:F1062, MATCH(A64, 'Raw Data Sales'!E64:E1062, 0))</f>
        <v>Pets</v>
      </c>
      <c r="C64" s="6">
        <f>SUMIFS('Raw Data Sales'!M64:M1062, 'Raw Data Sales'!E64:E1062,A64)</f>
        <v>118</v>
      </c>
      <c r="D64" s="6">
        <f>SUMIFS('Raw Data Sales'!N64:N1062, 'Raw Data Sales'!E64:E1062, A64)</f>
        <v>11950.69</v>
      </c>
      <c r="E64" s="6">
        <f>AVERAGEIFS('Raw Data Sales'!G64:G1062, 'Raw Data Sales'!E64:E1062, A64)</f>
        <v>272.745</v>
      </c>
      <c r="F64" s="6" t="str">
        <f t="shared" si="1"/>
        <v>Vanilla Protein Powder</v>
      </c>
    </row>
    <row r="65">
      <c r="A65" s="6" t="str">
        <f>IFERROR(__xludf.DUMMYFUNCTION("""COMPUTED_VALUE"""),"Siphon Coffee Maker")</f>
        <v>Siphon Coffee Maker</v>
      </c>
      <c r="B65" s="6" t="str">
        <f t="array" ref="B65">INDEX('Raw Data Sales'!F65:F1063, MATCH(A65, 'Raw Data Sales'!E65:E1063, 0))</f>
        <v>Kitchen</v>
      </c>
      <c r="C65" s="6">
        <f>SUMIFS('Raw Data Sales'!M65:M1063, 'Raw Data Sales'!E65:E1063,A65)</f>
        <v>86</v>
      </c>
      <c r="D65" s="6">
        <f>SUMIFS('Raw Data Sales'!N65:N1063, 'Raw Data Sales'!E65:E1063, A65)</f>
        <v>1881.23</v>
      </c>
      <c r="E65" s="6">
        <f>AVERAGEIFS('Raw Data Sales'!G65:G1063, 'Raw Data Sales'!E65:E1063, A65)</f>
        <v>68.84</v>
      </c>
      <c r="F65" s="6" t="str">
        <f t="shared" si="1"/>
        <v>Vanilla Protein Powder</v>
      </c>
    </row>
    <row r="66">
      <c r="A66" s="6" t="str">
        <f>IFERROR(__xludf.DUMMYFUNCTION("""COMPUTED_VALUE"""),"Compressible Packing Cubes")</f>
        <v>Compressible Packing Cubes</v>
      </c>
      <c r="B66" s="6" t="str">
        <f t="array" ref="B66">INDEX('Raw Data Sales'!F66:F1064, MATCH(A66, 'Raw Data Sales'!E66:E1064, 0))</f>
        <v>Travel</v>
      </c>
      <c r="C66" s="6">
        <f>SUMIFS('Raw Data Sales'!M66:M1064, 'Raw Data Sales'!E66:E1064,A66)</f>
        <v>1</v>
      </c>
      <c r="D66" s="6">
        <f>SUMIFS('Raw Data Sales'!N66:N1064, 'Raw Data Sales'!E66:E1064, A66)</f>
        <v>6960.72</v>
      </c>
      <c r="E66" s="6">
        <f>AVERAGEIFS('Raw Data Sales'!G66:G1064, 'Raw Data Sales'!E66:E1064, A66)</f>
        <v>504.91</v>
      </c>
      <c r="F66" s="6" t="str">
        <f t="shared" si="1"/>
        <v>Vanilla Protein Powder</v>
      </c>
    </row>
    <row r="67">
      <c r="A67" s="6" t="str">
        <f>IFERROR(__xludf.DUMMYFUNCTION("""COMPUTED_VALUE"""),"Sweet Potatoes")</f>
        <v>Sweet Potatoes</v>
      </c>
      <c r="B67" s="6" t="str">
        <f t="array" ref="B67">INDEX('Raw Data Sales'!F67:F1065, MATCH(A67, 'Raw Data Sales'!E67:E1065, 0))</f>
        <v>Food - Produce</v>
      </c>
      <c r="C67" s="6">
        <f>SUMIFS('Raw Data Sales'!M67:M1065, 'Raw Data Sales'!E67:E1065,A67)</f>
        <v>94</v>
      </c>
      <c r="D67" s="6">
        <f>SUMIFS('Raw Data Sales'!N67:N1065, 'Raw Data Sales'!E67:E1065, A67)</f>
        <v>4660.39</v>
      </c>
      <c r="E67" s="6">
        <f>AVERAGEIFS('Raw Data Sales'!G67:G1065, 'Raw Data Sales'!E67:E1065, A67)</f>
        <v>217.81</v>
      </c>
      <c r="F67" s="6" t="str">
        <f t="shared" si="1"/>
        <v>Vanilla Protein Powder</v>
      </c>
    </row>
    <row r="68">
      <c r="A68" s="6" t="str">
        <f>IFERROR(__xludf.DUMMYFUNCTION("""COMPUTED_VALUE"""),"Herb Garden Planter Box")</f>
        <v>Herb Garden Planter Box</v>
      </c>
      <c r="B68" s="6" t="str">
        <f t="array" ref="B68">INDEX('Raw Data Sales'!F68:F1066, MATCH(A68, 'Raw Data Sales'!E68:E1066, 0))</f>
        <v>Garden</v>
      </c>
      <c r="C68" s="6">
        <f>SUMIFS('Raw Data Sales'!M68:M1066, 'Raw Data Sales'!E68:E1066,A68)</f>
        <v>13</v>
      </c>
      <c r="D68" s="6">
        <f>SUMIFS('Raw Data Sales'!N68:N1066, 'Raw Data Sales'!E68:E1066, A68)</f>
        <v>259.74</v>
      </c>
      <c r="E68" s="6">
        <f>AVERAGEIFS('Raw Data Sales'!G68:G1066, 'Raw Data Sales'!E68:E1066, A68)</f>
        <v>595.89</v>
      </c>
      <c r="F68" s="6" t="str">
        <f t="shared" si="1"/>
        <v>Vanilla Protein Powder</v>
      </c>
    </row>
    <row r="69">
      <c r="A69" s="6" t="str">
        <f>IFERROR(__xludf.DUMMYFUNCTION("""COMPUTED_VALUE"""),"Almond Butter")</f>
        <v>Almond Butter</v>
      </c>
      <c r="B69" s="6" t="str">
        <f t="array" ref="B69">INDEX('Raw Data Sales'!F69:F1067, MATCH(A69, 'Raw Data Sales'!E69:E1067, 0))</f>
        <v>Food - Condiments</v>
      </c>
      <c r="C69" s="6">
        <f>SUMIFS('Raw Data Sales'!M69:M1067, 'Raw Data Sales'!E69:E1067,A69)</f>
        <v>75</v>
      </c>
      <c r="D69" s="6">
        <f>SUMIFS('Raw Data Sales'!N69:N1067, 'Raw Data Sales'!E69:E1067, A69)</f>
        <v>6933.16</v>
      </c>
      <c r="E69" s="6">
        <f>AVERAGEIFS('Raw Data Sales'!G69:G1067, 'Raw Data Sales'!E69:E1067, A69)</f>
        <v>910.02</v>
      </c>
      <c r="F69" s="6" t="str">
        <f t="shared" si="1"/>
        <v>Vanilla Protein Powder</v>
      </c>
    </row>
    <row r="70">
      <c r="A70" s="6" t="str">
        <f>IFERROR(__xludf.DUMMYFUNCTION("""COMPUTED_VALUE"""),"Frozen Chicken Nuggets")</f>
        <v>Frozen Chicken Nuggets</v>
      </c>
      <c r="B70" s="6" t="str">
        <f t="array" ref="B70">INDEX('Raw Data Sales'!F70:F1068, MATCH(A70, 'Raw Data Sales'!E70:E1068, 0))</f>
        <v>Food - Frozen Foods</v>
      </c>
      <c r="C70" s="6">
        <f>SUMIFS('Raw Data Sales'!M70:M1068, 'Raw Data Sales'!E70:E1068,A70)</f>
        <v>42</v>
      </c>
      <c r="D70" s="6">
        <f>SUMIFS('Raw Data Sales'!N70:N1068, 'Raw Data Sales'!E70:E1068, A70)</f>
        <v>9508.39</v>
      </c>
      <c r="E70" s="6">
        <f>AVERAGEIFS('Raw Data Sales'!G70:G1068, 'Raw Data Sales'!E70:E1068, A70)</f>
        <v>144.66</v>
      </c>
      <c r="F70" s="6" t="str">
        <f t="shared" si="1"/>
        <v>Vanilla Protein Powder</v>
      </c>
    </row>
    <row r="71">
      <c r="A71" s="6" t="str">
        <f>IFERROR(__xludf.DUMMYFUNCTION("""COMPUTED_VALUE"""),"Over-the-Door Shoe Organizer")</f>
        <v>Over-the-Door Shoe Organizer</v>
      </c>
      <c r="B71" s="6" t="str">
        <f t="array" ref="B71">INDEX('Raw Data Sales'!F71:F1069, MATCH(A71, 'Raw Data Sales'!E71:E1069, 0))</f>
        <v>Home</v>
      </c>
      <c r="C71" s="6">
        <f>SUMIFS('Raw Data Sales'!M71:M1069, 'Raw Data Sales'!E71:E1069,A71)</f>
        <v>60</v>
      </c>
      <c r="D71" s="6">
        <f>SUMIFS('Raw Data Sales'!N71:N1069, 'Raw Data Sales'!E71:E1069, A71)</f>
        <v>9110.34</v>
      </c>
      <c r="E71" s="6">
        <f>AVERAGEIFS('Raw Data Sales'!G71:G1069, 'Raw Data Sales'!E71:E1069, A71)</f>
        <v>808.97</v>
      </c>
      <c r="F71" s="6" t="str">
        <f t="shared" si="1"/>
        <v>Vanilla Protein Powder</v>
      </c>
    </row>
    <row r="72">
      <c r="A72" s="6" t="str">
        <f>IFERROR(__xludf.DUMMYFUNCTION("""COMPUTED_VALUE"""),"Honey Sesame Cashews")</f>
        <v>Honey Sesame Cashews</v>
      </c>
      <c r="B72" s="6" t="str">
        <f t="array" ref="B72">INDEX('Raw Data Sales'!F72:F1070, MATCH(A72, 'Raw Data Sales'!E72:E1070, 0))</f>
        <v>Food - Snacks</v>
      </c>
      <c r="C72" s="6">
        <f>SUMIFS('Raw Data Sales'!M72:M1070, 'Raw Data Sales'!E72:E1070,A72)</f>
        <v>1</v>
      </c>
      <c r="D72" s="6">
        <f>SUMIFS('Raw Data Sales'!N72:N1070, 'Raw Data Sales'!E72:E1070, A72)</f>
        <v>4885.85</v>
      </c>
      <c r="E72" s="6">
        <f>AVERAGEIFS('Raw Data Sales'!G72:G1070, 'Raw Data Sales'!E72:E1070, A72)</f>
        <v>331.28</v>
      </c>
      <c r="F72" s="6" t="str">
        <f t="shared" si="1"/>
        <v>Vanilla Protein Powder</v>
      </c>
    </row>
    <row r="73">
      <c r="A73" s="6" t="str">
        <f>IFERROR(__xludf.DUMMYFUNCTION("""COMPUTED_VALUE"""),"Watercolor Set")</f>
        <v>Watercolor Set</v>
      </c>
      <c r="B73" s="6" t="str">
        <f t="array" ref="B73">INDEX('Raw Data Sales'!F73:F1071, MATCH(A73, 'Raw Data Sales'!E73:E1071, 0))</f>
        <v>Art Supplies</v>
      </c>
      <c r="C73" s="6">
        <f>SUMIFS('Raw Data Sales'!M73:M1071, 'Raw Data Sales'!E73:E1071,A73)</f>
        <v>15</v>
      </c>
      <c r="D73" s="6">
        <f>SUMIFS('Raw Data Sales'!N73:N1071, 'Raw Data Sales'!E73:E1071, A73)</f>
        <v>1084.43</v>
      </c>
      <c r="E73" s="6">
        <f>AVERAGEIFS('Raw Data Sales'!G73:G1071, 'Raw Data Sales'!E73:E1071, A73)</f>
        <v>787.1</v>
      </c>
      <c r="F73" s="6" t="str">
        <f t="shared" si="1"/>
        <v>Vanilla Protein Powder</v>
      </c>
    </row>
    <row r="74">
      <c r="A74" s="6" t="str">
        <f>IFERROR(__xludf.DUMMYFUNCTION("""COMPUTED_VALUE"""),"Pest Control Traps")</f>
        <v>Pest Control Traps</v>
      </c>
      <c r="B74" s="6" t="str">
        <f t="array" ref="B74">INDEX('Raw Data Sales'!F74:F1072, MATCH(A74, 'Raw Data Sales'!E74:E1072, 0))</f>
        <v>Home</v>
      </c>
      <c r="C74" s="6">
        <f>SUMIFS('Raw Data Sales'!M74:M1072, 'Raw Data Sales'!E74:E1072,A74)</f>
        <v>26</v>
      </c>
      <c r="D74" s="6">
        <f>SUMIFS('Raw Data Sales'!N74:N1072, 'Raw Data Sales'!E74:E1072, A74)</f>
        <v>5592.37</v>
      </c>
      <c r="E74" s="6">
        <f>AVERAGEIFS('Raw Data Sales'!G74:G1072, 'Raw Data Sales'!E74:E1072, A74)</f>
        <v>944.97</v>
      </c>
      <c r="F74" s="6" t="str">
        <f t="shared" si="1"/>
        <v>Vanilla Protein Powder</v>
      </c>
    </row>
    <row r="75">
      <c r="A75" s="6" t="str">
        <f>IFERROR(__xludf.DUMMYFUNCTION("""COMPUTED_VALUE"""),"Portable Jump Starter")</f>
        <v>Portable Jump Starter</v>
      </c>
      <c r="B75" s="6" t="str">
        <f t="array" ref="B75">INDEX('Raw Data Sales'!F75:F1073, MATCH(A75, 'Raw Data Sales'!E75:E1073, 0))</f>
        <v>Automotive</v>
      </c>
      <c r="C75" s="6">
        <f>SUMIFS('Raw Data Sales'!M75:M1073, 'Raw Data Sales'!E75:E1073,A75)</f>
        <v>165</v>
      </c>
      <c r="D75" s="6">
        <f>SUMIFS('Raw Data Sales'!N75:N1073, 'Raw Data Sales'!E75:E1073, A75)</f>
        <v>9300.22</v>
      </c>
      <c r="E75" s="6">
        <f>AVERAGEIFS('Raw Data Sales'!G75:G1073, 'Raw Data Sales'!E75:E1073, A75)</f>
        <v>408.9766667</v>
      </c>
      <c r="F75" s="6" t="str">
        <f t="shared" si="1"/>
        <v>Vanilla Protein Powder</v>
      </c>
    </row>
    <row r="76">
      <c r="A76" s="6" t="str">
        <f>IFERROR(__xludf.DUMMYFUNCTION("""COMPUTED_VALUE"""),"Tropical Fruit Bowl")</f>
        <v>Tropical Fruit Bowl</v>
      </c>
      <c r="B76" s="6" t="str">
        <f t="array" ref="B76">INDEX('Raw Data Sales'!F76:F1074, MATCH(A76, 'Raw Data Sales'!E76:E1074, 0))</f>
        <v>Food - Snacks</v>
      </c>
      <c r="C76" s="6">
        <f>SUMIFS('Raw Data Sales'!M76:M1074, 'Raw Data Sales'!E76:E1074,A76)</f>
        <v>41</v>
      </c>
      <c r="D76" s="6">
        <f>SUMIFS('Raw Data Sales'!N76:N1074, 'Raw Data Sales'!E76:E1074, A76)</f>
        <v>7111.75</v>
      </c>
      <c r="E76" s="6">
        <f>AVERAGEIFS('Raw Data Sales'!G76:G1074, 'Raw Data Sales'!E76:E1074, A76)</f>
        <v>132.94</v>
      </c>
      <c r="F76" s="6" t="str">
        <f t="shared" si="1"/>
        <v>Vanilla Protein Powder</v>
      </c>
    </row>
    <row r="77">
      <c r="A77" s="6" t="str">
        <f>IFERROR(__xludf.DUMMYFUNCTION("""COMPUTED_VALUE"""),"Essential Oil Diffuser")</f>
        <v>Essential Oil Diffuser</v>
      </c>
      <c r="B77" s="6" t="str">
        <f t="array" ref="B77">INDEX('Raw Data Sales'!F77:F1075, MATCH(A77, 'Raw Data Sales'!E77:E1075, 0))</f>
        <v>Health</v>
      </c>
      <c r="C77" s="6">
        <f>SUMIFS('Raw Data Sales'!M77:M1075, 'Raw Data Sales'!E77:E1075,A77)</f>
        <v>90</v>
      </c>
      <c r="D77" s="6">
        <f>SUMIFS('Raw Data Sales'!N77:N1075, 'Raw Data Sales'!E77:E1075, A77)</f>
        <v>5967.73</v>
      </c>
      <c r="E77" s="6">
        <f>AVERAGEIFS('Raw Data Sales'!G77:G1075, 'Raw Data Sales'!E77:E1075, A77)</f>
        <v>604.51</v>
      </c>
      <c r="F77" s="6" t="str">
        <f t="shared" si="1"/>
        <v>Vanilla Protein Powder</v>
      </c>
    </row>
    <row r="78">
      <c r="A78" s="6" t="str">
        <f>IFERROR(__xludf.DUMMYFUNCTION("""COMPUTED_VALUE"""),"Pumpkin Spice Pancake Mix")</f>
        <v>Pumpkin Spice Pancake Mix</v>
      </c>
      <c r="B78" s="6" t="str">
        <f t="array" ref="B78">INDEX('Raw Data Sales'!F78:F1076, MATCH(A78, 'Raw Data Sales'!E78:E1076, 0))</f>
        <v>Food - Breakfast</v>
      </c>
      <c r="C78" s="6">
        <f>SUMIFS('Raw Data Sales'!M78:M1076, 'Raw Data Sales'!E78:E1076,A78)</f>
        <v>91</v>
      </c>
      <c r="D78" s="6">
        <f>SUMIFS('Raw Data Sales'!N78:N1076, 'Raw Data Sales'!E78:E1076, A78)</f>
        <v>11511.82</v>
      </c>
      <c r="E78" s="6">
        <f>AVERAGEIFS('Raw Data Sales'!G78:G1076, 'Raw Data Sales'!E78:E1076, A78)</f>
        <v>528.965</v>
      </c>
      <c r="F78" s="6" t="str">
        <f t="shared" si="1"/>
        <v>Vanilla Protein Powder</v>
      </c>
    </row>
    <row r="79">
      <c r="A79" s="6" t="str">
        <f>IFERROR(__xludf.DUMMYFUNCTION("""COMPUTED_VALUE"""),"Inspirational Wall Art")</f>
        <v>Inspirational Wall Art</v>
      </c>
      <c r="B79" s="6" t="str">
        <f t="array" ref="B79">INDEX('Raw Data Sales'!F79:F1077, MATCH(A79, 'Raw Data Sales'!E79:E1077, 0))</f>
        <v>Home</v>
      </c>
      <c r="C79" s="6">
        <f>SUMIFS('Raw Data Sales'!M79:M1077, 'Raw Data Sales'!E79:E1077,A79)</f>
        <v>81</v>
      </c>
      <c r="D79" s="6">
        <f>SUMIFS('Raw Data Sales'!N79:N1077, 'Raw Data Sales'!E79:E1077, A79)</f>
        <v>3647.03</v>
      </c>
      <c r="E79" s="6">
        <f>AVERAGEIFS('Raw Data Sales'!G79:G1077, 'Raw Data Sales'!E79:E1077, A79)</f>
        <v>886.63</v>
      </c>
      <c r="F79" s="6" t="str">
        <f t="shared" si="1"/>
        <v>Vanilla Protein Powder</v>
      </c>
    </row>
    <row r="80">
      <c r="A80" s="6" t="str">
        <f>IFERROR(__xludf.DUMMYFUNCTION("""COMPUTED_VALUE"""),"Maple Cinnamon Almonds")</f>
        <v>Maple Cinnamon Almonds</v>
      </c>
      <c r="B80" s="6" t="str">
        <f t="array" ref="B80">INDEX('Raw Data Sales'!F80:F1078, MATCH(A80, 'Raw Data Sales'!E80:E1078, 0))</f>
        <v>Food - Nuts</v>
      </c>
      <c r="C80" s="6">
        <f>SUMIFS('Raw Data Sales'!M80:M1078, 'Raw Data Sales'!E80:E1078,A80)</f>
        <v>38</v>
      </c>
      <c r="D80" s="6">
        <f>SUMIFS('Raw Data Sales'!N80:N1078, 'Raw Data Sales'!E80:E1078, A80)</f>
        <v>7638.64</v>
      </c>
      <c r="E80" s="6">
        <f>AVERAGEIFS('Raw Data Sales'!G80:G1078, 'Raw Data Sales'!E80:E1078, A80)</f>
        <v>750.92</v>
      </c>
      <c r="F80" s="6" t="str">
        <f t="shared" si="1"/>
        <v>Vanilla Protein Powder</v>
      </c>
    </row>
    <row r="81">
      <c r="A81" s="6" t="str">
        <f>IFERROR(__xludf.DUMMYFUNCTION("""COMPUTED_VALUE"""),"Honey Glazed Carrots")</f>
        <v>Honey Glazed Carrots</v>
      </c>
      <c r="B81" s="6" t="str">
        <f t="array" ref="B81">INDEX('Raw Data Sales'!F81:F1079, MATCH(A81, 'Raw Data Sales'!E81:E1079, 0))</f>
        <v>Food - Produce</v>
      </c>
      <c r="C81" s="6">
        <f>SUMIFS('Raw Data Sales'!M81:M1079, 'Raw Data Sales'!E81:E1079,A81)</f>
        <v>177</v>
      </c>
      <c r="D81" s="6">
        <f>SUMIFS('Raw Data Sales'!N81:N1079, 'Raw Data Sales'!E81:E1079, A81)</f>
        <v>18684.66</v>
      </c>
      <c r="E81" s="6">
        <f>AVERAGEIFS('Raw Data Sales'!G81:G1079, 'Raw Data Sales'!E81:E1079, A81)</f>
        <v>484.8766667</v>
      </c>
      <c r="F81" s="6" t="str">
        <f t="shared" si="1"/>
        <v>Vanilla Protein Powder</v>
      </c>
    </row>
    <row r="82">
      <c r="A82" s="6" t="str">
        <f>IFERROR(__xludf.DUMMYFUNCTION("""COMPUTED_VALUE"""),"Electric Wax Warmer")</f>
        <v>Electric Wax Warmer</v>
      </c>
      <c r="B82" s="6" t="str">
        <f t="array" ref="B82">INDEX('Raw Data Sales'!F82:F1080, MATCH(A82, 'Raw Data Sales'!E82:E1080, 0))</f>
        <v>Home</v>
      </c>
      <c r="C82" s="6">
        <f>SUMIFS('Raw Data Sales'!M82:M1080, 'Raw Data Sales'!E82:E1080,A82)</f>
        <v>122</v>
      </c>
      <c r="D82" s="6">
        <f>SUMIFS('Raw Data Sales'!N82:N1080, 'Raw Data Sales'!E82:E1080, A82)</f>
        <v>6061.88</v>
      </c>
      <c r="E82" s="6">
        <f>AVERAGEIFS('Raw Data Sales'!G82:G1080, 'Raw Data Sales'!E82:E1080, A82)</f>
        <v>91.04</v>
      </c>
      <c r="F82" s="6" t="str">
        <f t="shared" si="1"/>
        <v>Vanilla Protein Powder</v>
      </c>
    </row>
    <row r="83">
      <c r="A83" s="6" t="str">
        <f>IFERROR(__xludf.DUMMYFUNCTION("""COMPUTED_VALUE"""),"Artisan Cornbread Mix")</f>
        <v>Artisan Cornbread Mix</v>
      </c>
      <c r="B83" s="6" t="str">
        <f t="array" ref="B83">INDEX('Raw Data Sales'!F83:F1081, MATCH(A83, 'Raw Data Sales'!E83:E1081, 0))</f>
        <v>Food - Baking</v>
      </c>
      <c r="C83" s="6">
        <f>SUMIFS('Raw Data Sales'!M83:M1081, 'Raw Data Sales'!E83:E1081,A83)</f>
        <v>39</v>
      </c>
      <c r="D83" s="6">
        <f>SUMIFS('Raw Data Sales'!N83:N1081, 'Raw Data Sales'!E83:E1081, A83)</f>
        <v>4519.89</v>
      </c>
      <c r="E83" s="6">
        <f>AVERAGEIFS('Raw Data Sales'!G83:G1081, 'Raw Data Sales'!E83:E1081, A83)</f>
        <v>126.74</v>
      </c>
      <c r="F83" s="6" t="str">
        <f t="shared" si="1"/>
        <v>Vanilla Protein Powder</v>
      </c>
    </row>
    <row r="84">
      <c r="A84" s="6" t="str">
        <f>IFERROR(__xludf.DUMMYFUNCTION("""COMPUTED_VALUE"""),"Screen Cleaning Kit")</f>
        <v>Screen Cleaning Kit</v>
      </c>
      <c r="B84" s="6" t="str">
        <f t="array" ref="B84">INDEX('Raw Data Sales'!F84:F1082, MATCH(A84, 'Raw Data Sales'!E84:E1082, 0))</f>
        <v>Electronics</v>
      </c>
      <c r="C84" s="6">
        <f>SUMIFS('Raw Data Sales'!M84:M1082, 'Raw Data Sales'!E84:E1082,A84)</f>
        <v>99</v>
      </c>
      <c r="D84" s="6">
        <f>SUMIFS('Raw Data Sales'!N84:N1082, 'Raw Data Sales'!E84:E1082, A84)</f>
        <v>4472.54</v>
      </c>
      <c r="E84" s="6">
        <f>AVERAGEIFS('Raw Data Sales'!G84:G1082, 'Raw Data Sales'!E84:E1082, A84)</f>
        <v>765.29</v>
      </c>
      <c r="F84" s="6" t="str">
        <f t="shared" si="1"/>
        <v>Vanilla Protein Powder</v>
      </c>
    </row>
    <row r="85">
      <c r="A85" s="6" t="str">
        <f>IFERROR(__xludf.DUMMYFUNCTION("""COMPUTED_VALUE"""),"Sliced Ham")</f>
        <v>Sliced Ham</v>
      </c>
      <c r="B85" s="6" t="str">
        <f t="array" ref="B85">INDEX('Raw Data Sales'!F85:F1083, MATCH(A85, 'Raw Data Sales'!E85:E1083, 0))</f>
        <v>Food - Meat</v>
      </c>
      <c r="C85" s="6">
        <f>SUMIFS('Raw Data Sales'!M85:M1083, 'Raw Data Sales'!E85:E1083,A85)</f>
        <v>86</v>
      </c>
      <c r="D85" s="6">
        <f>SUMIFS('Raw Data Sales'!N85:N1083, 'Raw Data Sales'!E85:E1083, A85)</f>
        <v>7845.28</v>
      </c>
      <c r="E85" s="6">
        <f>AVERAGEIFS('Raw Data Sales'!G85:G1083, 'Raw Data Sales'!E85:E1083, A85)</f>
        <v>390.31</v>
      </c>
      <c r="F85" s="6" t="str">
        <f t="shared" si="1"/>
        <v>Vanilla Protein Powder</v>
      </c>
    </row>
    <row r="86">
      <c r="A86" s="6" t="str">
        <f>IFERROR(__xludf.DUMMYFUNCTION("""COMPUTED_VALUE"""),"Thai Red Curry Paste")</f>
        <v>Thai Red Curry Paste</v>
      </c>
      <c r="B86" s="6" t="str">
        <f t="array" ref="B86">INDEX('Raw Data Sales'!F86:F1084, MATCH(A86, 'Raw Data Sales'!E86:E1084, 0))</f>
        <v>Food - Condiments</v>
      </c>
      <c r="C86" s="6">
        <f>SUMIFS('Raw Data Sales'!M86:M1084, 'Raw Data Sales'!E86:E1084,A86)</f>
        <v>163</v>
      </c>
      <c r="D86" s="6">
        <f>SUMIFS('Raw Data Sales'!N86:N1084, 'Raw Data Sales'!E86:E1084, A86)</f>
        <v>6866.34</v>
      </c>
      <c r="E86" s="6">
        <f>AVERAGEIFS('Raw Data Sales'!G86:G1084, 'Raw Data Sales'!E86:E1084, A86)</f>
        <v>661.8266667</v>
      </c>
      <c r="F86" s="6" t="str">
        <f t="shared" si="1"/>
        <v>Vanilla Protein Powder</v>
      </c>
    </row>
    <row r="87">
      <c r="A87" s="6" t="str">
        <f>IFERROR(__xludf.DUMMYFUNCTION("""COMPUTED_VALUE"""),"Pumpkin Pie Spice")</f>
        <v>Pumpkin Pie Spice</v>
      </c>
      <c r="B87" s="6" t="str">
        <f t="array" ref="B87">INDEX('Raw Data Sales'!F87:F1085, MATCH(A87, 'Raw Data Sales'!E87:E1085, 0))</f>
        <v>Food - Baking</v>
      </c>
      <c r="C87" s="6">
        <f>SUMIFS('Raw Data Sales'!M87:M1085, 'Raw Data Sales'!E87:E1085,A87)</f>
        <v>97</v>
      </c>
      <c r="D87" s="6">
        <f>SUMIFS('Raw Data Sales'!N87:N1085, 'Raw Data Sales'!E87:E1085, A87)</f>
        <v>4123.93</v>
      </c>
      <c r="E87" s="6">
        <f>AVERAGEIFS('Raw Data Sales'!G87:G1085, 'Raw Data Sales'!E87:E1085, A87)</f>
        <v>502.73</v>
      </c>
      <c r="F87" s="6" t="str">
        <f t="shared" si="1"/>
        <v>Vanilla Protein Powder</v>
      </c>
    </row>
    <row r="88">
      <c r="A88" s="6" t="str">
        <f>IFERROR(__xludf.DUMMYFUNCTION("""COMPUTED_VALUE"""),"Cauliflower Pizza Crust")</f>
        <v>Cauliflower Pizza Crust</v>
      </c>
      <c r="B88" s="6" t="str">
        <f t="array" ref="B88">INDEX('Raw Data Sales'!F88:F1086, MATCH(A88, 'Raw Data Sales'!E88:E1086, 0))</f>
        <v>Food - Frozen Foods</v>
      </c>
      <c r="C88" s="6">
        <f>SUMIFS('Raw Data Sales'!M88:M1086, 'Raw Data Sales'!E88:E1086,A88)</f>
        <v>69</v>
      </c>
      <c r="D88" s="6">
        <f>SUMIFS('Raw Data Sales'!N88:N1086, 'Raw Data Sales'!E88:E1086, A88)</f>
        <v>26.6</v>
      </c>
      <c r="E88" s="6">
        <f>AVERAGEIFS('Raw Data Sales'!G88:G1086, 'Raw Data Sales'!E88:E1086, A88)</f>
        <v>870.49</v>
      </c>
      <c r="F88" s="6" t="str">
        <f t="shared" si="1"/>
        <v>Vanilla Protein Powder</v>
      </c>
    </row>
    <row r="89">
      <c r="A89" s="6" t="str">
        <f>IFERROR(__xludf.DUMMYFUNCTION("""COMPUTED_VALUE"""),"Gaming Mousepad")</f>
        <v>Gaming Mousepad</v>
      </c>
      <c r="B89" s="6" t="str">
        <f t="array" ref="B89">INDEX('Raw Data Sales'!F89:F1087, MATCH(A89, 'Raw Data Sales'!E89:E1087, 0))</f>
        <v>Gaming</v>
      </c>
      <c r="C89" s="6">
        <f>SUMIFS('Raw Data Sales'!M89:M1087, 'Raw Data Sales'!E89:E1087,A89)</f>
        <v>35</v>
      </c>
      <c r="D89" s="6">
        <f>SUMIFS('Raw Data Sales'!N89:N1087, 'Raw Data Sales'!E89:E1087, A89)</f>
        <v>367.33</v>
      </c>
      <c r="E89" s="6">
        <f>AVERAGEIFS('Raw Data Sales'!G89:G1087, 'Raw Data Sales'!E89:E1087, A89)</f>
        <v>452.26</v>
      </c>
      <c r="F89" s="6" t="str">
        <f t="shared" si="1"/>
        <v>Vanilla Protein Powder</v>
      </c>
    </row>
    <row r="90">
      <c r="A90" s="6" t="str">
        <f>IFERROR(__xludf.DUMMYFUNCTION("""COMPUTED_VALUE"""),"Electric Heat Press Machine")</f>
        <v>Electric Heat Press Machine</v>
      </c>
      <c r="B90" s="6" t="str">
        <f t="array" ref="B90">INDEX('Raw Data Sales'!F90:F1088, MATCH(A90, 'Raw Data Sales'!E90:E1088, 0))</f>
        <v>Crafts</v>
      </c>
      <c r="C90" s="6">
        <f>SUMIFS('Raw Data Sales'!M90:M1088, 'Raw Data Sales'!E90:E1088,A90)</f>
        <v>142</v>
      </c>
      <c r="D90" s="6">
        <f>SUMIFS('Raw Data Sales'!N90:N1088, 'Raw Data Sales'!E90:E1088, A90)</f>
        <v>11495.4</v>
      </c>
      <c r="E90" s="6">
        <f>AVERAGEIFS('Raw Data Sales'!G90:G1088, 'Raw Data Sales'!E90:E1088, A90)</f>
        <v>814.825</v>
      </c>
      <c r="F90" s="6" t="str">
        <f t="shared" si="1"/>
        <v>Vanilla Protein Powder</v>
      </c>
    </row>
    <row r="91">
      <c r="A91" s="6" t="str">
        <f>IFERROR(__xludf.DUMMYFUNCTION("""COMPUTED_VALUE"""),"Chocolate Mint Protein Shake")</f>
        <v>Chocolate Mint Protein Shake</v>
      </c>
      <c r="B91" s="6" t="str">
        <f t="array" ref="B91">INDEX('Raw Data Sales'!F91:F1089, MATCH(A91, 'Raw Data Sales'!E91:E1089, 0))</f>
        <v>Food - Beverages</v>
      </c>
      <c r="C91" s="6">
        <f>SUMIFS('Raw Data Sales'!M91:M1089, 'Raw Data Sales'!E91:E1089,A91)</f>
        <v>95</v>
      </c>
      <c r="D91" s="6">
        <f>SUMIFS('Raw Data Sales'!N91:N1089, 'Raw Data Sales'!E91:E1089, A91)</f>
        <v>5850.7</v>
      </c>
      <c r="E91" s="6">
        <f>AVERAGEIFS('Raw Data Sales'!G91:G1089, 'Raw Data Sales'!E91:E1089, A91)</f>
        <v>487.32</v>
      </c>
      <c r="F91" s="6" t="str">
        <f t="shared" si="1"/>
        <v>Vanilla Protein Powder</v>
      </c>
    </row>
    <row r="92">
      <c r="A92" s="6" t="str">
        <f>IFERROR(__xludf.DUMMYFUNCTION("""COMPUTED_VALUE"""),"Popcorn Chicken")</f>
        <v>Popcorn Chicken</v>
      </c>
      <c r="B92" s="6" t="str">
        <f t="array" ref="B92">INDEX('Raw Data Sales'!F92:F1090, MATCH(A92, 'Raw Data Sales'!E92:E1090, 0))</f>
        <v>Food - Frozen</v>
      </c>
      <c r="C92" s="6">
        <f>SUMIFS('Raw Data Sales'!M92:M1090, 'Raw Data Sales'!E92:E1090,A92)</f>
        <v>50</v>
      </c>
      <c r="D92" s="6">
        <f>SUMIFS('Raw Data Sales'!N92:N1090, 'Raw Data Sales'!E92:E1090, A92)</f>
        <v>1400.05</v>
      </c>
      <c r="E92" s="6">
        <f>AVERAGEIFS('Raw Data Sales'!G92:G1090, 'Raw Data Sales'!E92:E1090, A92)</f>
        <v>77.66</v>
      </c>
      <c r="F92" s="6" t="str">
        <f t="shared" si="1"/>
        <v>Vanilla Protein Powder</v>
      </c>
    </row>
    <row r="93">
      <c r="A93" s="6" t="str">
        <f>IFERROR(__xludf.DUMMYFUNCTION("""COMPUTED_VALUE"""),"Spicy Kimchi")</f>
        <v>Spicy Kimchi</v>
      </c>
      <c r="B93" s="6" t="str">
        <f t="array" ref="B93">INDEX('Raw Data Sales'!F93:F1091, MATCH(A93, 'Raw Data Sales'!E93:E1091, 0))</f>
        <v>Food - Condiments</v>
      </c>
      <c r="C93" s="6">
        <f>SUMIFS('Raw Data Sales'!M93:M1091, 'Raw Data Sales'!E93:E1091,A93)</f>
        <v>93</v>
      </c>
      <c r="D93" s="6">
        <f>SUMIFS('Raw Data Sales'!N93:N1091, 'Raw Data Sales'!E93:E1091, A93)</f>
        <v>2570.88</v>
      </c>
      <c r="E93" s="6">
        <f>AVERAGEIFS('Raw Data Sales'!G93:G1091, 'Raw Data Sales'!E93:E1091, A93)</f>
        <v>509.26</v>
      </c>
      <c r="F93" s="6" t="str">
        <f t="shared" si="1"/>
        <v>Vanilla Protein Powder</v>
      </c>
    </row>
    <row r="94">
      <c r="A94" s="6" t="str">
        <f>IFERROR(__xludf.DUMMYFUNCTION("""COMPUTED_VALUE"""),"Black Bean Spaghetti")</f>
        <v>Black Bean Spaghetti</v>
      </c>
      <c r="B94" s="6" t="str">
        <f t="array" ref="B94">INDEX('Raw Data Sales'!F94:F1092, MATCH(A94, 'Raw Data Sales'!E94:E1092, 0))</f>
        <v>Food - Pasta</v>
      </c>
      <c r="C94" s="6">
        <f>SUMIFS('Raw Data Sales'!M94:M1092, 'Raw Data Sales'!E94:E1092,A94)</f>
        <v>91</v>
      </c>
      <c r="D94" s="6">
        <f>SUMIFS('Raw Data Sales'!N94:N1092, 'Raw Data Sales'!E94:E1092, A94)</f>
        <v>6866.16</v>
      </c>
      <c r="E94" s="6">
        <f>AVERAGEIFS('Raw Data Sales'!G94:G1092, 'Raw Data Sales'!E94:E1092, A94)</f>
        <v>498.46</v>
      </c>
      <c r="F94" s="6" t="str">
        <f t="shared" si="1"/>
        <v>Vanilla Protein Powder</v>
      </c>
    </row>
    <row r="95">
      <c r="A95" s="6" t="str">
        <f>IFERROR(__xludf.DUMMYFUNCTION("""COMPUTED_VALUE"""),"Sports Water Bottle with Infuser")</f>
        <v>Sports Water Bottle with Infuser</v>
      </c>
      <c r="B95" s="6" t="str">
        <f t="array" ref="B95">INDEX('Raw Data Sales'!F95:F1093, MATCH(A95, 'Raw Data Sales'!E95:E1093, 0))</f>
        <v>Fitness</v>
      </c>
      <c r="C95" s="6">
        <f>SUMIFS('Raw Data Sales'!M95:M1093, 'Raw Data Sales'!E95:E1093,A95)</f>
        <v>117</v>
      </c>
      <c r="D95" s="6">
        <f>SUMIFS('Raw Data Sales'!N95:N1093, 'Raw Data Sales'!E95:E1093, A95)</f>
        <v>16569.05</v>
      </c>
      <c r="E95" s="6">
        <f>AVERAGEIFS('Raw Data Sales'!G95:G1093, 'Raw Data Sales'!E95:E1093, A95)</f>
        <v>190.87</v>
      </c>
      <c r="F95" s="6" t="str">
        <f t="shared" si="1"/>
        <v>Vanilla Protein Powder</v>
      </c>
    </row>
    <row r="96">
      <c r="A96" s="6" t="str">
        <f>IFERROR(__xludf.DUMMYFUNCTION("""COMPUTED_VALUE"""),"Beef Taco Skillet")</f>
        <v>Beef Taco Skillet</v>
      </c>
      <c r="B96" s="6" t="str">
        <f t="array" ref="B96">INDEX('Raw Data Sales'!F96:F1094, MATCH(A96, 'Raw Data Sales'!E96:E1094, 0))</f>
        <v>Food - Meal Kits</v>
      </c>
      <c r="C96" s="6">
        <f>SUMIFS('Raw Data Sales'!M96:M1094, 'Raw Data Sales'!E96:E1094,A96)</f>
        <v>87</v>
      </c>
      <c r="D96" s="6">
        <f>SUMIFS('Raw Data Sales'!N96:N1094, 'Raw Data Sales'!E96:E1094, A96)</f>
        <v>7005.31</v>
      </c>
      <c r="E96" s="6">
        <f>AVERAGEIFS('Raw Data Sales'!G96:G1094, 'Raw Data Sales'!E96:E1094, A96)</f>
        <v>802.78</v>
      </c>
      <c r="F96" s="6" t="str">
        <f t="shared" si="1"/>
        <v>Vanilla Protein Powder</v>
      </c>
    </row>
    <row r="97">
      <c r="A97" s="6" t="str">
        <f>IFERROR(__xludf.DUMMYFUNCTION("""COMPUTED_VALUE"""),"Organic Whole Grain Oats")</f>
        <v>Organic Whole Grain Oats</v>
      </c>
      <c r="B97" s="6" t="str">
        <f t="array" ref="B97">INDEX('Raw Data Sales'!F97:F1095, MATCH(A97, 'Raw Data Sales'!E97:E1095, 0))</f>
        <v>Food - Breakfast</v>
      </c>
      <c r="C97" s="6">
        <f>SUMIFS('Raw Data Sales'!M97:M1095, 'Raw Data Sales'!E97:E1095,A97)</f>
        <v>98</v>
      </c>
      <c r="D97" s="6">
        <f>SUMIFS('Raw Data Sales'!N97:N1095, 'Raw Data Sales'!E97:E1095, A97)</f>
        <v>5944.92</v>
      </c>
      <c r="E97" s="6">
        <f>AVERAGEIFS('Raw Data Sales'!G97:G1095, 'Raw Data Sales'!E97:E1095, A97)</f>
        <v>602.755</v>
      </c>
      <c r="F97" s="6" t="str">
        <f t="shared" si="1"/>
        <v>Vanilla Protein Powder</v>
      </c>
    </row>
    <row r="98">
      <c r="A98" s="6" t="str">
        <f>IFERROR(__xludf.DUMMYFUNCTION("""COMPUTED_VALUE"""),"Thai Peanut Dressing")</f>
        <v>Thai Peanut Dressing</v>
      </c>
      <c r="B98" s="6" t="str">
        <f t="array" ref="B98">INDEX('Raw Data Sales'!F98:F1096, MATCH(A98, 'Raw Data Sales'!E98:E1096, 0))</f>
        <v>Food - Condiments</v>
      </c>
      <c r="C98" s="6">
        <f>SUMIFS('Raw Data Sales'!M98:M1096, 'Raw Data Sales'!E98:E1096,A98)</f>
        <v>179</v>
      </c>
      <c r="D98" s="6">
        <f>SUMIFS('Raw Data Sales'!N98:N1096, 'Raw Data Sales'!E98:E1096, A98)</f>
        <v>15246.21</v>
      </c>
      <c r="E98" s="6">
        <f>AVERAGEIFS('Raw Data Sales'!G98:G1096, 'Raw Data Sales'!E98:E1096, A98)</f>
        <v>44.445</v>
      </c>
      <c r="F98" s="6" t="str">
        <f t="shared" si="1"/>
        <v>Vanilla Protein Powder</v>
      </c>
    </row>
    <row r="99">
      <c r="A99" s="6" t="str">
        <f>IFERROR(__xludf.DUMMYFUNCTION("""COMPUTED_VALUE"""),"Sushi Rice")</f>
        <v>Sushi Rice</v>
      </c>
      <c r="B99" s="6" t="str">
        <f t="array" ref="B99">INDEX('Raw Data Sales'!F99:F1097, MATCH(A99, 'Raw Data Sales'!E99:E1097, 0))</f>
        <v>Food - Grains</v>
      </c>
      <c r="C99" s="6">
        <f>SUMIFS('Raw Data Sales'!M99:M1097, 'Raw Data Sales'!E99:E1097,A99)</f>
        <v>1</v>
      </c>
      <c r="D99" s="6">
        <f>SUMIFS('Raw Data Sales'!N99:N1097, 'Raw Data Sales'!E99:E1097, A99)</f>
        <v>4228.75</v>
      </c>
      <c r="E99" s="6">
        <f>AVERAGEIFS('Raw Data Sales'!G99:G1097, 'Raw Data Sales'!E99:E1097, A99)</f>
        <v>801.23</v>
      </c>
      <c r="F99" s="6" t="str">
        <f t="shared" si="1"/>
        <v>Vanilla Protein Powder</v>
      </c>
    </row>
    <row r="100">
      <c r="A100" s="6" t="str">
        <f>IFERROR(__xludf.DUMMYFUNCTION("""COMPUTED_VALUE"""),"Classic Caesar Dressing")</f>
        <v>Classic Caesar Dressing</v>
      </c>
      <c r="B100" s="6" t="str">
        <f t="array" ref="B100">INDEX('Raw Data Sales'!F100:F1098, MATCH(A100, 'Raw Data Sales'!E100:E1098, 0))</f>
        <v>Food - Condiments</v>
      </c>
      <c r="C100" s="6">
        <f>SUMIFS('Raw Data Sales'!M100:M1098, 'Raw Data Sales'!E100:E1098,A100)</f>
        <v>46</v>
      </c>
      <c r="D100" s="6">
        <f>SUMIFS('Raw Data Sales'!N100:N1098, 'Raw Data Sales'!E100:E1098, A100)</f>
        <v>7752.2</v>
      </c>
      <c r="E100" s="6">
        <f>AVERAGEIFS('Raw Data Sales'!G100:G1098, 'Raw Data Sales'!E100:E1098, A100)</f>
        <v>283.965</v>
      </c>
      <c r="F100" s="6" t="str">
        <f t="shared" si="1"/>
        <v>Vanilla Protein Powder</v>
      </c>
    </row>
    <row r="101">
      <c r="A101" s="6" t="str">
        <f>IFERROR(__xludf.DUMMYFUNCTION("""COMPUTED_VALUE"""),"Yoga Mat")</f>
        <v>Yoga Mat</v>
      </c>
      <c r="B101" s="6" t="str">
        <f t="array" ref="B101">INDEX('Raw Data Sales'!F101:F1099, MATCH(A101, 'Raw Data Sales'!E101:E1099, 0))</f>
        <v>Fitness</v>
      </c>
      <c r="C101" s="6">
        <f>SUMIFS('Raw Data Sales'!M101:M1099, 'Raw Data Sales'!E101:E1099,A101)</f>
        <v>39</v>
      </c>
      <c r="D101" s="6">
        <f>SUMIFS('Raw Data Sales'!N101:N1099, 'Raw Data Sales'!E101:E1099, A101)</f>
        <v>2350.78</v>
      </c>
      <c r="E101" s="6">
        <f>AVERAGEIFS('Raw Data Sales'!G101:G1099, 'Raw Data Sales'!E101:E1099, A101)</f>
        <v>934.77</v>
      </c>
      <c r="F101" s="6" t="str">
        <f t="shared" si="1"/>
        <v>Vanilla Protein Powder</v>
      </c>
    </row>
    <row r="102">
      <c r="A102" s="6" t="str">
        <f>IFERROR(__xludf.DUMMYFUNCTION("""COMPUTED_VALUE"""),"Wireless HDMI Receiver")</f>
        <v>Wireless HDMI Receiver</v>
      </c>
      <c r="B102" s="6" t="str">
        <f t="array" ref="B102">INDEX('Raw Data Sales'!F102:F1100, MATCH(A102, 'Raw Data Sales'!E102:E1100, 0))</f>
        <v>Electronics</v>
      </c>
      <c r="C102" s="6">
        <f>SUMIFS('Raw Data Sales'!M102:M1100, 'Raw Data Sales'!E102:E1100,A102)</f>
        <v>103</v>
      </c>
      <c r="D102" s="6">
        <f>SUMIFS('Raw Data Sales'!N102:N1100, 'Raw Data Sales'!E102:E1100, A102)</f>
        <v>10526.24</v>
      </c>
      <c r="E102" s="6">
        <f>AVERAGEIFS('Raw Data Sales'!G102:G1100, 'Raw Data Sales'!E102:E1100, A102)</f>
        <v>635.52</v>
      </c>
      <c r="F102" s="6" t="str">
        <f t="shared" si="1"/>
        <v>Vanilla Protein Powder</v>
      </c>
    </row>
    <row r="103">
      <c r="A103" s="6" t="str">
        <f>IFERROR(__xludf.DUMMYFUNCTION("""COMPUTED_VALUE"""),"Fleece Lined Leggings")</f>
        <v>Fleece Lined Leggings</v>
      </c>
      <c r="B103" s="6" t="str">
        <f t="array" ref="B103">INDEX('Raw Data Sales'!F103:F1101, MATCH(A103, 'Raw Data Sales'!E103:E1101, 0))</f>
        <v>Clothing</v>
      </c>
      <c r="C103" s="6">
        <f>SUMIFS('Raw Data Sales'!M103:M1101, 'Raw Data Sales'!E103:E1101,A103)</f>
        <v>12</v>
      </c>
      <c r="D103" s="6">
        <f>SUMIFS('Raw Data Sales'!N103:N1101, 'Raw Data Sales'!E103:E1101, A103)</f>
        <v>7587.97</v>
      </c>
      <c r="E103" s="6">
        <f>AVERAGEIFS('Raw Data Sales'!G103:G1101, 'Raw Data Sales'!E103:E1101, A103)</f>
        <v>428.59</v>
      </c>
      <c r="F103" s="6" t="str">
        <f t="shared" si="1"/>
        <v>Vanilla Protein Powder</v>
      </c>
    </row>
    <row r="104">
      <c r="A104" s="6" t="str">
        <f>IFERROR(__xludf.DUMMYFUNCTION("""COMPUTED_VALUE"""),"Mushrooms")</f>
        <v>Mushrooms</v>
      </c>
      <c r="B104" s="6" t="str">
        <f t="array" ref="B104">INDEX('Raw Data Sales'!F104:F1102, MATCH(A104, 'Raw Data Sales'!E104:E1102, 0))</f>
        <v>Food - Produce</v>
      </c>
      <c r="C104" s="6">
        <f>SUMIFS('Raw Data Sales'!M104:M1102, 'Raw Data Sales'!E104:E1102,A104)</f>
        <v>53</v>
      </c>
      <c r="D104" s="6">
        <f>SUMIFS('Raw Data Sales'!N104:N1102, 'Raw Data Sales'!E104:E1102, A104)</f>
        <v>2473.49</v>
      </c>
      <c r="E104" s="6">
        <f>AVERAGEIFS('Raw Data Sales'!G104:G1102, 'Raw Data Sales'!E104:E1102, A104)</f>
        <v>519.11</v>
      </c>
      <c r="F104" s="6" t="str">
        <f t="shared" si="1"/>
        <v>Vanilla Protein Powder</v>
      </c>
    </row>
    <row r="105">
      <c r="A105" s="6" t="str">
        <f>IFERROR(__xludf.DUMMYFUNCTION("""COMPUTED_VALUE"""),"Smart Thermostat")</f>
        <v>Smart Thermostat</v>
      </c>
      <c r="B105" s="6" t="str">
        <f t="array" ref="B105">INDEX('Raw Data Sales'!F105:F1103, MATCH(A105, 'Raw Data Sales'!E105:E1103, 0))</f>
        <v>Smart Home</v>
      </c>
      <c r="C105" s="6">
        <f>SUMIFS('Raw Data Sales'!M105:M1103, 'Raw Data Sales'!E105:E1103,A105)</f>
        <v>258</v>
      </c>
      <c r="D105" s="6">
        <f>SUMIFS('Raw Data Sales'!N105:N1103, 'Raw Data Sales'!E105:E1103, A105)</f>
        <v>23031.06</v>
      </c>
      <c r="E105" s="6">
        <f>AVERAGEIFS('Raw Data Sales'!G105:G1103, 'Raw Data Sales'!E105:E1103, A105)</f>
        <v>620.6725</v>
      </c>
      <c r="F105" s="6" t="str">
        <f t="shared" si="1"/>
        <v>Vanilla Protein Powder</v>
      </c>
    </row>
    <row r="106">
      <c r="A106" s="6" t="str">
        <f>IFERROR(__xludf.DUMMYFUNCTION("""COMPUTED_VALUE"""),"Vintage Graphic Tee")</f>
        <v>Vintage Graphic Tee</v>
      </c>
      <c r="B106" s="6" t="str">
        <f t="array" ref="B106">INDEX('Raw Data Sales'!F106:F1104, MATCH(A106, 'Raw Data Sales'!E106:E1104, 0))</f>
        <v>Clothing - Tops</v>
      </c>
      <c r="C106" s="6">
        <f>SUMIFS('Raw Data Sales'!M106:M1104, 'Raw Data Sales'!E106:E1104,A106)</f>
        <v>107</v>
      </c>
      <c r="D106" s="6">
        <f>SUMIFS('Raw Data Sales'!N106:N1104, 'Raw Data Sales'!E106:E1104, A106)</f>
        <v>4361.52</v>
      </c>
      <c r="E106" s="6">
        <f>AVERAGEIFS('Raw Data Sales'!G106:G1104, 'Raw Data Sales'!E106:E1104, A106)</f>
        <v>986.64</v>
      </c>
      <c r="F106" s="6" t="str">
        <f t="shared" si="1"/>
        <v>Vanilla Protein Powder</v>
      </c>
    </row>
    <row r="107">
      <c r="A107" s="6" t="str">
        <f>IFERROR(__xludf.DUMMYFUNCTION("""COMPUTED_VALUE"""),"Cinnamon Apple Sauce")</f>
        <v>Cinnamon Apple Sauce</v>
      </c>
      <c r="B107" s="6" t="str">
        <f t="array" ref="B107">INDEX('Raw Data Sales'!F107:F1105, MATCH(A107, 'Raw Data Sales'!E107:E1105, 0))</f>
        <v>Food - Canned Goods</v>
      </c>
      <c r="C107" s="6">
        <f>SUMIFS('Raw Data Sales'!M107:M1105, 'Raw Data Sales'!E107:E1105,A107)</f>
        <v>57</v>
      </c>
      <c r="D107" s="6">
        <f>SUMIFS('Raw Data Sales'!N107:N1105, 'Raw Data Sales'!E107:E1105, A107)</f>
        <v>1879.01</v>
      </c>
      <c r="E107" s="6">
        <f>AVERAGEIFS('Raw Data Sales'!G107:G1105, 'Raw Data Sales'!E107:E1105, A107)</f>
        <v>722.06</v>
      </c>
      <c r="F107" s="6" t="str">
        <f t="shared" si="1"/>
        <v>Vanilla Protein Powder</v>
      </c>
    </row>
    <row r="108">
      <c r="A108" s="6" t="str">
        <f>IFERROR(__xludf.DUMMYFUNCTION("""COMPUTED_VALUE"""),"Cotton Quilted Throw Blanket")</f>
        <v>Cotton Quilted Throw Blanket</v>
      </c>
      <c r="B108" s="6" t="str">
        <f t="array" ref="B108">INDEX('Raw Data Sales'!F108:F1106, MATCH(A108, 'Raw Data Sales'!E108:E1106, 0))</f>
        <v>Home</v>
      </c>
      <c r="C108" s="6">
        <f>SUMIFS('Raw Data Sales'!M108:M1106, 'Raw Data Sales'!E108:E1106,A108)</f>
        <v>31</v>
      </c>
      <c r="D108" s="6">
        <f>SUMIFS('Raw Data Sales'!N108:N1106, 'Raw Data Sales'!E108:E1106, A108)</f>
        <v>2551.47</v>
      </c>
      <c r="E108" s="6">
        <f>AVERAGEIFS('Raw Data Sales'!G108:G1106, 'Raw Data Sales'!E108:E1106, A108)</f>
        <v>110.83</v>
      </c>
      <c r="F108" s="6" t="str">
        <f t="shared" si="1"/>
        <v>Vanilla Protein Powder</v>
      </c>
    </row>
    <row r="109">
      <c r="A109" s="6" t="str">
        <f>IFERROR(__xludf.DUMMYFUNCTION("""COMPUTED_VALUE"""),"Mayonnaise")</f>
        <v>Mayonnaise</v>
      </c>
      <c r="B109" s="6" t="str">
        <f t="array" ref="B109">INDEX('Raw Data Sales'!F109:F1107, MATCH(A109, 'Raw Data Sales'!E109:E1107, 0))</f>
        <v>Food - Condiments</v>
      </c>
      <c r="C109" s="6">
        <f>SUMIFS('Raw Data Sales'!M109:M1107, 'Raw Data Sales'!E109:E1107,A109)</f>
        <v>16</v>
      </c>
      <c r="D109" s="6">
        <f>SUMIFS('Raw Data Sales'!N109:N1107, 'Raw Data Sales'!E109:E1107, A109)</f>
        <v>1773.76</v>
      </c>
      <c r="E109" s="6">
        <f>AVERAGEIFS('Raw Data Sales'!G109:G1107, 'Raw Data Sales'!E109:E1107, A109)</f>
        <v>444.44</v>
      </c>
      <c r="F109" s="6" t="str">
        <f t="shared" si="1"/>
        <v>Vanilla Protein Powder</v>
      </c>
    </row>
    <row r="110">
      <c r="A110" s="6" t="str">
        <f>IFERROR(__xludf.DUMMYFUNCTION("""COMPUTED_VALUE"""),"Car Phone Mount")</f>
        <v>Car Phone Mount</v>
      </c>
      <c r="B110" s="6" t="str">
        <f t="array" ref="B110">INDEX('Raw Data Sales'!F110:F1108, MATCH(A110, 'Raw Data Sales'!E110:E1108, 0))</f>
        <v>Automotive</v>
      </c>
      <c r="C110" s="6">
        <f>SUMIFS('Raw Data Sales'!M110:M1108, 'Raw Data Sales'!E110:E1108,A110)</f>
        <v>49</v>
      </c>
      <c r="D110" s="6">
        <f>SUMIFS('Raw Data Sales'!N110:N1108, 'Raw Data Sales'!E110:E1108, A110)</f>
        <v>8805.15</v>
      </c>
      <c r="E110" s="6">
        <f>AVERAGEIFS('Raw Data Sales'!G110:G1108, 'Raw Data Sales'!E110:E1108, A110)</f>
        <v>219.8</v>
      </c>
      <c r="F110" s="6" t="str">
        <f t="shared" si="1"/>
        <v>Vanilla Protein Powder</v>
      </c>
    </row>
    <row r="111">
      <c r="A111" s="6" t="str">
        <f>IFERROR(__xludf.DUMMYFUNCTION("""COMPUTED_VALUE"""),"Carrot Sticks")</f>
        <v>Carrot Sticks</v>
      </c>
      <c r="B111" s="6" t="str">
        <f t="array" ref="B111">INDEX('Raw Data Sales'!F111:F1109, MATCH(A111, 'Raw Data Sales'!E111:E1109, 0))</f>
        <v>Food - Produce</v>
      </c>
      <c r="C111" s="6">
        <f>SUMIFS('Raw Data Sales'!M111:M1109, 'Raw Data Sales'!E111:E1109,A111)</f>
        <v>4</v>
      </c>
      <c r="D111" s="6">
        <f>SUMIFS('Raw Data Sales'!N111:N1109, 'Raw Data Sales'!E111:E1109, A111)</f>
        <v>7616.39</v>
      </c>
      <c r="E111" s="6">
        <f>AVERAGEIFS('Raw Data Sales'!G111:G1109, 'Raw Data Sales'!E111:E1109, A111)</f>
        <v>732.54</v>
      </c>
      <c r="F111" s="6" t="str">
        <f t="shared" si="1"/>
        <v>Vanilla Protein Powder</v>
      </c>
    </row>
    <row r="112">
      <c r="A112" s="6" t="str">
        <f>IFERROR(__xludf.DUMMYFUNCTION("""COMPUTED_VALUE"""),"Indestructible Dog Toy")</f>
        <v>Indestructible Dog Toy</v>
      </c>
      <c r="B112" s="6" t="str">
        <f t="array" ref="B112">INDEX('Raw Data Sales'!F112:F1110, MATCH(A112, 'Raw Data Sales'!E112:E1110, 0))</f>
        <v>Pets</v>
      </c>
      <c r="C112" s="6">
        <f>SUMIFS('Raw Data Sales'!M112:M1110, 'Raw Data Sales'!E112:E1110,A112)</f>
        <v>70</v>
      </c>
      <c r="D112" s="6">
        <f>SUMIFS('Raw Data Sales'!N112:N1110, 'Raw Data Sales'!E112:E1110, A112)</f>
        <v>1627.12</v>
      </c>
      <c r="E112" s="6">
        <f>AVERAGEIFS('Raw Data Sales'!G112:G1110, 'Raw Data Sales'!E112:E1110, A112)</f>
        <v>706.28</v>
      </c>
      <c r="F112" s="6" t="str">
        <f t="shared" si="1"/>
        <v>Vanilla Protein Powder</v>
      </c>
    </row>
    <row r="113">
      <c r="A113" s="6" t="str">
        <f>IFERROR(__xludf.DUMMYFUNCTION("""COMPUTED_VALUE"""),"Sesame Seeds")</f>
        <v>Sesame Seeds</v>
      </c>
      <c r="B113" s="6" t="str">
        <f t="array" ref="B113">INDEX('Raw Data Sales'!F113:F1111, MATCH(A113, 'Raw Data Sales'!E113:E1111, 0))</f>
        <v>Food - Baking</v>
      </c>
      <c r="C113" s="6">
        <f>SUMIFS('Raw Data Sales'!M113:M1111, 'Raw Data Sales'!E113:E1111,A113)</f>
        <v>55</v>
      </c>
      <c r="D113" s="6">
        <f>SUMIFS('Raw Data Sales'!N113:N1111, 'Raw Data Sales'!E113:E1111, A113)</f>
        <v>8391.19</v>
      </c>
      <c r="E113" s="6">
        <f>AVERAGEIFS('Raw Data Sales'!G113:G1111, 'Raw Data Sales'!E113:E1111, A113)</f>
        <v>511.79</v>
      </c>
      <c r="F113" s="6" t="str">
        <f t="shared" si="1"/>
        <v>Vanilla Protein Powder</v>
      </c>
    </row>
    <row r="114">
      <c r="A114" s="6" t="str">
        <f>IFERROR(__xludf.DUMMYFUNCTION("""COMPUTED_VALUE"""),"Vegan Tacos")</f>
        <v>Vegan Tacos</v>
      </c>
      <c r="B114" s="6" t="str">
        <f t="array" ref="B114">INDEX('Raw Data Sales'!F114:F1112, MATCH(A114, 'Raw Data Sales'!E114:E1112, 0))</f>
        <v>Food - Frozen Foods</v>
      </c>
      <c r="C114" s="6">
        <f>SUMIFS('Raw Data Sales'!M114:M1112, 'Raw Data Sales'!E114:E1112,A114)</f>
        <v>56</v>
      </c>
      <c r="D114" s="6">
        <f>SUMIFS('Raw Data Sales'!N114:N1112, 'Raw Data Sales'!E114:E1112, A114)</f>
        <v>2165.81</v>
      </c>
      <c r="E114" s="6">
        <f>AVERAGEIFS('Raw Data Sales'!G114:G1112, 'Raw Data Sales'!E114:E1112, A114)</f>
        <v>676.23</v>
      </c>
      <c r="F114" s="6" t="str">
        <f t="shared" si="1"/>
        <v>Vanilla Protein Powder</v>
      </c>
    </row>
    <row r="115">
      <c r="A115" s="6" t="str">
        <f>IFERROR(__xludf.DUMMYFUNCTION("""COMPUTED_VALUE"""),"Robot Vacuum Cleaner")</f>
        <v>Robot Vacuum Cleaner</v>
      </c>
      <c r="B115" s="6" t="str">
        <f t="array" ref="B115">INDEX('Raw Data Sales'!F115:F1113, MATCH(A115, 'Raw Data Sales'!E115:E1113, 0))</f>
        <v>Home Appliances</v>
      </c>
      <c r="C115" s="6">
        <f>SUMIFS('Raw Data Sales'!M115:M1113, 'Raw Data Sales'!E115:E1113,A115)</f>
        <v>159</v>
      </c>
      <c r="D115" s="6">
        <f>SUMIFS('Raw Data Sales'!N115:N1113, 'Raw Data Sales'!E115:E1113, A115)</f>
        <v>13521.48</v>
      </c>
      <c r="E115" s="6">
        <f>AVERAGEIFS('Raw Data Sales'!G115:G1113, 'Raw Data Sales'!E115:E1113, A115)</f>
        <v>442.9366667</v>
      </c>
      <c r="F115" s="6" t="str">
        <f t="shared" si="1"/>
        <v>Vanilla Protein Powder</v>
      </c>
    </row>
    <row r="116">
      <c r="A116" s="6" t="str">
        <f>IFERROR(__xludf.DUMMYFUNCTION("""COMPUTED_VALUE"""),"Infrared Thermometer Gun")</f>
        <v>Infrared Thermometer Gun</v>
      </c>
      <c r="B116" s="6" t="str">
        <f t="array" ref="B116">INDEX('Raw Data Sales'!F116:F1114, MATCH(A116, 'Raw Data Sales'!E116:E1114, 0))</f>
        <v>Health</v>
      </c>
      <c r="C116" s="6">
        <f>SUMIFS('Raw Data Sales'!M116:M1114, 'Raw Data Sales'!E116:E1114,A116)</f>
        <v>30</v>
      </c>
      <c r="D116" s="6">
        <f>SUMIFS('Raw Data Sales'!N116:N1114, 'Raw Data Sales'!E116:E1114, A116)</f>
        <v>9344.32</v>
      </c>
      <c r="E116" s="6">
        <f>AVERAGEIFS('Raw Data Sales'!G116:G1114, 'Raw Data Sales'!E116:E1114, A116)</f>
        <v>390.56</v>
      </c>
      <c r="F116" s="6" t="str">
        <f t="shared" si="1"/>
        <v>Vanilla Protein Powder</v>
      </c>
    </row>
    <row r="117">
      <c r="A117" s="6" t="str">
        <f>IFERROR(__xludf.DUMMYFUNCTION("""COMPUTED_VALUE"""),"Microwave Popcorn Maker")</f>
        <v>Microwave Popcorn Maker</v>
      </c>
      <c r="B117" s="6" t="str">
        <f t="array" ref="B117">INDEX('Raw Data Sales'!F117:F1115, MATCH(A117, 'Raw Data Sales'!E117:E1115, 0))</f>
        <v>Kitchen</v>
      </c>
      <c r="C117" s="6">
        <f>SUMIFS('Raw Data Sales'!M117:M1115, 'Raw Data Sales'!E117:E1115,A117)</f>
        <v>21</v>
      </c>
      <c r="D117" s="6">
        <f>SUMIFS('Raw Data Sales'!N117:N1115, 'Raw Data Sales'!E117:E1115, A117)</f>
        <v>7384.52</v>
      </c>
      <c r="E117" s="6">
        <f>AVERAGEIFS('Raw Data Sales'!G117:G1115, 'Raw Data Sales'!E117:E1115, A117)</f>
        <v>580.24</v>
      </c>
      <c r="F117" s="6" t="str">
        <f t="shared" si="1"/>
        <v>Vanilla Protein Powder</v>
      </c>
    </row>
    <row r="118">
      <c r="A118" s="6" t="str">
        <f>IFERROR(__xludf.DUMMYFUNCTION("""COMPUTED_VALUE"""),"Blackberry Compote")</f>
        <v>Blackberry Compote</v>
      </c>
      <c r="B118" s="6" t="str">
        <f t="array" ref="B118">INDEX('Raw Data Sales'!F118:F1116, MATCH(A118, 'Raw Data Sales'!E118:E1116, 0))</f>
        <v>Food - Condiments</v>
      </c>
      <c r="C118" s="6">
        <f>SUMIFS('Raw Data Sales'!M118:M1116, 'Raw Data Sales'!E118:E1116,A118)</f>
        <v>41</v>
      </c>
      <c r="D118" s="6">
        <f>SUMIFS('Raw Data Sales'!N118:N1116, 'Raw Data Sales'!E118:E1116, A118)</f>
        <v>2734.99</v>
      </c>
      <c r="E118" s="6">
        <f>AVERAGEIFS('Raw Data Sales'!G118:G1116, 'Raw Data Sales'!E118:E1116, A118)</f>
        <v>757.23</v>
      </c>
      <c r="F118" s="6" t="str">
        <f t="shared" si="1"/>
        <v>Vanilla Protein Powder</v>
      </c>
    </row>
    <row r="119">
      <c r="A119" s="6" t="str">
        <f>IFERROR(__xludf.DUMMYFUNCTION("""COMPUTED_VALUE"""),"Rechargeable Laptop Battery Pack")</f>
        <v>Rechargeable Laptop Battery Pack</v>
      </c>
      <c r="B119" s="6" t="str">
        <f t="array" ref="B119">INDEX('Raw Data Sales'!F119:F1117, MATCH(A119, 'Raw Data Sales'!E119:E1117, 0))</f>
        <v>Electronics</v>
      </c>
      <c r="C119" s="6">
        <f>SUMIFS('Raw Data Sales'!M119:M1117, 'Raw Data Sales'!E119:E1117,A119)</f>
        <v>71</v>
      </c>
      <c r="D119" s="6">
        <f>SUMIFS('Raw Data Sales'!N119:N1117, 'Raw Data Sales'!E119:E1117, A119)</f>
        <v>747.99</v>
      </c>
      <c r="E119" s="6">
        <f>AVERAGEIFS('Raw Data Sales'!G119:G1117, 'Raw Data Sales'!E119:E1117, A119)</f>
        <v>101.32</v>
      </c>
      <c r="F119" s="6" t="str">
        <f t="shared" si="1"/>
        <v>Vanilla Protein Powder</v>
      </c>
    </row>
    <row r="120">
      <c r="A120" s="6" t="str">
        <f>IFERROR(__xludf.DUMMYFUNCTION("""COMPUTED_VALUE"""),"Phone Screen Protector")</f>
        <v>Phone Screen Protector</v>
      </c>
      <c r="B120" s="6" t="str">
        <f t="array" ref="B120">INDEX('Raw Data Sales'!F120:F1118, MATCH(A120, 'Raw Data Sales'!E120:E1118, 0))</f>
        <v>Accessories</v>
      </c>
      <c r="C120" s="6">
        <f>SUMIFS('Raw Data Sales'!M120:M1118, 'Raw Data Sales'!E120:E1118,A120)</f>
        <v>77</v>
      </c>
      <c r="D120" s="6">
        <f>SUMIFS('Raw Data Sales'!N120:N1118, 'Raw Data Sales'!E120:E1118, A120)</f>
        <v>5048.35</v>
      </c>
      <c r="E120" s="6">
        <f>AVERAGEIFS('Raw Data Sales'!G120:G1118, 'Raw Data Sales'!E120:E1118, A120)</f>
        <v>534.12</v>
      </c>
      <c r="F120" s="6" t="str">
        <f t="shared" si="1"/>
        <v>Vanilla Protein Powder</v>
      </c>
    </row>
    <row r="121">
      <c r="A121" s="6" t="str">
        <f>IFERROR(__xludf.DUMMYFUNCTION("""COMPUTED_VALUE"""),"Sliced Cucumbers")</f>
        <v>Sliced Cucumbers</v>
      </c>
      <c r="B121" s="6" t="str">
        <f t="array" ref="B121">INDEX('Raw Data Sales'!F121:F1119, MATCH(A121, 'Raw Data Sales'!E121:E1119, 0))</f>
        <v>Food - Produce</v>
      </c>
      <c r="C121" s="6">
        <f>SUMIFS('Raw Data Sales'!M121:M1119, 'Raw Data Sales'!E121:E1119,A121)</f>
        <v>53</v>
      </c>
      <c r="D121" s="6">
        <f>SUMIFS('Raw Data Sales'!N121:N1119, 'Raw Data Sales'!E121:E1119, A121)</f>
        <v>2042.29</v>
      </c>
      <c r="E121" s="6">
        <f>AVERAGEIFS('Raw Data Sales'!G121:G1119, 'Raw Data Sales'!E121:E1119, A121)</f>
        <v>252.71</v>
      </c>
      <c r="F121" s="6" t="str">
        <f t="shared" si="1"/>
        <v>Vanilla Protein Powder</v>
      </c>
    </row>
    <row r="122">
      <c r="A122" s="6" t="str">
        <f>IFERROR(__xludf.DUMMYFUNCTION("""COMPUTED_VALUE"""),"Savory Trail Mix")</f>
        <v>Savory Trail Mix</v>
      </c>
      <c r="B122" s="6" t="str">
        <f t="array" ref="B122">INDEX('Raw Data Sales'!F122:F1120, MATCH(A122, 'Raw Data Sales'!E122:E1120, 0))</f>
        <v>Food - Snacks</v>
      </c>
      <c r="C122" s="6">
        <f>SUMIFS('Raw Data Sales'!M122:M1120, 'Raw Data Sales'!E122:E1120,A122)</f>
        <v>74</v>
      </c>
      <c r="D122" s="6">
        <f>SUMIFS('Raw Data Sales'!N122:N1120, 'Raw Data Sales'!E122:E1120, A122)</f>
        <v>9212.84</v>
      </c>
      <c r="E122" s="6">
        <f>AVERAGEIFS('Raw Data Sales'!G122:G1120, 'Raw Data Sales'!E122:E1120, A122)</f>
        <v>209.555</v>
      </c>
      <c r="F122" s="6" t="str">
        <f t="shared" si="1"/>
        <v>Vanilla Protein Powder</v>
      </c>
    </row>
    <row r="123">
      <c r="A123" s="6" t="str">
        <f>IFERROR(__xludf.DUMMYFUNCTION("""COMPUTED_VALUE"""),"Insulated Lunch Bag")</f>
        <v>Insulated Lunch Bag</v>
      </c>
      <c r="B123" s="6" t="str">
        <f t="array" ref="B123">INDEX('Raw Data Sales'!F123:F1121, MATCH(A123, 'Raw Data Sales'!E123:E1121, 0))</f>
        <v>Kitchen</v>
      </c>
      <c r="C123" s="6">
        <f>SUMIFS('Raw Data Sales'!M123:M1121, 'Raw Data Sales'!E123:E1121,A123)</f>
        <v>57</v>
      </c>
      <c r="D123" s="6">
        <f>SUMIFS('Raw Data Sales'!N123:N1121, 'Raw Data Sales'!E123:E1121, A123)</f>
        <v>7733.31</v>
      </c>
      <c r="E123" s="6">
        <f>AVERAGEIFS('Raw Data Sales'!G123:G1121, 'Raw Data Sales'!E123:E1121, A123)</f>
        <v>25.72</v>
      </c>
      <c r="F123" s="6" t="str">
        <f t="shared" si="1"/>
        <v>Vanilla Protein Powder</v>
      </c>
    </row>
    <row r="124">
      <c r="A124" s="6" t="str">
        <f>IFERROR(__xludf.DUMMYFUNCTION("""COMPUTED_VALUE"""),"Halloween Decoration Set")</f>
        <v>Halloween Decoration Set</v>
      </c>
      <c r="B124" s="6" t="str">
        <f t="array" ref="B124">INDEX('Raw Data Sales'!F124:F1122, MATCH(A124, 'Raw Data Sales'!E124:E1122, 0))</f>
        <v>Home</v>
      </c>
      <c r="C124" s="6">
        <f>SUMIFS('Raw Data Sales'!M124:M1122, 'Raw Data Sales'!E124:E1122,A124)</f>
        <v>148</v>
      </c>
      <c r="D124" s="6">
        <f>SUMIFS('Raw Data Sales'!N124:N1122, 'Raw Data Sales'!E124:E1122, A124)</f>
        <v>3509.15</v>
      </c>
      <c r="E124" s="6">
        <f>AVERAGEIFS('Raw Data Sales'!G124:G1122, 'Raw Data Sales'!E124:E1122, A124)</f>
        <v>153.395</v>
      </c>
      <c r="F124" s="6" t="str">
        <f t="shared" si="1"/>
        <v>Vanilla Protein Powder</v>
      </c>
    </row>
    <row r="125">
      <c r="A125" s="6" t="str">
        <f>IFERROR(__xludf.DUMMYFUNCTION("""COMPUTED_VALUE"""),"Granola Clusters")</f>
        <v>Granola Clusters</v>
      </c>
      <c r="B125" s="6" t="str">
        <f t="array" ref="B125">INDEX('Raw Data Sales'!F125:F1123, MATCH(A125, 'Raw Data Sales'!E125:E1123, 0))</f>
        <v>Food - Cereal</v>
      </c>
      <c r="C125" s="6">
        <f>SUMIFS('Raw Data Sales'!M125:M1123, 'Raw Data Sales'!E125:E1123,A125)</f>
        <v>56</v>
      </c>
      <c r="D125" s="6">
        <f>SUMIFS('Raw Data Sales'!N125:N1123, 'Raw Data Sales'!E125:E1123, A125)</f>
        <v>4118.69</v>
      </c>
      <c r="E125" s="6">
        <f>AVERAGEIFS('Raw Data Sales'!G125:G1123, 'Raw Data Sales'!E125:E1123, A125)</f>
        <v>208.46</v>
      </c>
      <c r="F125" s="6" t="str">
        <f t="shared" si="1"/>
        <v>Vanilla Protein Powder</v>
      </c>
    </row>
    <row r="126">
      <c r="A126" s="6" t="str">
        <f>IFERROR(__xludf.DUMMYFUNCTION("""COMPUTED_VALUE"""),"Garlic Herb Seasoning")</f>
        <v>Garlic Herb Seasoning</v>
      </c>
      <c r="B126" s="6" t="str">
        <f t="array" ref="B126">INDEX('Raw Data Sales'!F126:F1124, MATCH(A126, 'Raw Data Sales'!E126:E1124, 0))</f>
        <v>Food - Spices</v>
      </c>
      <c r="C126" s="6">
        <f>SUMIFS('Raw Data Sales'!M126:M1124, 'Raw Data Sales'!E126:E1124,A126)</f>
        <v>35</v>
      </c>
      <c r="D126" s="6">
        <f>SUMIFS('Raw Data Sales'!N126:N1124, 'Raw Data Sales'!E126:E1124, A126)</f>
        <v>6114.46</v>
      </c>
      <c r="E126" s="6">
        <f>AVERAGEIFS('Raw Data Sales'!G126:G1124, 'Raw Data Sales'!E126:E1124, A126)</f>
        <v>985.26</v>
      </c>
      <c r="F126" s="6" t="str">
        <f t="shared" si="1"/>
        <v>Vanilla Protein Powder</v>
      </c>
    </row>
    <row r="127">
      <c r="A127" s="6" t="str">
        <f>IFERROR(__xludf.DUMMYFUNCTION("""COMPUTED_VALUE"""),"Smart LED Desk Lamp")</f>
        <v>Smart LED Desk Lamp</v>
      </c>
      <c r="B127" s="6" t="str">
        <f t="array" ref="B127">INDEX('Raw Data Sales'!F127:F1125, MATCH(A127, 'Raw Data Sales'!E127:E1125, 0))</f>
        <v>Office</v>
      </c>
      <c r="C127" s="6">
        <f>SUMIFS('Raw Data Sales'!M127:M1125, 'Raw Data Sales'!E127:E1125,A127)</f>
        <v>151</v>
      </c>
      <c r="D127" s="6">
        <f>SUMIFS('Raw Data Sales'!N127:N1125, 'Raw Data Sales'!E127:E1125, A127)</f>
        <v>9153.14</v>
      </c>
      <c r="E127" s="6">
        <f>AVERAGEIFS('Raw Data Sales'!G127:G1125, 'Raw Data Sales'!E127:E1125, A127)</f>
        <v>355.23</v>
      </c>
      <c r="F127" s="6" t="str">
        <f t="shared" si="1"/>
        <v>Vanilla Protein Powder</v>
      </c>
    </row>
    <row r="128">
      <c r="A128" s="6" t="str">
        <f>IFERROR(__xludf.DUMMYFUNCTION("""COMPUTED_VALUE"""),"Californian Raisins")</f>
        <v>Californian Raisins</v>
      </c>
      <c r="B128" s="6" t="str">
        <f t="array" ref="B128">INDEX('Raw Data Sales'!F128:F1126, MATCH(A128, 'Raw Data Sales'!E128:E1126, 0))</f>
        <v>Food - Dried Fruits</v>
      </c>
      <c r="C128" s="6">
        <f>SUMIFS('Raw Data Sales'!M128:M1126, 'Raw Data Sales'!E128:E1126,A128)</f>
        <v>69</v>
      </c>
      <c r="D128" s="6">
        <f>SUMIFS('Raw Data Sales'!N128:N1126, 'Raw Data Sales'!E128:E1126, A128)</f>
        <v>3511.71</v>
      </c>
      <c r="E128" s="6">
        <f>AVERAGEIFS('Raw Data Sales'!G128:G1126, 'Raw Data Sales'!E128:E1126, A128)</f>
        <v>96.36</v>
      </c>
      <c r="F128" s="6" t="str">
        <f t="shared" si="1"/>
        <v>Vanilla Protein Powder</v>
      </c>
    </row>
    <row r="129">
      <c r="A129" s="6" t="str">
        <f>IFERROR(__xludf.DUMMYFUNCTION("""COMPUTED_VALUE"""),"Chocolate Chip Energy Balls")</f>
        <v>Chocolate Chip Energy Balls</v>
      </c>
      <c r="B129" s="6" t="str">
        <f t="array" ref="B129">INDEX('Raw Data Sales'!F129:F1127, MATCH(A129, 'Raw Data Sales'!E129:E1127, 0))</f>
        <v>Food - Snacks</v>
      </c>
      <c r="C129" s="6">
        <f>SUMIFS('Raw Data Sales'!M129:M1127, 'Raw Data Sales'!E129:E1127,A129)</f>
        <v>82</v>
      </c>
      <c r="D129" s="6">
        <f>SUMIFS('Raw Data Sales'!N129:N1127, 'Raw Data Sales'!E129:E1127, A129)</f>
        <v>4827.14</v>
      </c>
      <c r="E129" s="6">
        <f>AVERAGEIFS('Raw Data Sales'!G129:G1127, 'Raw Data Sales'!E129:E1127, A129)</f>
        <v>967.19</v>
      </c>
      <c r="F129" s="6" t="str">
        <f t="shared" si="1"/>
        <v>Vanilla Protein Powder</v>
      </c>
    </row>
    <row r="130">
      <c r="A130" s="6" t="str">
        <f>IFERROR(__xludf.DUMMYFUNCTION("""COMPUTED_VALUE"""),"Spinach and Ricotta Ravioli")</f>
        <v>Spinach and Ricotta Ravioli</v>
      </c>
      <c r="B130" s="6" t="str">
        <f t="array" ref="B130">INDEX('Raw Data Sales'!F130:F1128, MATCH(A130, 'Raw Data Sales'!E130:E1128, 0))</f>
        <v>Food - Pasta</v>
      </c>
      <c r="C130" s="6">
        <f>SUMIFS('Raw Data Sales'!M130:M1128, 'Raw Data Sales'!E130:E1128,A130)</f>
        <v>85</v>
      </c>
      <c r="D130" s="6">
        <f>SUMIFS('Raw Data Sales'!N130:N1128, 'Raw Data Sales'!E130:E1128, A130)</f>
        <v>1376.12</v>
      </c>
      <c r="E130" s="6">
        <f>AVERAGEIFS('Raw Data Sales'!G130:G1128, 'Raw Data Sales'!E130:E1128, A130)</f>
        <v>299.66</v>
      </c>
      <c r="F130" s="6" t="str">
        <f t="shared" si="1"/>
        <v>Vanilla Protein Powder</v>
      </c>
    </row>
    <row r="131">
      <c r="A131" s="6" t="str">
        <f>IFERROR(__xludf.DUMMYFUNCTION("""COMPUTED_VALUE"""),"Lentil Vegetable Curry")</f>
        <v>Lentil Vegetable Curry</v>
      </c>
      <c r="B131" s="6" t="str">
        <f t="array" ref="B131">INDEX('Raw Data Sales'!F131:F1129, MATCH(A131, 'Raw Data Sales'!E131:E1129, 0))</f>
        <v>Food - Prepared Meals</v>
      </c>
      <c r="C131" s="6">
        <f>SUMIFS('Raw Data Sales'!M131:M1129, 'Raw Data Sales'!E131:E1129,A131)</f>
        <v>81</v>
      </c>
      <c r="D131" s="6">
        <f>SUMIFS('Raw Data Sales'!N131:N1129, 'Raw Data Sales'!E131:E1129, A131)</f>
        <v>8744.84</v>
      </c>
      <c r="E131" s="6">
        <f>AVERAGEIFS('Raw Data Sales'!G131:G1129, 'Raw Data Sales'!E131:E1129, A131)</f>
        <v>81.14</v>
      </c>
      <c r="F131" s="6" t="str">
        <f t="shared" si="1"/>
        <v>Vanilla Protein Powder</v>
      </c>
    </row>
    <row r="132">
      <c r="A132" s="6" t="str">
        <f>IFERROR(__xludf.DUMMYFUNCTION("""COMPUTED_VALUE"""),"Vegetable Chips")</f>
        <v>Vegetable Chips</v>
      </c>
      <c r="B132" s="6" t="str">
        <f t="array" ref="B132">INDEX('Raw Data Sales'!F132:F1130, MATCH(A132, 'Raw Data Sales'!E132:E1130, 0))</f>
        <v>Food - Snacks</v>
      </c>
      <c r="C132" s="6">
        <f>SUMIFS('Raw Data Sales'!M132:M1130, 'Raw Data Sales'!E132:E1130,A132)</f>
        <v>55</v>
      </c>
      <c r="D132" s="6">
        <f>SUMIFS('Raw Data Sales'!N132:N1130, 'Raw Data Sales'!E132:E1130, A132)</f>
        <v>9155.09</v>
      </c>
      <c r="E132" s="6">
        <f>AVERAGEIFS('Raw Data Sales'!G132:G1130, 'Raw Data Sales'!E132:E1130, A132)</f>
        <v>242.98</v>
      </c>
      <c r="F132" s="6" t="str">
        <f t="shared" si="1"/>
        <v>Vanilla Protein Powder</v>
      </c>
    </row>
    <row r="133">
      <c r="A133" s="6" t="str">
        <f>IFERROR(__xludf.DUMMYFUNCTION("""COMPUTED_VALUE"""),"LED Camping Lantern with USB Charging")</f>
        <v>LED Camping Lantern with USB Charging</v>
      </c>
      <c r="B133" s="6" t="str">
        <f t="array" ref="B133">INDEX('Raw Data Sales'!F133:F1131, MATCH(A133, 'Raw Data Sales'!E133:E1131, 0))</f>
        <v>Outdoor</v>
      </c>
      <c r="C133" s="6">
        <f>SUMIFS('Raw Data Sales'!M133:M1131, 'Raw Data Sales'!E133:E1131,A133)</f>
        <v>39</v>
      </c>
      <c r="D133" s="6">
        <f>SUMIFS('Raw Data Sales'!N133:N1131, 'Raw Data Sales'!E133:E1131, A133)</f>
        <v>1238.15</v>
      </c>
      <c r="E133" s="6">
        <f>AVERAGEIFS('Raw Data Sales'!G133:G1131, 'Raw Data Sales'!E133:E1131, A133)</f>
        <v>420.48</v>
      </c>
      <c r="F133" s="6" t="str">
        <f t="shared" si="1"/>
        <v>Vanilla Protein Powder</v>
      </c>
    </row>
    <row r="134">
      <c r="A134" s="6" t="str">
        <f>IFERROR(__xludf.DUMMYFUNCTION("""COMPUTED_VALUE"""),"Vegan Cheese")</f>
        <v>Vegan Cheese</v>
      </c>
      <c r="B134" s="6" t="str">
        <f t="array" ref="B134">INDEX('Raw Data Sales'!F134:F1132, MATCH(A134, 'Raw Data Sales'!E134:E1132, 0))</f>
        <v>Food - Dairy Alternatives</v>
      </c>
      <c r="C134" s="6">
        <f>SUMIFS('Raw Data Sales'!M134:M1132, 'Raw Data Sales'!E134:E1132,A134)</f>
        <v>4</v>
      </c>
      <c r="D134" s="6">
        <f>SUMIFS('Raw Data Sales'!N134:N1132, 'Raw Data Sales'!E134:E1132, A134)</f>
        <v>121.86</v>
      </c>
      <c r="E134" s="6">
        <f>AVERAGEIFS('Raw Data Sales'!G134:G1132, 'Raw Data Sales'!E134:E1132, A134)</f>
        <v>232.36</v>
      </c>
      <c r="F134" s="6" t="str">
        <f t="shared" si="1"/>
        <v>Vanilla Protein Powder</v>
      </c>
    </row>
    <row r="135">
      <c r="A135" s="6" t="str">
        <f>IFERROR(__xludf.DUMMYFUNCTION("""COMPUTED_VALUE"""),"Car Diagnostic Scanner")</f>
        <v>Car Diagnostic Scanner</v>
      </c>
      <c r="B135" s="6" t="str">
        <f t="array" ref="B135">INDEX('Raw Data Sales'!F135:F1133, MATCH(A135, 'Raw Data Sales'!E135:E1133, 0))</f>
        <v>Automotive</v>
      </c>
      <c r="C135" s="6">
        <f>SUMIFS('Raw Data Sales'!M135:M1133, 'Raw Data Sales'!E135:E1133,A135)</f>
        <v>73</v>
      </c>
      <c r="D135" s="6">
        <f>SUMIFS('Raw Data Sales'!N135:N1133, 'Raw Data Sales'!E135:E1133, A135)</f>
        <v>9239.56</v>
      </c>
      <c r="E135" s="6">
        <f>AVERAGEIFS('Raw Data Sales'!G135:G1133, 'Raw Data Sales'!E135:E1133, A135)</f>
        <v>512.04</v>
      </c>
      <c r="F135" s="6" t="str">
        <f t="shared" si="1"/>
        <v>Vanilla Protein Powder</v>
      </c>
    </row>
    <row r="136">
      <c r="A136" s="6" t="str">
        <f>IFERROR(__xludf.DUMMYFUNCTION("""COMPUTED_VALUE"""),"Fitness Smartwatch")</f>
        <v>Fitness Smartwatch</v>
      </c>
      <c r="B136" s="6" t="str">
        <f t="array" ref="B136">INDEX('Raw Data Sales'!F136:F1134, MATCH(A136, 'Raw Data Sales'!E136:E1134, 0))</f>
        <v>Wearable Tech</v>
      </c>
      <c r="C136" s="6">
        <f>SUMIFS('Raw Data Sales'!M136:M1134, 'Raw Data Sales'!E136:E1134,A136)</f>
        <v>40</v>
      </c>
      <c r="D136" s="6">
        <f>SUMIFS('Raw Data Sales'!N136:N1134, 'Raw Data Sales'!E136:E1134, A136)</f>
        <v>1789.26</v>
      </c>
      <c r="E136" s="6">
        <f>AVERAGEIFS('Raw Data Sales'!G136:G1134, 'Raw Data Sales'!E136:E1134, A136)</f>
        <v>445.17</v>
      </c>
      <c r="F136" s="6" t="str">
        <f t="shared" si="1"/>
        <v>Vanilla Protein Powder</v>
      </c>
    </row>
    <row r="137">
      <c r="A137" s="6" t="str">
        <f>IFERROR(__xludf.DUMMYFUNCTION("""COMPUTED_VALUE"""),"Smartphone Camera Lens Kit")</f>
        <v>Smartphone Camera Lens Kit</v>
      </c>
      <c r="B137" s="6" t="str">
        <f t="array" ref="B137">INDEX('Raw Data Sales'!F137:F1135, MATCH(A137, 'Raw Data Sales'!E137:E1135, 0))</f>
        <v>Photography</v>
      </c>
      <c r="C137" s="6">
        <f>SUMIFS('Raw Data Sales'!M137:M1135, 'Raw Data Sales'!E137:E1135,A137)</f>
        <v>114</v>
      </c>
      <c r="D137" s="6">
        <f>SUMIFS('Raw Data Sales'!N137:N1135, 'Raw Data Sales'!E137:E1135, A137)</f>
        <v>11176.16</v>
      </c>
      <c r="E137" s="6">
        <f>AVERAGEIFS('Raw Data Sales'!G137:G1135, 'Raw Data Sales'!E137:E1135, A137)</f>
        <v>670.07</v>
      </c>
      <c r="F137" s="6" t="str">
        <f t="shared" si="1"/>
        <v>Vanilla Protein Powder</v>
      </c>
    </row>
    <row r="138">
      <c r="A138" s="6" t="str">
        <f>IFERROR(__xludf.DUMMYFUNCTION("""COMPUTED_VALUE"""),"Flavored Popcorn Mix")</f>
        <v>Flavored Popcorn Mix</v>
      </c>
      <c r="B138" s="6" t="str">
        <f t="array" ref="B138">INDEX('Raw Data Sales'!F138:F1136, MATCH(A138, 'Raw Data Sales'!E138:E1136, 0))</f>
        <v>Food - Snacks</v>
      </c>
      <c r="C138" s="6">
        <f>SUMIFS('Raw Data Sales'!M138:M1136, 'Raw Data Sales'!E138:E1136,A138)</f>
        <v>25</v>
      </c>
      <c r="D138" s="6">
        <f>SUMIFS('Raw Data Sales'!N138:N1136, 'Raw Data Sales'!E138:E1136, A138)</f>
        <v>14693.96</v>
      </c>
      <c r="E138" s="6">
        <f>AVERAGEIFS('Raw Data Sales'!G138:G1136, 'Raw Data Sales'!E138:E1136, A138)</f>
        <v>523.28</v>
      </c>
      <c r="F138" s="6" t="str">
        <f t="shared" si="1"/>
        <v>Vanilla Protein Powder</v>
      </c>
    </row>
    <row r="139">
      <c r="A139" s="6" t="str">
        <f>IFERROR(__xludf.DUMMYFUNCTION("""COMPUTED_VALUE"""),"Sourdough Bread")</f>
        <v>Sourdough Bread</v>
      </c>
      <c r="B139" s="6" t="str">
        <f t="array" ref="B139">INDEX('Raw Data Sales'!F139:F1137, MATCH(A139, 'Raw Data Sales'!E139:E1137, 0))</f>
        <v>Food - Bakery</v>
      </c>
      <c r="C139" s="6">
        <f>SUMIFS('Raw Data Sales'!M139:M1137, 'Raw Data Sales'!E139:E1137,A139)</f>
        <v>10</v>
      </c>
      <c r="D139" s="6">
        <f>SUMIFS('Raw Data Sales'!N139:N1137, 'Raw Data Sales'!E139:E1137, A139)</f>
        <v>567.68</v>
      </c>
      <c r="E139" s="6">
        <f>AVERAGEIFS('Raw Data Sales'!G139:G1137, 'Raw Data Sales'!E139:E1137, A139)</f>
        <v>686.05</v>
      </c>
      <c r="F139" s="6" t="str">
        <f t="shared" si="1"/>
        <v>Vanilla Protein Powder</v>
      </c>
    </row>
    <row r="140">
      <c r="A140" s="6" t="str">
        <f>IFERROR(__xludf.DUMMYFUNCTION("""COMPUTED_VALUE"""),"Chili Garlic Sauce")</f>
        <v>Chili Garlic Sauce</v>
      </c>
      <c r="B140" s="6" t="str">
        <f t="array" ref="B140">INDEX('Raw Data Sales'!F140:F1138, MATCH(A140, 'Raw Data Sales'!E140:E1138, 0))</f>
        <v>Food - Condiments</v>
      </c>
      <c r="C140" s="6">
        <f>SUMIFS('Raw Data Sales'!M140:M1138, 'Raw Data Sales'!E140:E1138,A140)</f>
        <v>44</v>
      </c>
      <c r="D140" s="6">
        <f>SUMIFS('Raw Data Sales'!N140:N1138, 'Raw Data Sales'!E140:E1138, A140)</f>
        <v>9916.65</v>
      </c>
      <c r="E140" s="6">
        <f>AVERAGEIFS('Raw Data Sales'!G140:G1138, 'Raw Data Sales'!E140:E1138, A140)</f>
        <v>131.5</v>
      </c>
      <c r="F140" s="6" t="str">
        <f t="shared" si="1"/>
        <v>Vanilla Protein Powder</v>
      </c>
    </row>
    <row r="141">
      <c r="A141" s="6" t="str">
        <f>IFERROR(__xludf.DUMMYFUNCTION("""COMPUTED_VALUE"""),"Chocolate Almond Milk")</f>
        <v>Chocolate Almond Milk</v>
      </c>
      <c r="B141" s="6" t="str">
        <f t="array" ref="B141">INDEX('Raw Data Sales'!F141:F1139, MATCH(A141, 'Raw Data Sales'!E141:E1139, 0))</f>
        <v>Food - Dairy Alternatives</v>
      </c>
      <c r="C141" s="6">
        <f>SUMIFS('Raw Data Sales'!M141:M1139, 'Raw Data Sales'!E141:E1139,A141)</f>
        <v>21</v>
      </c>
      <c r="D141" s="6">
        <f>SUMIFS('Raw Data Sales'!N141:N1139, 'Raw Data Sales'!E141:E1139, A141)</f>
        <v>9272.31</v>
      </c>
      <c r="E141" s="6">
        <f>AVERAGEIFS('Raw Data Sales'!G141:G1139, 'Raw Data Sales'!E141:E1139, A141)</f>
        <v>578.67</v>
      </c>
      <c r="F141" s="6" t="str">
        <f t="shared" si="1"/>
        <v>Vanilla Protein Powder</v>
      </c>
    </row>
    <row r="142">
      <c r="A142" s="6" t="str">
        <f>IFERROR(__xludf.DUMMYFUNCTION("""COMPUTED_VALUE"""),"Baked Mac and Cheese")</f>
        <v>Baked Mac and Cheese</v>
      </c>
      <c r="B142" s="6" t="str">
        <f t="array" ref="B142">INDEX('Raw Data Sales'!F142:F1140, MATCH(A142, 'Raw Data Sales'!E142:E1140, 0))</f>
        <v>Food - Frozen Foods</v>
      </c>
      <c r="C142" s="6">
        <f>SUMIFS('Raw Data Sales'!M142:M1140, 'Raw Data Sales'!E142:E1140,A142)</f>
        <v>119</v>
      </c>
      <c r="D142" s="6">
        <f>SUMIFS('Raw Data Sales'!N142:N1140, 'Raw Data Sales'!E142:E1140, A142)</f>
        <v>14008.85</v>
      </c>
      <c r="E142" s="6">
        <f>AVERAGEIFS('Raw Data Sales'!G142:G1140, 'Raw Data Sales'!E142:E1140, A142)</f>
        <v>518.66</v>
      </c>
      <c r="F142" s="6" t="str">
        <f t="shared" si="1"/>
        <v>Vanilla Protein Powder</v>
      </c>
    </row>
    <row r="143">
      <c r="A143" s="6" t="str">
        <f>IFERROR(__xludf.DUMMYFUNCTION("""COMPUTED_VALUE"""),"Nutritional Yeast")</f>
        <v>Nutritional Yeast</v>
      </c>
      <c r="B143" s="6" t="str">
        <f t="array" ref="B143">INDEX('Raw Data Sales'!F143:F1141, MATCH(A143, 'Raw Data Sales'!E143:E1141, 0))</f>
        <v>Food - Pantry</v>
      </c>
      <c r="C143" s="6">
        <f>SUMIFS('Raw Data Sales'!M143:M1141, 'Raw Data Sales'!E143:E1141,A143)</f>
        <v>70</v>
      </c>
      <c r="D143" s="6">
        <f>SUMIFS('Raw Data Sales'!N143:N1141, 'Raw Data Sales'!E143:E1141, A143)</f>
        <v>14114.43</v>
      </c>
      <c r="E143" s="6">
        <f>AVERAGEIFS('Raw Data Sales'!G143:G1141, 'Raw Data Sales'!E143:E1141, A143)</f>
        <v>356.835</v>
      </c>
      <c r="F143" s="6" t="str">
        <f t="shared" si="1"/>
        <v>Vanilla Protein Powder</v>
      </c>
    </row>
    <row r="144">
      <c r="A144" s="6" t="str">
        <f>IFERROR(__xludf.DUMMYFUNCTION("""COMPUTED_VALUE"""),"Wireless Game Controller")</f>
        <v>Wireless Game Controller</v>
      </c>
      <c r="B144" s="6" t="str">
        <f t="array" ref="B144">INDEX('Raw Data Sales'!F144:F1142, MATCH(A144, 'Raw Data Sales'!E144:E1142, 0))</f>
        <v>Gaming</v>
      </c>
      <c r="C144" s="6">
        <f>SUMIFS('Raw Data Sales'!M144:M1142, 'Raw Data Sales'!E144:E1142,A144)</f>
        <v>26</v>
      </c>
      <c r="D144" s="6">
        <f>SUMIFS('Raw Data Sales'!N144:N1142, 'Raw Data Sales'!E144:E1142, A144)</f>
        <v>6423.07</v>
      </c>
      <c r="E144" s="6">
        <f>AVERAGEIFS('Raw Data Sales'!G144:G1142, 'Raw Data Sales'!E144:E1142, A144)</f>
        <v>891.51</v>
      </c>
      <c r="F144" s="6" t="str">
        <f t="shared" si="1"/>
        <v>Vanilla Protein Powder</v>
      </c>
    </row>
    <row r="145">
      <c r="A145" s="6" t="str">
        <f>IFERROR(__xludf.DUMMYFUNCTION("""COMPUTED_VALUE"""),"Creamy Ranch Dressing")</f>
        <v>Creamy Ranch Dressing</v>
      </c>
      <c r="B145" s="6" t="str">
        <f t="array" ref="B145">INDEX('Raw Data Sales'!F145:F1143, MATCH(A145, 'Raw Data Sales'!E145:E1143, 0))</f>
        <v>Food - Dressings</v>
      </c>
      <c r="C145" s="6">
        <f>SUMIFS('Raw Data Sales'!M145:M1143, 'Raw Data Sales'!E145:E1143,A145)</f>
        <v>13</v>
      </c>
      <c r="D145" s="6">
        <f>SUMIFS('Raw Data Sales'!N145:N1143, 'Raw Data Sales'!E145:E1143, A145)</f>
        <v>6902.44</v>
      </c>
      <c r="E145" s="6">
        <f>AVERAGEIFS('Raw Data Sales'!G145:G1143, 'Raw Data Sales'!E145:E1143, A145)</f>
        <v>835.69</v>
      </c>
      <c r="F145" s="6" t="str">
        <f t="shared" si="1"/>
        <v>Vanilla Protein Powder</v>
      </c>
    </row>
    <row r="146">
      <c r="A146" s="6" t="str">
        <f>IFERROR(__xludf.DUMMYFUNCTION("""COMPUTED_VALUE"""),"Baby Safety Corner Guards")</f>
        <v>Baby Safety Corner Guards</v>
      </c>
      <c r="B146" s="6" t="str">
        <f t="array" ref="B146">INDEX('Raw Data Sales'!F146:F1144, MATCH(A146, 'Raw Data Sales'!E146:E1144, 0))</f>
        <v>Baby</v>
      </c>
      <c r="C146" s="6">
        <f>SUMIFS('Raw Data Sales'!M146:M1144, 'Raw Data Sales'!E146:E1144,A146)</f>
        <v>97</v>
      </c>
      <c r="D146" s="6">
        <f>SUMIFS('Raw Data Sales'!N146:N1144, 'Raw Data Sales'!E146:E1144, A146)</f>
        <v>7282.02</v>
      </c>
      <c r="E146" s="6">
        <f>AVERAGEIFS('Raw Data Sales'!G146:G1144, 'Raw Data Sales'!E146:E1144, A146)</f>
        <v>465.75</v>
      </c>
      <c r="F146" s="6" t="str">
        <f t="shared" si="1"/>
        <v>Vanilla Protein Powder</v>
      </c>
    </row>
    <row r="147">
      <c r="A147" s="6" t="str">
        <f>IFERROR(__xludf.DUMMYFUNCTION("""COMPUTED_VALUE"""),"Pumpkin Puree")</f>
        <v>Pumpkin Puree</v>
      </c>
      <c r="B147" s="6" t="str">
        <f t="array" ref="B147">INDEX('Raw Data Sales'!F147:F1145, MATCH(A147, 'Raw Data Sales'!E147:E1145, 0))</f>
        <v>Food - Canned Goods</v>
      </c>
      <c r="C147" s="6">
        <f>SUMIFS('Raw Data Sales'!M147:M1145, 'Raw Data Sales'!E147:E1145,A147)</f>
        <v>88</v>
      </c>
      <c r="D147" s="6">
        <f>SUMIFS('Raw Data Sales'!N147:N1145, 'Raw Data Sales'!E147:E1145, A147)</f>
        <v>3767.4</v>
      </c>
      <c r="E147" s="6">
        <f>AVERAGEIFS('Raw Data Sales'!G147:G1145, 'Raw Data Sales'!E147:E1145, A147)</f>
        <v>610.14</v>
      </c>
      <c r="F147" s="6" t="str">
        <f t="shared" si="1"/>
        <v>Vanilla Protein Powder</v>
      </c>
    </row>
    <row r="148">
      <c r="A148" s="6" t="str">
        <f>IFERROR(__xludf.DUMMYFUNCTION("""COMPUTED_VALUE"""),"Portable Hand Warmer")</f>
        <v>Portable Hand Warmer</v>
      </c>
      <c r="B148" s="6" t="str">
        <f t="array" ref="B148">INDEX('Raw Data Sales'!F148:F1146, MATCH(A148, 'Raw Data Sales'!E148:E1146, 0))</f>
        <v>Accessories</v>
      </c>
      <c r="C148" s="6">
        <f>SUMIFS('Raw Data Sales'!M148:M1146, 'Raw Data Sales'!E148:E1146,A148)</f>
        <v>87</v>
      </c>
      <c r="D148" s="6">
        <f>SUMIFS('Raw Data Sales'!N148:N1146, 'Raw Data Sales'!E148:E1146, A148)</f>
        <v>10675</v>
      </c>
      <c r="E148" s="6">
        <f>AVERAGEIFS('Raw Data Sales'!G148:G1146, 'Raw Data Sales'!E148:E1146, A148)</f>
        <v>870.645</v>
      </c>
      <c r="F148" s="6" t="str">
        <f t="shared" si="1"/>
        <v>Vanilla Protein Powder</v>
      </c>
    </row>
    <row r="149">
      <c r="A149" s="6" t="str">
        <f>IFERROR(__xludf.DUMMYFUNCTION("""COMPUTED_VALUE"""),"Basil-infused Olive Oil")</f>
        <v>Basil-infused Olive Oil</v>
      </c>
      <c r="B149" s="6" t="str">
        <f t="array" ref="B149">INDEX('Raw Data Sales'!F149:F1147, MATCH(A149, 'Raw Data Sales'!E149:E1147, 0))</f>
        <v>Food - Cooking Oil</v>
      </c>
      <c r="C149" s="6">
        <f>SUMIFS('Raw Data Sales'!M149:M1147, 'Raw Data Sales'!E149:E1147,A149)</f>
        <v>69</v>
      </c>
      <c r="D149" s="6">
        <f>SUMIFS('Raw Data Sales'!N149:N1147, 'Raw Data Sales'!E149:E1147, A149)</f>
        <v>10441.23</v>
      </c>
      <c r="E149" s="6">
        <f>AVERAGEIFS('Raw Data Sales'!G149:G1147, 'Raw Data Sales'!E149:E1147, A149)</f>
        <v>420.365</v>
      </c>
      <c r="F149" s="6" t="str">
        <f t="shared" si="1"/>
        <v>Vanilla Protein Powder</v>
      </c>
    </row>
    <row r="150">
      <c r="A150" s="6" t="str">
        <f>IFERROR(__xludf.DUMMYFUNCTION("""COMPUTED_VALUE"""),"Travel Jewelry Organizer")</f>
        <v>Travel Jewelry Organizer</v>
      </c>
      <c r="B150" s="6" t="str">
        <f t="array" ref="B150">INDEX('Raw Data Sales'!F150:F1148, MATCH(A150, 'Raw Data Sales'!E150:E1148, 0))</f>
        <v>Accessories</v>
      </c>
      <c r="C150" s="6">
        <f>SUMIFS('Raw Data Sales'!M150:M1148, 'Raw Data Sales'!E150:E1148,A150)</f>
        <v>15</v>
      </c>
      <c r="D150" s="6">
        <f>SUMIFS('Raw Data Sales'!N150:N1148, 'Raw Data Sales'!E150:E1148, A150)</f>
        <v>156.14</v>
      </c>
      <c r="E150" s="6">
        <f>AVERAGEIFS('Raw Data Sales'!G150:G1148, 'Raw Data Sales'!E150:E1148, A150)</f>
        <v>245.25</v>
      </c>
      <c r="F150" s="6" t="str">
        <f t="shared" si="1"/>
        <v>Vanilla Protein Powder</v>
      </c>
    </row>
    <row r="151">
      <c r="A151" s="6" t="str">
        <f>IFERROR(__xludf.DUMMYFUNCTION("""COMPUTED_VALUE"""),"Cotton Basic Tank")</f>
        <v>Cotton Basic Tank</v>
      </c>
      <c r="B151" s="6" t="str">
        <f t="array" ref="B151">INDEX('Raw Data Sales'!F151:F1149, MATCH(A151, 'Raw Data Sales'!E151:E1149, 0))</f>
        <v>Clothing - Tops</v>
      </c>
      <c r="C151" s="6">
        <f>SUMIFS('Raw Data Sales'!M151:M1149, 'Raw Data Sales'!E151:E1149,A151)</f>
        <v>16</v>
      </c>
      <c r="D151" s="6">
        <f>SUMIFS('Raw Data Sales'!N151:N1149, 'Raw Data Sales'!E151:E1149, A151)</f>
        <v>1144.68</v>
      </c>
      <c r="E151" s="6">
        <f>AVERAGEIFS('Raw Data Sales'!G151:G1149, 'Raw Data Sales'!E151:E1149, A151)</f>
        <v>118.62</v>
      </c>
      <c r="F151" s="6" t="str">
        <f t="shared" si="1"/>
        <v>Vanilla Protein Powder</v>
      </c>
    </row>
    <row r="152">
      <c r="A152" s="6" t="str">
        <f>IFERROR(__xludf.DUMMYFUNCTION("""COMPUTED_VALUE"""),"Aeropress Coffee Maker")</f>
        <v>Aeropress Coffee Maker</v>
      </c>
      <c r="B152" s="6" t="str">
        <f t="array" ref="B152">INDEX('Raw Data Sales'!F152:F1150, MATCH(A152, 'Raw Data Sales'!E152:E1150, 0))</f>
        <v>Kitchen</v>
      </c>
      <c r="C152" s="6">
        <f>SUMIFS('Raw Data Sales'!M152:M1150, 'Raw Data Sales'!E152:E1150,A152)</f>
        <v>2</v>
      </c>
      <c r="D152" s="6">
        <f>SUMIFS('Raw Data Sales'!N152:N1150, 'Raw Data Sales'!E152:E1150, A152)</f>
        <v>3755.28</v>
      </c>
      <c r="E152" s="6">
        <f>AVERAGEIFS('Raw Data Sales'!G152:G1150, 'Raw Data Sales'!E152:E1150, A152)</f>
        <v>344.11</v>
      </c>
      <c r="F152" s="6" t="str">
        <f t="shared" si="1"/>
        <v>Vanilla Protein Powder</v>
      </c>
    </row>
    <row r="153">
      <c r="A153" s="6" t="str">
        <f>IFERROR(__xludf.DUMMYFUNCTION("""COMPUTED_VALUE"""),"Multi-Purpose Scissors")</f>
        <v>Multi-Purpose Scissors</v>
      </c>
      <c r="B153" s="6" t="str">
        <f t="array" ref="B153">INDEX('Raw Data Sales'!F153:F1151, MATCH(A153, 'Raw Data Sales'!E153:E1151, 0))</f>
        <v>Office</v>
      </c>
      <c r="C153" s="6">
        <f>SUMIFS('Raw Data Sales'!M153:M1151, 'Raw Data Sales'!E153:E1151,A153)</f>
        <v>47</v>
      </c>
      <c r="D153" s="6">
        <f>SUMIFS('Raw Data Sales'!N153:N1151, 'Raw Data Sales'!E153:E1151, A153)</f>
        <v>7768.24</v>
      </c>
      <c r="E153" s="6">
        <f>AVERAGEIFS('Raw Data Sales'!G153:G1151, 'Raw Data Sales'!E153:E1151, A153)</f>
        <v>893.73</v>
      </c>
      <c r="F153" s="6" t="str">
        <f t="shared" si="1"/>
        <v>Vanilla Protein Powder</v>
      </c>
    </row>
    <row r="154">
      <c r="A154" s="6" t="str">
        <f>IFERROR(__xludf.DUMMYFUNCTION("""COMPUTED_VALUE"""),"Digital Camera")</f>
        <v>Digital Camera</v>
      </c>
      <c r="B154" s="6" t="str">
        <f t="array" ref="B154">INDEX('Raw Data Sales'!F154:F1152, MATCH(A154, 'Raw Data Sales'!E154:E1152, 0))</f>
        <v>Electronics</v>
      </c>
      <c r="C154" s="6">
        <f>SUMIFS('Raw Data Sales'!M154:M1152, 'Raw Data Sales'!E154:E1152,A154)</f>
        <v>17</v>
      </c>
      <c r="D154" s="6">
        <f>SUMIFS('Raw Data Sales'!N154:N1152, 'Raw Data Sales'!E154:E1152, A154)</f>
        <v>135.03</v>
      </c>
      <c r="E154" s="6">
        <f>AVERAGEIFS('Raw Data Sales'!G154:G1152, 'Raw Data Sales'!E154:E1152, A154)</f>
        <v>582.91</v>
      </c>
      <c r="F154" s="6" t="str">
        <f t="shared" si="1"/>
        <v>Vanilla Protein Powder</v>
      </c>
    </row>
    <row r="155">
      <c r="A155" s="6" t="str">
        <f>IFERROR(__xludf.DUMMYFUNCTION("""COMPUTED_VALUE"""),"Protein Pancake Mix")</f>
        <v>Protein Pancake Mix</v>
      </c>
      <c r="B155" s="6" t="str">
        <f t="array" ref="B155">INDEX('Raw Data Sales'!F155:F1153, MATCH(A155, 'Raw Data Sales'!E155:E1153, 0))</f>
        <v>Food - Breakfast</v>
      </c>
      <c r="C155" s="6">
        <f>SUMIFS('Raw Data Sales'!M155:M1153, 'Raw Data Sales'!E155:E1153,A155)</f>
        <v>30</v>
      </c>
      <c r="D155" s="6">
        <f>SUMIFS('Raw Data Sales'!N155:N1153, 'Raw Data Sales'!E155:E1153, A155)</f>
        <v>8961.02</v>
      </c>
      <c r="E155" s="6">
        <f>AVERAGEIFS('Raw Data Sales'!G155:G1153, 'Raw Data Sales'!E155:E1153, A155)</f>
        <v>131.2</v>
      </c>
      <c r="F155" s="6" t="str">
        <f t="shared" si="1"/>
        <v>Vanilla Protein Powder</v>
      </c>
    </row>
    <row r="156">
      <c r="A156" s="6" t="str">
        <f>IFERROR(__xludf.DUMMYFUNCTION("""COMPUTED_VALUE"""),"Dog Training Whistle")</f>
        <v>Dog Training Whistle</v>
      </c>
      <c r="B156" s="6" t="str">
        <f t="array" ref="B156">INDEX('Raw Data Sales'!F156:F1154, MATCH(A156, 'Raw Data Sales'!E156:E1154, 0))</f>
        <v>Pets</v>
      </c>
      <c r="C156" s="6">
        <f>SUMIFS('Raw Data Sales'!M156:M1154, 'Raw Data Sales'!E156:E1154,A156)</f>
        <v>97</v>
      </c>
      <c r="D156" s="6">
        <f>SUMIFS('Raw Data Sales'!N156:N1154, 'Raw Data Sales'!E156:E1154, A156)</f>
        <v>11898.21</v>
      </c>
      <c r="E156" s="6">
        <f>AVERAGEIFS('Raw Data Sales'!G156:G1154, 'Raw Data Sales'!E156:E1154, A156)</f>
        <v>566.26</v>
      </c>
      <c r="F156" s="6" t="str">
        <f t="shared" si="1"/>
        <v>Vanilla Protein Powder</v>
      </c>
    </row>
    <row r="157">
      <c r="A157" s="6" t="str">
        <f>IFERROR(__xludf.DUMMYFUNCTION("""COMPUTED_VALUE"""),"Jump Rope with Counter")</f>
        <v>Jump Rope with Counter</v>
      </c>
      <c r="B157" s="6" t="str">
        <f t="array" ref="B157">INDEX('Raw Data Sales'!F157:F1155, MATCH(A157, 'Raw Data Sales'!E157:E1155, 0))</f>
        <v>Fitness</v>
      </c>
      <c r="C157" s="6">
        <f>SUMIFS('Raw Data Sales'!M157:M1155, 'Raw Data Sales'!E157:E1155,A157)</f>
        <v>29</v>
      </c>
      <c r="D157" s="6">
        <f>SUMIFS('Raw Data Sales'!N157:N1155, 'Raw Data Sales'!E157:E1155, A157)</f>
        <v>7327.53</v>
      </c>
      <c r="E157" s="6">
        <f>AVERAGEIFS('Raw Data Sales'!G157:G1155, 'Raw Data Sales'!E157:E1155, A157)</f>
        <v>645.21</v>
      </c>
      <c r="F157" s="6" t="str">
        <f t="shared" si="1"/>
        <v>Vanilla Protein Powder</v>
      </c>
    </row>
    <row r="158">
      <c r="A158" s="6" t="str">
        <f>IFERROR(__xludf.DUMMYFUNCTION("""COMPUTED_VALUE"""),"Magnetic Spice Containers")</f>
        <v>Magnetic Spice Containers</v>
      </c>
      <c r="B158" s="6" t="str">
        <f t="array" ref="B158">INDEX('Raw Data Sales'!F158:F1156, MATCH(A158, 'Raw Data Sales'!E158:E1156, 0))</f>
        <v>Kitchen</v>
      </c>
      <c r="C158" s="6">
        <f>SUMIFS('Raw Data Sales'!M158:M1156, 'Raw Data Sales'!E158:E1156,A158)</f>
        <v>118</v>
      </c>
      <c r="D158" s="6">
        <f>SUMIFS('Raw Data Sales'!N158:N1156, 'Raw Data Sales'!E158:E1156, A158)</f>
        <v>5623.88</v>
      </c>
      <c r="E158" s="6">
        <f>AVERAGEIFS('Raw Data Sales'!G158:G1156, 'Raw Data Sales'!E158:E1156, A158)</f>
        <v>164.88</v>
      </c>
      <c r="F158" s="6" t="str">
        <f t="shared" si="1"/>
        <v>Vanilla Protein Powder</v>
      </c>
    </row>
    <row r="159">
      <c r="A159" s="6" t="str">
        <f>IFERROR(__xludf.DUMMYFUNCTION("""COMPUTED_VALUE"""),"Over-the-Door Hooks")</f>
        <v>Over-the-Door Hooks</v>
      </c>
      <c r="B159" s="6" t="str">
        <f t="array" ref="B159">INDEX('Raw Data Sales'!F159:F1157, MATCH(A159, 'Raw Data Sales'!E159:E1157, 0))</f>
        <v>Home</v>
      </c>
      <c r="C159" s="6">
        <f>SUMIFS('Raw Data Sales'!M159:M1157, 'Raw Data Sales'!E159:E1157,A159)</f>
        <v>74</v>
      </c>
      <c r="D159" s="6">
        <f>SUMIFS('Raw Data Sales'!N159:N1157, 'Raw Data Sales'!E159:E1157, A159)</f>
        <v>5216.68</v>
      </c>
      <c r="E159" s="6">
        <f>AVERAGEIFS('Raw Data Sales'!G159:G1157, 'Raw Data Sales'!E159:E1157, A159)</f>
        <v>711.56</v>
      </c>
      <c r="F159" s="6" t="str">
        <f t="shared" si="1"/>
        <v>Vanilla Protein Powder</v>
      </c>
    </row>
    <row r="160">
      <c r="A160" s="6" t="str">
        <f>IFERROR(__xludf.DUMMYFUNCTION("""COMPUTED_VALUE"""),"Surimi Crab Sticks")</f>
        <v>Surimi Crab Sticks</v>
      </c>
      <c r="B160" s="6" t="str">
        <f t="array" ref="B160">INDEX('Raw Data Sales'!F160:F1158, MATCH(A160, 'Raw Data Sales'!E160:E1158, 0))</f>
        <v>Food - Seafood</v>
      </c>
      <c r="C160" s="6">
        <f>SUMIFS('Raw Data Sales'!M160:M1158, 'Raw Data Sales'!E160:E1158,A160)</f>
        <v>52</v>
      </c>
      <c r="D160" s="6">
        <f>SUMIFS('Raw Data Sales'!N160:N1158, 'Raw Data Sales'!E160:E1158, A160)</f>
        <v>7488.46</v>
      </c>
      <c r="E160" s="6">
        <f>AVERAGEIFS('Raw Data Sales'!G160:G1158, 'Raw Data Sales'!E160:E1158, A160)</f>
        <v>311.61</v>
      </c>
      <c r="F160" s="6" t="str">
        <f t="shared" si="1"/>
        <v>Vanilla Protein Powder</v>
      </c>
    </row>
    <row r="161">
      <c r="A161" s="6" t="str">
        <f>IFERROR(__xludf.DUMMYFUNCTION("""COMPUTED_VALUE"""),"Portable Hammock with Stand")</f>
        <v>Portable Hammock with Stand</v>
      </c>
      <c r="B161" s="6" t="str">
        <f t="array" ref="B161">INDEX('Raw Data Sales'!F161:F1159, MATCH(A161, 'Raw Data Sales'!E161:E1159, 0))</f>
        <v>Outdoor</v>
      </c>
      <c r="C161" s="6">
        <f>SUMIFS('Raw Data Sales'!M161:M1159, 'Raw Data Sales'!E161:E1159,A161)</f>
        <v>99</v>
      </c>
      <c r="D161" s="6">
        <f>SUMIFS('Raw Data Sales'!N161:N1159, 'Raw Data Sales'!E161:E1159, A161)</f>
        <v>10287.41</v>
      </c>
      <c r="E161" s="6">
        <f>AVERAGEIFS('Raw Data Sales'!G161:G1159, 'Raw Data Sales'!E161:E1159, A161)</f>
        <v>225.535</v>
      </c>
      <c r="F161" s="6" t="str">
        <f t="shared" si="1"/>
        <v>Vanilla Protein Powder</v>
      </c>
    </row>
    <row r="162">
      <c r="A162" s="6" t="str">
        <f>IFERROR(__xludf.DUMMYFUNCTION("""COMPUTED_VALUE"""),"Mediterranean Couscous Salad")</f>
        <v>Mediterranean Couscous Salad</v>
      </c>
      <c r="B162" s="6" t="str">
        <f t="array" ref="B162">INDEX('Raw Data Sales'!F162:F1160, MATCH(A162, 'Raw Data Sales'!E162:E1160, 0))</f>
        <v>Food - Salads</v>
      </c>
      <c r="C162" s="6">
        <f>SUMIFS('Raw Data Sales'!M162:M1160, 'Raw Data Sales'!E162:E1160,A162)</f>
        <v>135</v>
      </c>
      <c r="D162" s="6">
        <f>SUMIFS('Raw Data Sales'!N162:N1160, 'Raw Data Sales'!E162:E1160, A162)</f>
        <v>12212.12</v>
      </c>
      <c r="E162" s="6">
        <f>AVERAGEIFS('Raw Data Sales'!G162:G1160, 'Raw Data Sales'!E162:E1160, A162)</f>
        <v>669.52</v>
      </c>
      <c r="F162" s="6" t="str">
        <f t="shared" si="1"/>
        <v>Vanilla Protein Powder</v>
      </c>
    </row>
    <row r="163">
      <c r="A163" s="6" t="str">
        <f>IFERROR(__xludf.DUMMYFUNCTION("""COMPUTED_VALUE"""),"Spicy Tuna Salad")</f>
        <v>Spicy Tuna Salad</v>
      </c>
      <c r="B163" s="6" t="str">
        <f t="array" ref="B163">INDEX('Raw Data Sales'!F163:F1161, MATCH(A163, 'Raw Data Sales'!E163:E1161, 0))</f>
        <v>Food - Seafood</v>
      </c>
      <c r="C163" s="6">
        <f>SUMIFS('Raw Data Sales'!M163:M1161, 'Raw Data Sales'!E163:E1161,A163)</f>
        <v>2</v>
      </c>
      <c r="D163" s="6">
        <f>SUMIFS('Raw Data Sales'!N163:N1161, 'Raw Data Sales'!E163:E1161, A163)</f>
        <v>2601.01</v>
      </c>
      <c r="E163" s="6">
        <f>AVERAGEIFS('Raw Data Sales'!G163:G1161, 'Raw Data Sales'!E163:E1161, A163)</f>
        <v>260.66</v>
      </c>
      <c r="F163" s="6" t="str">
        <f t="shared" si="1"/>
        <v>Vanilla Protein Powder</v>
      </c>
    </row>
    <row r="164">
      <c r="A164" s="6" t="str">
        <f>IFERROR(__xludf.DUMMYFUNCTION("""COMPUTED_VALUE"""),"Black Bean &amp; Corn Salad")</f>
        <v>Black Bean &amp; Corn Salad</v>
      </c>
      <c r="B164" s="6" t="str">
        <f t="array" ref="B164">INDEX('Raw Data Sales'!F164:F1162, MATCH(A164, 'Raw Data Sales'!E164:E1162, 0))</f>
        <v>Food - Salads</v>
      </c>
      <c r="C164" s="6">
        <f>SUMIFS('Raw Data Sales'!M164:M1162, 'Raw Data Sales'!E164:E1162,A164)</f>
        <v>54</v>
      </c>
      <c r="D164" s="6">
        <f>SUMIFS('Raw Data Sales'!N164:N1162, 'Raw Data Sales'!E164:E1162, A164)</f>
        <v>2614.39</v>
      </c>
      <c r="E164" s="6">
        <f>AVERAGEIFS('Raw Data Sales'!G164:G1162, 'Raw Data Sales'!E164:E1162, A164)</f>
        <v>96.37</v>
      </c>
      <c r="F164" s="6" t="str">
        <f t="shared" si="1"/>
        <v>Vanilla Protein Powder</v>
      </c>
    </row>
    <row r="165">
      <c r="A165" s="6" t="str">
        <f>IFERROR(__xludf.DUMMYFUNCTION("""COMPUTED_VALUE"""),"Self-Stirring Mug")</f>
        <v>Self-Stirring Mug</v>
      </c>
      <c r="B165" s="6" t="str">
        <f t="array" ref="B165">INDEX('Raw Data Sales'!F165:F1163, MATCH(A165, 'Raw Data Sales'!E165:E1163, 0))</f>
        <v>Kitchen</v>
      </c>
      <c r="C165" s="6">
        <f>SUMIFS('Raw Data Sales'!M165:M1163, 'Raw Data Sales'!E165:E1163,A165)</f>
        <v>58</v>
      </c>
      <c r="D165" s="6">
        <f>SUMIFS('Raw Data Sales'!N165:N1163, 'Raw Data Sales'!E165:E1163, A165)</f>
        <v>4940.42</v>
      </c>
      <c r="E165" s="6">
        <f>AVERAGEIFS('Raw Data Sales'!G165:G1163, 'Raw Data Sales'!E165:E1163, A165)</f>
        <v>354.88</v>
      </c>
      <c r="F165" s="6" t="str">
        <f t="shared" si="1"/>
        <v>Vanilla Protein Powder</v>
      </c>
    </row>
    <row r="166">
      <c r="A166" s="6" t="str">
        <f>IFERROR(__xludf.DUMMYFUNCTION("""COMPUTED_VALUE"""),"Nutty Granola Clusters")</f>
        <v>Nutty Granola Clusters</v>
      </c>
      <c r="B166" s="6" t="str">
        <f t="array" ref="B166">INDEX('Raw Data Sales'!F166:F1164, MATCH(A166, 'Raw Data Sales'!E166:E1164, 0))</f>
        <v>Food - Cereal</v>
      </c>
      <c r="C166" s="6">
        <f>SUMIFS('Raw Data Sales'!M166:M1164, 'Raw Data Sales'!E166:E1164,A166)</f>
        <v>48</v>
      </c>
      <c r="D166" s="6">
        <f>SUMIFS('Raw Data Sales'!N166:N1164, 'Raw Data Sales'!E166:E1164, A166)</f>
        <v>762.74</v>
      </c>
      <c r="E166" s="6">
        <f>AVERAGEIFS('Raw Data Sales'!G166:G1164, 'Raw Data Sales'!E166:E1164, A166)</f>
        <v>394.09</v>
      </c>
      <c r="F166" s="6" t="str">
        <f t="shared" si="1"/>
        <v>Vanilla Protein Powder</v>
      </c>
    </row>
    <row r="167">
      <c r="A167" s="6" t="str">
        <f>IFERROR(__xludf.DUMMYFUNCTION("""COMPUTED_VALUE"""),"Weighted Jump Rope with Counter")</f>
        <v>Weighted Jump Rope with Counter</v>
      </c>
      <c r="B167" s="6" t="str">
        <f t="array" ref="B167">INDEX('Raw Data Sales'!F167:F1165, MATCH(A167, 'Raw Data Sales'!E167:E1165, 0))</f>
        <v>Fitness</v>
      </c>
      <c r="C167" s="6">
        <f>SUMIFS('Raw Data Sales'!M167:M1165, 'Raw Data Sales'!E167:E1165,A167)</f>
        <v>43</v>
      </c>
      <c r="D167" s="6">
        <f>SUMIFS('Raw Data Sales'!N167:N1165, 'Raw Data Sales'!E167:E1165, A167)</f>
        <v>3910.63</v>
      </c>
      <c r="E167" s="6">
        <f>AVERAGEIFS('Raw Data Sales'!G167:G1165, 'Raw Data Sales'!E167:E1165, A167)</f>
        <v>731.91</v>
      </c>
      <c r="F167" s="6" t="str">
        <f t="shared" si="1"/>
        <v>Vanilla Protein Powder</v>
      </c>
    </row>
    <row r="168">
      <c r="A168" s="6" t="str">
        <f>IFERROR(__xludf.DUMMYFUNCTION("""COMPUTED_VALUE"""),"Portable Refrigerator Freezer")</f>
        <v>Portable Refrigerator Freezer</v>
      </c>
      <c r="B168" s="6" t="str">
        <f t="array" ref="B168">INDEX('Raw Data Sales'!F168:F1166, MATCH(A168, 'Raw Data Sales'!E168:E1166, 0))</f>
        <v>Outdoor</v>
      </c>
      <c r="C168" s="6">
        <f>SUMIFS('Raw Data Sales'!M168:M1166, 'Raw Data Sales'!E168:E1166,A168)</f>
        <v>70</v>
      </c>
      <c r="D168" s="6">
        <f>SUMIFS('Raw Data Sales'!N168:N1166, 'Raw Data Sales'!E168:E1166, A168)</f>
        <v>8773.87</v>
      </c>
      <c r="E168" s="6">
        <f>AVERAGEIFS('Raw Data Sales'!G168:G1166, 'Raw Data Sales'!E168:E1166, A168)</f>
        <v>689.085</v>
      </c>
      <c r="F168" s="6" t="str">
        <f t="shared" si="1"/>
        <v>Vanilla Protein Powder</v>
      </c>
    </row>
    <row r="169">
      <c r="A169" s="6" t="str">
        <f>IFERROR(__xludf.DUMMYFUNCTION("""COMPUTED_VALUE"""),"Dog Waste Bag Dispenser")</f>
        <v>Dog Waste Bag Dispenser</v>
      </c>
      <c r="B169" s="6" t="str">
        <f t="array" ref="B169">INDEX('Raw Data Sales'!F169:F1167, MATCH(A169, 'Raw Data Sales'!E169:E1167, 0))</f>
        <v>Pets</v>
      </c>
      <c r="C169" s="6">
        <f>SUMIFS('Raw Data Sales'!M169:M1167, 'Raw Data Sales'!E169:E1167,A169)</f>
        <v>146</v>
      </c>
      <c r="D169" s="6">
        <f>SUMIFS('Raw Data Sales'!N169:N1167, 'Raw Data Sales'!E169:E1167, A169)</f>
        <v>14037.01</v>
      </c>
      <c r="E169" s="6">
        <f>AVERAGEIFS('Raw Data Sales'!G169:G1167, 'Raw Data Sales'!E169:E1167, A169)</f>
        <v>561.785</v>
      </c>
      <c r="F169" s="6" t="str">
        <f t="shared" si="1"/>
        <v>Vanilla Protein Powder</v>
      </c>
    </row>
    <row r="170">
      <c r="A170" s="6" t="str">
        <f>IFERROR(__xludf.DUMMYFUNCTION("""COMPUTED_VALUE"""),"Compact Hair Dryer")</f>
        <v>Compact Hair Dryer</v>
      </c>
      <c r="B170" s="6" t="str">
        <f t="array" ref="B170">INDEX('Raw Data Sales'!F170:F1168, MATCH(A170, 'Raw Data Sales'!E170:E1168, 0))</f>
        <v>Beauty</v>
      </c>
      <c r="C170" s="6">
        <f>SUMIFS('Raw Data Sales'!M170:M1168, 'Raw Data Sales'!E170:E1168,A170)</f>
        <v>140</v>
      </c>
      <c r="D170" s="6">
        <f>SUMIFS('Raw Data Sales'!N170:N1168, 'Raw Data Sales'!E170:E1168, A170)</f>
        <v>11771.91</v>
      </c>
      <c r="E170" s="6">
        <f>AVERAGEIFS('Raw Data Sales'!G170:G1168, 'Raw Data Sales'!E170:E1168, A170)</f>
        <v>444.255</v>
      </c>
      <c r="F170" s="6" t="str">
        <f t="shared" si="1"/>
        <v>Vanilla Protein Powder</v>
      </c>
    </row>
    <row r="171">
      <c r="A171" s="6" t="str">
        <f>IFERROR(__xludf.DUMMYFUNCTION("""COMPUTED_VALUE"""),"Eco-Friendly Disposable Plates")</f>
        <v>Eco-Friendly Disposable Plates</v>
      </c>
      <c r="B171" s="6" t="str">
        <f t="array" ref="B171">INDEX('Raw Data Sales'!F171:F1169, MATCH(A171, 'Raw Data Sales'!E171:E1169, 0))</f>
        <v>Kitchen</v>
      </c>
      <c r="C171" s="6">
        <f>SUMIFS('Raw Data Sales'!M171:M1169, 'Raw Data Sales'!E171:E1169,A171)</f>
        <v>44</v>
      </c>
      <c r="D171" s="6">
        <f>SUMIFS('Raw Data Sales'!N171:N1169, 'Raw Data Sales'!E171:E1169, A171)</f>
        <v>33.25</v>
      </c>
      <c r="E171" s="6">
        <f>AVERAGEIFS('Raw Data Sales'!G171:G1169, 'Raw Data Sales'!E171:E1169, A171)</f>
        <v>162.39</v>
      </c>
      <c r="F171" s="6" t="str">
        <f t="shared" si="1"/>
        <v>Vanilla Protein Powder</v>
      </c>
    </row>
    <row r="172">
      <c r="A172" s="6" t="str">
        <f>IFERROR(__xludf.DUMMYFUNCTION("""COMPUTED_VALUE"""),"Mini Indoor Hydroponic Garden")</f>
        <v>Mini Indoor Hydroponic Garden</v>
      </c>
      <c r="B172" s="6" t="str">
        <f t="array" ref="B172">INDEX('Raw Data Sales'!F172:F1170, MATCH(A172, 'Raw Data Sales'!E172:E1170, 0))</f>
        <v>Garden</v>
      </c>
      <c r="C172" s="6">
        <f>SUMIFS('Raw Data Sales'!M172:M1170, 'Raw Data Sales'!E172:E1170,A172)</f>
        <v>22</v>
      </c>
      <c r="D172" s="6">
        <f>SUMIFS('Raw Data Sales'!N172:N1170, 'Raw Data Sales'!E172:E1170, A172)</f>
        <v>9999.6</v>
      </c>
      <c r="E172" s="6">
        <f>AVERAGEIFS('Raw Data Sales'!G172:G1170, 'Raw Data Sales'!E172:E1170, A172)</f>
        <v>846.79</v>
      </c>
      <c r="F172" s="6" t="str">
        <f t="shared" si="1"/>
        <v>Vanilla Protein Powder</v>
      </c>
    </row>
    <row r="173">
      <c r="A173" s="6" t="str">
        <f>IFERROR(__xludf.DUMMYFUNCTION("""COMPUTED_VALUE"""),"Rustic Italian Breads")</f>
        <v>Rustic Italian Breads</v>
      </c>
      <c r="B173" s="6" t="str">
        <f t="array" ref="B173">INDEX('Raw Data Sales'!F173:F1171, MATCH(A173, 'Raw Data Sales'!E173:E1171, 0))</f>
        <v>Food - Bakery</v>
      </c>
      <c r="C173" s="6">
        <f>SUMIFS('Raw Data Sales'!M173:M1171, 'Raw Data Sales'!E173:E1171,A173)</f>
        <v>71</v>
      </c>
      <c r="D173" s="6">
        <f>SUMIFS('Raw Data Sales'!N173:N1171, 'Raw Data Sales'!E173:E1171, A173)</f>
        <v>6777.3</v>
      </c>
      <c r="E173" s="6">
        <f>AVERAGEIFS('Raw Data Sales'!G173:G1171, 'Raw Data Sales'!E173:E1171, A173)</f>
        <v>869.64</v>
      </c>
      <c r="F173" s="6" t="str">
        <f t="shared" si="1"/>
        <v>Vanilla Protein Powder</v>
      </c>
    </row>
    <row r="174">
      <c r="A174" s="6" t="str">
        <f>IFERROR(__xludf.DUMMYFUNCTION("""COMPUTED_VALUE"""),"Greek Yogurt Parfait")</f>
        <v>Greek Yogurt Parfait</v>
      </c>
      <c r="B174" s="6" t="str">
        <f t="array" ref="B174">INDEX('Raw Data Sales'!F174:F1172, MATCH(A174, 'Raw Data Sales'!E174:E1172, 0))</f>
        <v>Food - Dairy</v>
      </c>
      <c r="C174" s="6">
        <f>SUMIFS('Raw Data Sales'!M174:M1172, 'Raw Data Sales'!E174:E1172,A174)</f>
        <v>22</v>
      </c>
      <c r="D174" s="6">
        <f>SUMIFS('Raw Data Sales'!N174:N1172, 'Raw Data Sales'!E174:E1172, A174)</f>
        <v>7147.62</v>
      </c>
      <c r="E174" s="6">
        <f>AVERAGEIFS('Raw Data Sales'!G174:G1172, 'Raw Data Sales'!E174:E1172, A174)</f>
        <v>979.68</v>
      </c>
      <c r="F174" s="6" t="str">
        <f t="shared" si="1"/>
        <v>Vanilla Protein Powder</v>
      </c>
    </row>
    <row r="175">
      <c r="A175" s="6" t="str">
        <f>IFERROR(__xludf.DUMMYFUNCTION("""COMPUTED_VALUE"""),"Set of Gardening Gloves with Claws")</f>
        <v>Set of Gardening Gloves with Claws</v>
      </c>
      <c r="B175" s="6" t="str">
        <f t="array" ref="B175">INDEX('Raw Data Sales'!F175:F1173, MATCH(A175, 'Raw Data Sales'!E175:E1173, 0))</f>
        <v>Garden</v>
      </c>
      <c r="C175" s="6">
        <f>SUMIFS('Raw Data Sales'!M175:M1173, 'Raw Data Sales'!E175:E1173,A175)</f>
        <v>27</v>
      </c>
      <c r="D175" s="6">
        <f>SUMIFS('Raw Data Sales'!N175:N1173, 'Raw Data Sales'!E175:E1173, A175)</f>
        <v>7090.93</v>
      </c>
      <c r="E175" s="6">
        <f>AVERAGEIFS('Raw Data Sales'!G175:G1173, 'Raw Data Sales'!E175:E1173, A175)</f>
        <v>833.53</v>
      </c>
      <c r="F175" s="6" t="str">
        <f t="shared" si="1"/>
        <v>Vanilla Protein Powder</v>
      </c>
    </row>
    <row r="176">
      <c r="A176" s="6" t="str">
        <f>IFERROR(__xludf.DUMMYFUNCTION("""COMPUTED_VALUE"""),"Pasta Maker")</f>
        <v>Pasta Maker</v>
      </c>
      <c r="B176" s="6" t="str">
        <f t="array" ref="B176">INDEX('Raw Data Sales'!F176:F1174, MATCH(A176, 'Raw Data Sales'!E176:E1174, 0))</f>
        <v>Kitchen</v>
      </c>
      <c r="C176" s="6">
        <f>SUMIFS('Raw Data Sales'!M176:M1174, 'Raw Data Sales'!E176:E1174,A176)</f>
        <v>89</v>
      </c>
      <c r="D176" s="6">
        <f>SUMIFS('Raw Data Sales'!N176:N1174, 'Raw Data Sales'!E176:E1174, A176)</f>
        <v>7684.01</v>
      </c>
      <c r="E176" s="6">
        <f>AVERAGEIFS('Raw Data Sales'!G176:G1174, 'Raw Data Sales'!E176:E1174, A176)</f>
        <v>520.33</v>
      </c>
      <c r="F176" s="6" t="str">
        <f t="shared" si="1"/>
        <v>Vanilla Protein Powder</v>
      </c>
    </row>
    <row r="177">
      <c r="A177" s="6" t="str">
        <f>IFERROR(__xludf.DUMMYFUNCTION("""COMPUTED_VALUE"""),"Coffee Grinder")</f>
        <v>Coffee Grinder</v>
      </c>
      <c r="B177" s="6" t="str">
        <f t="array" ref="B177">INDEX('Raw Data Sales'!F177:F1175, MATCH(A177, 'Raw Data Sales'!E177:E1175, 0))</f>
        <v>Kitchen</v>
      </c>
      <c r="C177" s="6">
        <f>SUMIFS('Raw Data Sales'!M177:M1175, 'Raw Data Sales'!E177:E1175,A177)</f>
        <v>20</v>
      </c>
      <c r="D177" s="6">
        <f>SUMIFS('Raw Data Sales'!N177:N1175, 'Raw Data Sales'!E177:E1175, A177)</f>
        <v>5341.59</v>
      </c>
      <c r="E177" s="6">
        <f>AVERAGEIFS('Raw Data Sales'!G177:G1175, 'Raw Data Sales'!E177:E1175, A177)</f>
        <v>84.02</v>
      </c>
      <c r="F177" s="6" t="str">
        <f t="shared" si="1"/>
        <v>Vanilla Protein Powder</v>
      </c>
    </row>
    <row r="178">
      <c r="A178" s="6" t="str">
        <f>IFERROR(__xludf.DUMMYFUNCTION("""COMPUTED_VALUE"""),"Margherita Pizza")</f>
        <v>Margherita Pizza</v>
      </c>
      <c r="B178" s="6" t="str">
        <f t="array" ref="B178">INDEX('Raw Data Sales'!F178:F1176, MATCH(A178, 'Raw Data Sales'!E178:E1176, 0))</f>
        <v>Food - Frozen Foods</v>
      </c>
      <c r="C178" s="6">
        <f>SUMIFS('Raw Data Sales'!M178:M1176, 'Raw Data Sales'!E178:E1176,A178)</f>
        <v>85</v>
      </c>
      <c r="D178" s="6">
        <f>SUMIFS('Raw Data Sales'!N178:N1176, 'Raw Data Sales'!E178:E1176, A178)</f>
        <v>9789.68</v>
      </c>
      <c r="E178" s="6">
        <f>AVERAGEIFS('Raw Data Sales'!G178:G1176, 'Raw Data Sales'!E178:E1176, A178)</f>
        <v>491.895</v>
      </c>
      <c r="F178" s="6" t="str">
        <f t="shared" si="1"/>
        <v>Vanilla Protein Powder</v>
      </c>
    </row>
    <row r="179">
      <c r="A179" s="6" t="str">
        <f>IFERROR(__xludf.DUMMYFUNCTION("""COMPUTED_VALUE"""),"Bodyweight Resistance Bands")</f>
        <v>Bodyweight Resistance Bands</v>
      </c>
      <c r="B179" s="6" t="str">
        <f t="array" ref="B179">INDEX('Raw Data Sales'!F179:F1177, MATCH(A179, 'Raw Data Sales'!E179:E1177, 0))</f>
        <v>Fitness</v>
      </c>
      <c r="C179" s="6">
        <f>SUMIFS('Raw Data Sales'!M179:M1177, 'Raw Data Sales'!E179:E1177,A179)</f>
        <v>85</v>
      </c>
      <c r="D179" s="6">
        <f>SUMIFS('Raw Data Sales'!N179:N1177, 'Raw Data Sales'!E179:E1177, A179)</f>
        <v>6448.87</v>
      </c>
      <c r="E179" s="6">
        <f>AVERAGEIFS('Raw Data Sales'!G179:G1177, 'Raw Data Sales'!E179:E1177, A179)</f>
        <v>484.92</v>
      </c>
      <c r="F179" s="6" t="str">
        <f t="shared" si="1"/>
        <v>Vanilla Protein Powder</v>
      </c>
    </row>
    <row r="180">
      <c r="A180" s="6" t="str">
        <f>IFERROR(__xludf.DUMMYFUNCTION("""COMPUTED_VALUE"""),"Sour Cream")</f>
        <v>Sour Cream</v>
      </c>
      <c r="B180" s="6" t="str">
        <f t="array" ref="B180">INDEX('Raw Data Sales'!F180:F1178, MATCH(A180, 'Raw Data Sales'!E180:E1178, 0))</f>
        <v>Food - Dairy</v>
      </c>
      <c r="C180" s="6">
        <f>SUMIFS('Raw Data Sales'!M180:M1178, 'Raw Data Sales'!E180:E1178,A180)</f>
        <v>3</v>
      </c>
      <c r="D180" s="6">
        <f>SUMIFS('Raw Data Sales'!N180:N1178, 'Raw Data Sales'!E180:E1178, A180)</f>
        <v>5067.2</v>
      </c>
      <c r="E180" s="6">
        <f>AVERAGEIFS('Raw Data Sales'!G180:G1178, 'Raw Data Sales'!E180:E1178, A180)</f>
        <v>157.41</v>
      </c>
      <c r="F180" s="6" t="str">
        <f t="shared" si="1"/>
        <v>Vanilla Protein Powder</v>
      </c>
    </row>
    <row r="181">
      <c r="A181" s="6" t="str">
        <f>IFERROR(__xludf.DUMMYFUNCTION("""COMPUTED_VALUE"""),"Organic Cereal Bars")</f>
        <v>Organic Cereal Bars</v>
      </c>
      <c r="B181" s="6" t="str">
        <f t="array" ref="B181">INDEX('Raw Data Sales'!F181:F1179, MATCH(A181, 'Raw Data Sales'!E181:E1179, 0))</f>
        <v>Food - Snacks</v>
      </c>
      <c r="C181" s="6">
        <f>SUMIFS('Raw Data Sales'!M181:M1179, 'Raw Data Sales'!E181:E1179,A181)</f>
        <v>64</v>
      </c>
      <c r="D181" s="6">
        <f>SUMIFS('Raw Data Sales'!N181:N1179, 'Raw Data Sales'!E181:E1179, A181)</f>
        <v>1034.81</v>
      </c>
      <c r="E181" s="6">
        <f>AVERAGEIFS('Raw Data Sales'!G181:G1179, 'Raw Data Sales'!E181:E1179, A181)</f>
        <v>43.85</v>
      </c>
      <c r="F181" s="6" t="str">
        <f t="shared" si="1"/>
        <v>Vanilla Protein Powder</v>
      </c>
    </row>
    <row r="182">
      <c r="A182" s="6" t="str">
        <f>IFERROR(__xludf.DUMMYFUNCTION("""COMPUTED_VALUE"""),"Personal Blender with Travel Cup")</f>
        <v>Personal Blender with Travel Cup</v>
      </c>
      <c r="B182" s="6" t="str">
        <f t="array" ref="B182">INDEX('Raw Data Sales'!F182:F1180, MATCH(A182, 'Raw Data Sales'!E182:E1180, 0))</f>
        <v>Kitchen</v>
      </c>
      <c r="C182" s="6">
        <f>SUMIFS('Raw Data Sales'!M182:M1180, 'Raw Data Sales'!E182:E1180,A182)</f>
        <v>11</v>
      </c>
      <c r="D182" s="6">
        <f>SUMIFS('Raw Data Sales'!N182:N1180, 'Raw Data Sales'!E182:E1180, A182)</f>
        <v>1587.37</v>
      </c>
      <c r="E182" s="6">
        <f>AVERAGEIFS('Raw Data Sales'!G182:G1180, 'Raw Data Sales'!E182:E1180, A182)</f>
        <v>750.15</v>
      </c>
      <c r="F182" s="6" t="str">
        <f t="shared" si="1"/>
        <v>Vanilla Protein Powder</v>
      </c>
    </row>
    <row r="183">
      <c r="A183" s="6" t="str">
        <f>IFERROR(__xludf.DUMMYFUNCTION("""COMPUTED_VALUE"""),"Ceramic Bakeware Set")</f>
        <v>Ceramic Bakeware Set</v>
      </c>
      <c r="B183" s="6" t="str">
        <f t="array" ref="B183">INDEX('Raw Data Sales'!F183:F1181, MATCH(A183, 'Raw Data Sales'!E183:E1181, 0))</f>
        <v>Kitchen</v>
      </c>
      <c r="C183" s="6">
        <f>SUMIFS('Raw Data Sales'!M183:M1181, 'Raw Data Sales'!E183:E1181,A183)</f>
        <v>13</v>
      </c>
      <c r="D183" s="6">
        <f>SUMIFS('Raw Data Sales'!N183:N1181, 'Raw Data Sales'!E183:E1181, A183)</f>
        <v>6629.23</v>
      </c>
      <c r="E183" s="6">
        <f>AVERAGEIFS('Raw Data Sales'!G183:G1181, 'Raw Data Sales'!E183:E1181, A183)</f>
        <v>841.28</v>
      </c>
      <c r="F183" s="6" t="str">
        <f t="shared" si="1"/>
        <v>Vanilla Protein Powder</v>
      </c>
    </row>
    <row r="184">
      <c r="A184" s="6" t="str">
        <f>IFERROR(__xludf.DUMMYFUNCTION("""COMPUTED_VALUE"""),"Coconut Cream Pie")</f>
        <v>Coconut Cream Pie</v>
      </c>
      <c r="B184" s="6" t="str">
        <f t="array" ref="B184">INDEX('Raw Data Sales'!F184:F1182, MATCH(A184, 'Raw Data Sales'!E184:E1182, 0))</f>
        <v>Food - Bakery</v>
      </c>
      <c r="C184" s="6">
        <f>SUMIFS('Raw Data Sales'!M184:M1182, 'Raw Data Sales'!E184:E1182,A184)</f>
        <v>31</v>
      </c>
      <c r="D184" s="6">
        <f>SUMIFS('Raw Data Sales'!N184:N1182, 'Raw Data Sales'!E184:E1182, A184)</f>
        <v>5190.72</v>
      </c>
      <c r="E184" s="6">
        <f>AVERAGEIFS('Raw Data Sales'!G184:G1182, 'Raw Data Sales'!E184:E1182, A184)</f>
        <v>488.53</v>
      </c>
      <c r="F184" s="6" t="str">
        <f t="shared" si="1"/>
        <v>Vanilla Protein Powder</v>
      </c>
    </row>
    <row r="185">
      <c r="A185" s="6" t="str">
        <f>IFERROR(__xludf.DUMMYFUNCTION("""COMPUTED_VALUE"""),"Chewy Granola Bars")</f>
        <v>Chewy Granola Bars</v>
      </c>
      <c r="B185" s="6" t="str">
        <f t="array" ref="B185">INDEX('Raw Data Sales'!F185:F1183, MATCH(A185, 'Raw Data Sales'!E185:E1183, 0))</f>
        <v>Food - Snacks</v>
      </c>
      <c r="C185" s="6">
        <f>SUMIFS('Raw Data Sales'!M185:M1183, 'Raw Data Sales'!E185:E1183,A185)</f>
        <v>12</v>
      </c>
      <c r="D185" s="6">
        <f>SUMIFS('Raw Data Sales'!N185:N1183, 'Raw Data Sales'!E185:E1183, A185)</f>
        <v>5470.04</v>
      </c>
      <c r="E185" s="6">
        <f>AVERAGEIFS('Raw Data Sales'!G185:G1183, 'Raw Data Sales'!E185:E1183, A185)</f>
        <v>503.26</v>
      </c>
      <c r="F185" s="6" t="str">
        <f t="shared" si="1"/>
        <v>Vanilla Protein Powder</v>
      </c>
    </row>
    <row r="186">
      <c r="A186" s="6" t="str">
        <f>IFERROR(__xludf.DUMMYFUNCTION("""COMPUTED_VALUE"""),"Ranch Dressing")</f>
        <v>Ranch Dressing</v>
      </c>
      <c r="B186" s="6" t="str">
        <f t="array" ref="B186">INDEX('Raw Data Sales'!F186:F1184, MATCH(A186, 'Raw Data Sales'!E186:E1184, 0))</f>
        <v>Food - Condiments</v>
      </c>
      <c r="C186" s="6">
        <f>SUMIFS('Raw Data Sales'!M186:M1184, 'Raw Data Sales'!E186:E1184,A186)</f>
        <v>167</v>
      </c>
      <c r="D186" s="6">
        <f>SUMIFS('Raw Data Sales'!N186:N1184, 'Raw Data Sales'!E186:E1184, A186)</f>
        <v>13382.56</v>
      </c>
      <c r="E186" s="6">
        <f>AVERAGEIFS('Raw Data Sales'!G186:G1184, 'Raw Data Sales'!E186:E1184, A186)</f>
        <v>386.115</v>
      </c>
      <c r="F186" s="6" t="str">
        <f t="shared" si="1"/>
        <v>Vanilla Protein Powder</v>
      </c>
    </row>
    <row r="187">
      <c r="A187" s="6" t="str">
        <f>IFERROR(__xludf.DUMMYFUNCTION("""COMPUTED_VALUE"""),"Gardening Tool Belt")</f>
        <v>Gardening Tool Belt</v>
      </c>
      <c r="B187" s="6" t="str">
        <f t="array" ref="B187">INDEX('Raw Data Sales'!F187:F1185, MATCH(A187, 'Raw Data Sales'!E187:E1185, 0))</f>
        <v>Garden</v>
      </c>
      <c r="C187" s="6">
        <f>SUMIFS('Raw Data Sales'!M187:M1185, 'Raw Data Sales'!E187:E1185,A187)</f>
        <v>75</v>
      </c>
      <c r="D187" s="6">
        <f>SUMIFS('Raw Data Sales'!N187:N1185, 'Raw Data Sales'!E187:E1185, A187)</f>
        <v>6437.31</v>
      </c>
      <c r="E187" s="6">
        <f>AVERAGEIFS('Raw Data Sales'!G187:G1185, 'Raw Data Sales'!E187:E1185, A187)</f>
        <v>544.23</v>
      </c>
      <c r="F187" s="6" t="str">
        <f t="shared" si="1"/>
        <v>Vanilla Protein Powder</v>
      </c>
    </row>
    <row r="188">
      <c r="A188" s="6" t="str">
        <f>IFERROR(__xludf.DUMMYFUNCTION("""COMPUTED_VALUE"""),"Herbed Couscous")</f>
        <v>Herbed Couscous</v>
      </c>
      <c r="B188" s="6" t="str">
        <f t="array" ref="B188">INDEX('Raw Data Sales'!F188:F1186, MATCH(A188, 'Raw Data Sales'!E188:E1186, 0))</f>
        <v>Food - Grains</v>
      </c>
      <c r="C188" s="6">
        <f>SUMIFS('Raw Data Sales'!M188:M1186, 'Raw Data Sales'!E188:E1186,A188)</f>
        <v>10</v>
      </c>
      <c r="D188" s="6">
        <f>SUMIFS('Raw Data Sales'!N188:N1186, 'Raw Data Sales'!E188:E1186, A188)</f>
        <v>3969.24</v>
      </c>
      <c r="E188" s="6">
        <f>AVERAGEIFS('Raw Data Sales'!G188:G1186, 'Raw Data Sales'!E188:E1186, A188)</f>
        <v>876.49</v>
      </c>
      <c r="F188" s="6" t="str">
        <f t="shared" si="1"/>
        <v>Vanilla Protein Powder</v>
      </c>
    </row>
    <row r="189">
      <c r="A189" s="6" t="str">
        <f>IFERROR(__xludf.DUMMYFUNCTION("""COMPUTED_VALUE"""),"Coconut Lime Rice")</f>
        <v>Coconut Lime Rice</v>
      </c>
      <c r="B189" s="6" t="str">
        <f t="array" ref="B189">INDEX('Raw Data Sales'!F189:F1187, MATCH(A189, 'Raw Data Sales'!E189:E1187, 0))</f>
        <v>Food - Sides</v>
      </c>
      <c r="C189" s="6">
        <f>SUMIFS('Raw Data Sales'!M189:M1187, 'Raw Data Sales'!E189:E1187,A189)</f>
        <v>66</v>
      </c>
      <c r="D189" s="6">
        <f>SUMIFS('Raw Data Sales'!N189:N1187, 'Raw Data Sales'!E189:E1187, A189)</f>
        <v>7315.87</v>
      </c>
      <c r="E189" s="6">
        <f>AVERAGEIFS('Raw Data Sales'!G189:G1187, 'Raw Data Sales'!E189:E1187, A189)</f>
        <v>904.81</v>
      </c>
      <c r="F189" s="6" t="str">
        <f t="shared" si="1"/>
        <v>Vanilla Protein Powder</v>
      </c>
    </row>
    <row r="190">
      <c r="A190" s="6" t="str">
        <f>IFERROR(__xludf.DUMMYFUNCTION("""COMPUTED_VALUE"""),"Eco-Friendly Stainless Steel Straws")</f>
        <v>Eco-Friendly Stainless Steel Straws</v>
      </c>
      <c r="B190" s="6" t="str">
        <f t="array" ref="B190">INDEX('Raw Data Sales'!F190:F1188, MATCH(A190, 'Raw Data Sales'!E190:E1188, 0))</f>
        <v>Kitchen</v>
      </c>
      <c r="C190" s="6">
        <f>SUMIFS('Raw Data Sales'!M190:M1188, 'Raw Data Sales'!E190:E1188,A190)</f>
        <v>86</v>
      </c>
      <c r="D190" s="6">
        <f>SUMIFS('Raw Data Sales'!N190:N1188, 'Raw Data Sales'!E190:E1188, A190)</f>
        <v>1566.33</v>
      </c>
      <c r="E190" s="6">
        <f>AVERAGEIFS('Raw Data Sales'!G190:G1188, 'Raw Data Sales'!E190:E1188, A190)</f>
        <v>208.21</v>
      </c>
      <c r="F190" s="6" t="str">
        <f t="shared" si="1"/>
        <v>Vanilla Protein Powder</v>
      </c>
    </row>
    <row r="191">
      <c r="A191" s="6" t="str">
        <f>IFERROR(__xludf.DUMMYFUNCTION("""COMPUTED_VALUE"""),"Cream Cheese")</f>
        <v>Cream Cheese</v>
      </c>
      <c r="B191" s="6" t="str">
        <f t="array" ref="B191">INDEX('Raw Data Sales'!F191:F1189, MATCH(A191, 'Raw Data Sales'!E191:E1189, 0))</f>
        <v>Food - Dairy</v>
      </c>
      <c r="C191" s="6">
        <f>SUMIFS('Raw Data Sales'!M191:M1189, 'Raw Data Sales'!E191:E1189,A191)</f>
        <v>15</v>
      </c>
      <c r="D191" s="6">
        <f>SUMIFS('Raw Data Sales'!N191:N1189, 'Raw Data Sales'!E191:E1189, A191)</f>
        <v>2732.35</v>
      </c>
      <c r="E191" s="6">
        <f>AVERAGEIFS('Raw Data Sales'!G191:G1189, 'Raw Data Sales'!E191:E1189, A191)</f>
        <v>119.09</v>
      </c>
      <c r="F191" s="6" t="str">
        <f t="shared" si="1"/>
        <v>Vanilla Protein Powder</v>
      </c>
    </row>
    <row r="192">
      <c r="A192" s="6" t="str">
        <f>IFERROR(__xludf.DUMMYFUNCTION("""COMPUTED_VALUE"""),"Oatmeal Raisin Cookies")</f>
        <v>Oatmeal Raisin Cookies</v>
      </c>
      <c r="B192" s="6" t="str">
        <f t="array" ref="B192">INDEX('Raw Data Sales'!F192:F1190, MATCH(A192, 'Raw Data Sales'!E192:E1190, 0))</f>
        <v>Food - Baked Goods</v>
      </c>
      <c r="C192" s="6">
        <f>SUMIFS('Raw Data Sales'!M192:M1190, 'Raw Data Sales'!E192:E1190,A192)</f>
        <v>155</v>
      </c>
      <c r="D192" s="6">
        <f>SUMIFS('Raw Data Sales'!N192:N1190, 'Raw Data Sales'!E192:E1190, A192)</f>
        <v>6213.5</v>
      </c>
      <c r="E192" s="6">
        <f>AVERAGEIFS('Raw Data Sales'!G192:G1190, 'Raw Data Sales'!E192:E1190, A192)</f>
        <v>324.515</v>
      </c>
      <c r="F192" s="6" t="str">
        <f t="shared" si="1"/>
        <v>Vanilla Protein Powder</v>
      </c>
    </row>
    <row r="193">
      <c r="A193" s="6" t="str">
        <f>IFERROR(__xludf.DUMMYFUNCTION("""COMPUTED_VALUE"""),"Mini Cordless Vacuum Cleaner")</f>
        <v>Mini Cordless Vacuum Cleaner</v>
      </c>
      <c r="B193" s="6" t="str">
        <f t="array" ref="B193">INDEX('Raw Data Sales'!F193:F1191, MATCH(A193, 'Raw Data Sales'!E193:E1191, 0))</f>
        <v>Home Appliances</v>
      </c>
      <c r="C193" s="6">
        <f>SUMIFS('Raw Data Sales'!M193:M1191, 'Raw Data Sales'!E193:E1191,A193)</f>
        <v>167</v>
      </c>
      <c r="D193" s="6">
        <f>SUMIFS('Raw Data Sales'!N193:N1191, 'Raw Data Sales'!E193:E1191, A193)</f>
        <v>10322.25</v>
      </c>
      <c r="E193" s="6">
        <f>AVERAGEIFS('Raw Data Sales'!G193:G1191, 'Raw Data Sales'!E193:E1191, A193)</f>
        <v>883.55</v>
      </c>
      <c r="F193" s="6" t="str">
        <f t="shared" si="1"/>
        <v>Vanilla Protein Powder</v>
      </c>
    </row>
    <row r="194">
      <c r="A194" s="6" t="str">
        <f>IFERROR(__xludf.DUMMYFUNCTION("""COMPUTED_VALUE"""),"Rechargeable Electric Toothbrush")</f>
        <v>Rechargeable Electric Toothbrush</v>
      </c>
      <c r="B194" s="6" t="str">
        <f t="array" ref="B194">INDEX('Raw Data Sales'!F194:F1192, MATCH(A194, 'Raw Data Sales'!E194:E1192, 0))</f>
        <v>Health</v>
      </c>
      <c r="C194" s="6">
        <f>SUMIFS('Raw Data Sales'!M194:M1192, 'Raw Data Sales'!E194:E1192,A194)</f>
        <v>159</v>
      </c>
      <c r="D194" s="6">
        <f>SUMIFS('Raw Data Sales'!N194:N1192, 'Raw Data Sales'!E194:E1192, A194)</f>
        <v>4283.08</v>
      </c>
      <c r="E194" s="6">
        <f>AVERAGEIFS('Raw Data Sales'!G194:G1192, 'Raw Data Sales'!E194:E1192, A194)</f>
        <v>354.07</v>
      </c>
      <c r="F194" s="6" t="str">
        <f t="shared" si="1"/>
        <v>Vanilla Protein Powder</v>
      </c>
    </row>
    <row r="195">
      <c r="A195" s="6" t="str">
        <f>IFERROR(__xludf.DUMMYFUNCTION("""COMPUTED_VALUE"""),"Pasta Salad Kit")</f>
        <v>Pasta Salad Kit</v>
      </c>
      <c r="B195" s="6" t="str">
        <f t="array" ref="B195">INDEX('Raw Data Sales'!F195:F1193, MATCH(A195, 'Raw Data Sales'!E195:E1193, 0))</f>
        <v>Food - Prepared Foods</v>
      </c>
      <c r="C195" s="6">
        <f>SUMIFS('Raw Data Sales'!M195:M1193, 'Raw Data Sales'!E195:E1193,A195)</f>
        <v>14</v>
      </c>
      <c r="D195" s="6">
        <f>SUMIFS('Raw Data Sales'!N195:N1193, 'Raw Data Sales'!E195:E1193, A195)</f>
        <v>7117.57</v>
      </c>
      <c r="E195" s="6">
        <f>AVERAGEIFS('Raw Data Sales'!G195:G1193, 'Raw Data Sales'!E195:E1193, A195)</f>
        <v>54.54</v>
      </c>
      <c r="F195" s="6" t="str">
        <f t="shared" si="1"/>
        <v>Vanilla Protein Powder</v>
      </c>
    </row>
    <row r="196">
      <c r="A196" s="6" t="str">
        <f>IFERROR(__xludf.DUMMYFUNCTION("""COMPUTED_VALUE"""),"Warm Knit Beanie")</f>
        <v>Warm Knit Beanie</v>
      </c>
      <c r="B196" s="6" t="str">
        <f t="array" ref="B196">INDEX('Raw Data Sales'!F196:F1194, MATCH(A196, 'Raw Data Sales'!E196:E1194, 0))</f>
        <v>Clothing - Accessories</v>
      </c>
      <c r="C196" s="6">
        <f>SUMIFS('Raw Data Sales'!M196:M1194, 'Raw Data Sales'!E196:E1194,A196)</f>
        <v>84</v>
      </c>
      <c r="D196" s="6">
        <f>SUMIFS('Raw Data Sales'!N196:N1194, 'Raw Data Sales'!E196:E1194, A196)</f>
        <v>2696.56</v>
      </c>
      <c r="E196" s="6">
        <f>AVERAGEIFS('Raw Data Sales'!G196:G1194, 'Raw Data Sales'!E196:E1194, A196)</f>
        <v>129.75</v>
      </c>
      <c r="F196" s="6" t="str">
        <f t="shared" si="1"/>
        <v>Vanilla Protein Powder</v>
      </c>
    </row>
    <row r="197">
      <c r="A197" s="6" t="str">
        <f>IFERROR(__xludf.DUMMYFUNCTION("""COMPUTED_VALUE"""),"Rustic Italian Bread")</f>
        <v>Rustic Italian Bread</v>
      </c>
      <c r="B197" s="6" t="str">
        <f t="array" ref="B197">INDEX('Raw Data Sales'!F197:F1195, MATCH(A197, 'Raw Data Sales'!E197:E1195, 0))</f>
        <v>Food - Bakery</v>
      </c>
      <c r="C197" s="6">
        <f>SUMIFS('Raw Data Sales'!M197:M1195, 'Raw Data Sales'!E197:E1195,A197)</f>
        <v>99</v>
      </c>
      <c r="D197" s="6">
        <f>SUMIFS('Raw Data Sales'!N197:N1195, 'Raw Data Sales'!E197:E1195, A197)</f>
        <v>8048.39</v>
      </c>
      <c r="E197" s="6">
        <f>AVERAGEIFS('Raw Data Sales'!G197:G1195, 'Raw Data Sales'!E197:E1195, A197)</f>
        <v>527.43</v>
      </c>
      <c r="F197" s="6" t="str">
        <f t="shared" si="1"/>
        <v>Vanilla Protein Powder</v>
      </c>
    </row>
    <row r="198">
      <c r="A198" s="6" t="str">
        <f>IFERROR(__xludf.DUMMYFUNCTION("""COMPUTED_VALUE"""),"Sweet Chili Sauce")</f>
        <v>Sweet Chili Sauce</v>
      </c>
      <c r="B198" s="6" t="str">
        <f t="array" ref="B198">INDEX('Raw Data Sales'!F198:F1196, MATCH(A198, 'Raw Data Sales'!E198:E1196, 0))</f>
        <v>Food - Condiments</v>
      </c>
      <c r="C198" s="6">
        <f>SUMIFS('Raw Data Sales'!M198:M1196, 'Raw Data Sales'!E198:E1196,A198)</f>
        <v>130</v>
      </c>
      <c r="D198" s="6">
        <f>SUMIFS('Raw Data Sales'!N198:N1196, 'Raw Data Sales'!E198:E1196, A198)</f>
        <v>9255.58</v>
      </c>
      <c r="E198" s="6">
        <f>AVERAGEIFS('Raw Data Sales'!G198:G1196, 'Raw Data Sales'!E198:E1196, A198)</f>
        <v>73.195</v>
      </c>
      <c r="F198" s="6" t="str">
        <f t="shared" si="1"/>
        <v>Vanilla Protein Powder</v>
      </c>
    </row>
    <row r="199">
      <c r="A199" s="6" t="str">
        <f>IFERROR(__xludf.DUMMYFUNCTION("""COMPUTED_VALUE"""),"Raspberry Tart")</f>
        <v>Raspberry Tart</v>
      </c>
      <c r="B199" s="6" t="str">
        <f t="array" ref="B199">INDEX('Raw Data Sales'!F199:F1197, MATCH(A199, 'Raw Data Sales'!E199:E1197, 0))</f>
        <v>Food - Baked Goods</v>
      </c>
      <c r="C199" s="6">
        <f>SUMIFS('Raw Data Sales'!M199:M1197, 'Raw Data Sales'!E199:E1197,A199)</f>
        <v>89</v>
      </c>
      <c r="D199" s="6">
        <f>SUMIFS('Raw Data Sales'!N199:N1197, 'Raw Data Sales'!E199:E1197, A199)</f>
        <v>11281.92</v>
      </c>
      <c r="E199" s="6">
        <f>AVERAGEIFS('Raw Data Sales'!G199:G1197, 'Raw Data Sales'!E199:E1197, A199)</f>
        <v>552.815</v>
      </c>
      <c r="F199" s="6" t="str">
        <f t="shared" si="1"/>
        <v>Vanilla Protein Powder</v>
      </c>
    </row>
    <row r="200">
      <c r="A200" s="6" t="str">
        <f>IFERROR(__xludf.DUMMYFUNCTION("""COMPUTED_VALUE"""),"LED Flashlight")</f>
        <v>LED Flashlight</v>
      </c>
      <c r="B200" s="6" t="str">
        <f t="array" ref="B200">INDEX('Raw Data Sales'!F200:F1198, MATCH(A200, 'Raw Data Sales'!E200:E1198, 0))</f>
        <v>Outdoor</v>
      </c>
      <c r="C200" s="6">
        <f>SUMIFS('Raw Data Sales'!M200:M1198, 'Raw Data Sales'!E200:E1198,A200)</f>
        <v>75</v>
      </c>
      <c r="D200" s="6">
        <f>SUMIFS('Raw Data Sales'!N200:N1198, 'Raw Data Sales'!E200:E1198, A200)</f>
        <v>9730.61</v>
      </c>
      <c r="E200" s="6">
        <f>AVERAGEIFS('Raw Data Sales'!G200:G1198, 'Raw Data Sales'!E200:E1198, A200)</f>
        <v>823.29</v>
      </c>
      <c r="F200" s="6" t="str">
        <f t="shared" si="1"/>
        <v>Vanilla Protein Powder</v>
      </c>
    </row>
    <row r="201">
      <c r="A201" s="6" t="str">
        <f>IFERROR(__xludf.DUMMYFUNCTION("""COMPUTED_VALUE"""),"Pet Safety Harness")</f>
        <v>Pet Safety Harness</v>
      </c>
      <c r="B201" s="6" t="str">
        <f t="array" ref="B201">INDEX('Raw Data Sales'!F201:F1199, MATCH(A201, 'Raw Data Sales'!E201:E1199, 0))</f>
        <v>Pets</v>
      </c>
      <c r="C201" s="6">
        <f>SUMIFS('Raw Data Sales'!M201:M1199, 'Raw Data Sales'!E201:E1199,A201)</f>
        <v>37</v>
      </c>
      <c r="D201" s="6">
        <f>SUMIFS('Raw Data Sales'!N201:N1199, 'Raw Data Sales'!E201:E1199, A201)</f>
        <v>3563.16</v>
      </c>
      <c r="E201" s="6">
        <f>AVERAGEIFS('Raw Data Sales'!G201:G1199, 'Raw Data Sales'!E201:E1199, A201)</f>
        <v>519.27</v>
      </c>
      <c r="F201" s="6" t="str">
        <f t="shared" si="1"/>
        <v>Vanilla Protein Powder</v>
      </c>
    </row>
    <row r="202">
      <c r="A202" s="6" t="str">
        <f>IFERROR(__xludf.DUMMYFUNCTION("""COMPUTED_VALUE"""),"Fashionable Fanny Pack")</f>
        <v>Fashionable Fanny Pack</v>
      </c>
      <c r="B202" s="6" t="str">
        <f t="array" ref="B202">INDEX('Raw Data Sales'!F202:F1200, MATCH(A202, 'Raw Data Sales'!E202:E1200, 0))</f>
        <v>Clothing - Accessories</v>
      </c>
      <c r="C202" s="6">
        <f>SUMIFS('Raw Data Sales'!M202:M1200, 'Raw Data Sales'!E202:E1200,A202)</f>
        <v>65</v>
      </c>
      <c r="D202" s="6">
        <f>SUMIFS('Raw Data Sales'!N202:N1200, 'Raw Data Sales'!E202:E1200, A202)</f>
        <v>6831.51</v>
      </c>
      <c r="E202" s="6">
        <f>AVERAGEIFS('Raw Data Sales'!G202:G1200, 'Raw Data Sales'!E202:E1200, A202)</f>
        <v>476.51</v>
      </c>
      <c r="F202" s="6" t="str">
        <f t="shared" si="1"/>
        <v>Vanilla Protein Powder</v>
      </c>
    </row>
    <row r="203">
      <c r="A203" s="6" t="str">
        <f>IFERROR(__xludf.DUMMYFUNCTION("""COMPUTED_VALUE"""),"Silicone Ice Cube Tray")</f>
        <v>Silicone Ice Cube Tray</v>
      </c>
      <c r="B203" s="6" t="str">
        <f t="array" ref="B203">INDEX('Raw Data Sales'!F203:F1201, MATCH(A203, 'Raw Data Sales'!E203:E1201, 0))</f>
        <v>Kitchen</v>
      </c>
      <c r="C203" s="6">
        <f>SUMIFS('Raw Data Sales'!M203:M1201, 'Raw Data Sales'!E203:E1201,A203)</f>
        <v>74</v>
      </c>
      <c r="D203" s="6">
        <f>SUMIFS('Raw Data Sales'!N203:N1201, 'Raw Data Sales'!E203:E1201, A203)</f>
        <v>7047.33</v>
      </c>
      <c r="E203" s="6">
        <f>AVERAGEIFS('Raw Data Sales'!G203:G1201, 'Raw Data Sales'!E203:E1201, A203)</f>
        <v>70.11</v>
      </c>
      <c r="F203" s="6" t="str">
        <f t="shared" si="1"/>
        <v>Vanilla Protein Powder</v>
      </c>
    </row>
    <row r="204">
      <c r="A204" s="6" t="str">
        <f>IFERROR(__xludf.DUMMYFUNCTION("""COMPUTED_VALUE"""),"Maple Pecan Pancake Mix")</f>
        <v>Maple Pecan Pancake Mix</v>
      </c>
      <c r="B204" s="6" t="str">
        <f t="array" ref="B204">INDEX('Raw Data Sales'!F204:F1202, MATCH(A204, 'Raw Data Sales'!E204:E1202, 0))</f>
        <v>Food - Breakfast</v>
      </c>
      <c r="C204" s="6">
        <f>SUMIFS('Raw Data Sales'!M204:M1202, 'Raw Data Sales'!E204:E1202,A204)</f>
        <v>58</v>
      </c>
      <c r="D204" s="6">
        <f>SUMIFS('Raw Data Sales'!N204:N1202, 'Raw Data Sales'!E204:E1202, A204)</f>
        <v>2552.5</v>
      </c>
      <c r="E204" s="6">
        <f>AVERAGEIFS('Raw Data Sales'!G204:G1202, 'Raw Data Sales'!E204:E1202, A204)</f>
        <v>279.84</v>
      </c>
      <c r="F204" s="6" t="str">
        <f t="shared" si="1"/>
        <v>Vanilla Protein Powder</v>
      </c>
    </row>
    <row r="205">
      <c r="A205" s="6" t="str">
        <f>IFERROR(__xludf.DUMMYFUNCTION("""COMPUTED_VALUE"""),"Canned Sardines")</f>
        <v>Canned Sardines</v>
      </c>
      <c r="B205" s="6" t="str">
        <f t="array" ref="B205">INDEX('Raw Data Sales'!F205:F1203, MATCH(A205, 'Raw Data Sales'!E205:E1203, 0))</f>
        <v>Food - Seafood</v>
      </c>
      <c r="C205" s="6">
        <f>SUMIFS('Raw Data Sales'!M205:M1203, 'Raw Data Sales'!E205:E1203,A205)</f>
        <v>41</v>
      </c>
      <c r="D205" s="6">
        <f>SUMIFS('Raw Data Sales'!N205:N1203, 'Raw Data Sales'!E205:E1203, A205)</f>
        <v>6094.4</v>
      </c>
      <c r="E205" s="6">
        <f>AVERAGEIFS('Raw Data Sales'!G205:G1203, 'Raw Data Sales'!E205:E1203, A205)</f>
        <v>945.9</v>
      </c>
      <c r="F205" s="6" t="str">
        <f t="shared" si="1"/>
        <v>Vanilla Protein Powder</v>
      </c>
    </row>
    <row r="206">
      <c r="A206" s="6" t="str">
        <f>IFERROR(__xludf.DUMMYFUNCTION("""COMPUTED_VALUE"""),"Sliced Olives")</f>
        <v>Sliced Olives</v>
      </c>
      <c r="B206" s="6" t="str">
        <f t="array" ref="B206">INDEX('Raw Data Sales'!F206:F1204, MATCH(A206, 'Raw Data Sales'!E206:E1204, 0))</f>
        <v>Food - Condiments</v>
      </c>
      <c r="C206" s="6">
        <f>SUMIFS('Raw Data Sales'!M206:M1204, 'Raw Data Sales'!E206:E1204,A206)</f>
        <v>87</v>
      </c>
      <c r="D206" s="6">
        <f>SUMIFS('Raw Data Sales'!N206:N1204, 'Raw Data Sales'!E206:E1204, A206)</f>
        <v>709.44</v>
      </c>
      <c r="E206" s="6">
        <f>AVERAGEIFS('Raw Data Sales'!G206:G1204, 'Raw Data Sales'!E206:E1204, A206)</f>
        <v>789.63</v>
      </c>
      <c r="F206" s="6" t="str">
        <f t="shared" si="1"/>
        <v>Vanilla Protein Powder</v>
      </c>
    </row>
    <row r="207">
      <c r="A207" s="6" t="str">
        <f>IFERROR(__xludf.DUMMYFUNCTION("""COMPUTED_VALUE"""),"Savory Quinoa Pudding")</f>
        <v>Savory Quinoa Pudding</v>
      </c>
      <c r="B207" s="6" t="str">
        <f t="array" ref="B207">INDEX('Raw Data Sales'!F207:F1205, MATCH(A207, 'Raw Data Sales'!E207:E1205, 0))</f>
        <v>Food - Sides</v>
      </c>
      <c r="C207" s="6">
        <f>SUMIFS('Raw Data Sales'!M207:M1205, 'Raw Data Sales'!E207:E1205,A207)</f>
        <v>153</v>
      </c>
      <c r="D207" s="6">
        <f>SUMIFS('Raw Data Sales'!N207:N1205, 'Raw Data Sales'!E207:E1205, A207)</f>
        <v>14583.13</v>
      </c>
      <c r="E207" s="6">
        <f>AVERAGEIFS('Raw Data Sales'!G207:G1205, 'Raw Data Sales'!E207:E1205, A207)</f>
        <v>616.52</v>
      </c>
      <c r="F207" s="6" t="str">
        <f t="shared" si="1"/>
        <v>Vanilla Protein Powder</v>
      </c>
    </row>
    <row r="208">
      <c r="A208" s="6" t="str">
        <f>IFERROR(__xludf.DUMMYFUNCTION("""COMPUTED_VALUE"""),"Herbal Garden Starter Kit")</f>
        <v>Herbal Garden Starter Kit</v>
      </c>
      <c r="B208" s="6" t="str">
        <f t="array" ref="B208">INDEX('Raw Data Sales'!F208:F1206, MATCH(A208, 'Raw Data Sales'!E208:E1206, 0))</f>
        <v>Garden</v>
      </c>
      <c r="C208" s="6">
        <f>SUMIFS('Raw Data Sales'!M208:M1206, 'Raw Data Sales'!E208:E1206,A208)</f>
        <v>123</v>
      </c>
      <c r="D208" s="6">
        <f>SUMIFS('Raw Data Sales'!N208:N1206, 'Raw Data Sales'!E208:E1206, A208)</f>
        <v>8189.56</v>
      </c>
      <c r="E208" s="6">
        <f>AVERAGEIFS('Raw Data Sales'!G208:G1206, 'Raw Data Sales'!E208:E1206, A208)</f>
        <v>492.085</v>
      </c>
      <c r="F208" s="6" t="str">
        <f t="shared" si="1"/>
        <v>Vanilla Protein Powder</v>
      </c>
    </row>
    <row r="209">
      <c r="A209" s="6" t="str">
        <f>IFERROR(__xludf.DUMMYFUNCTION("""COMPUTED_VALUE"""),"Avocado Oil")</f>
        <v>Avocado Oil</v>
      </c>
      <c r="B209" s="6" t="str">
        <f t="array" ref="B209">INDEX('Raw Data Sales'!F209:F1207, MATCH(A209, 'Raw Data Sales'!E209:E1207, 0))</f>
        <v>Food - Oils</v>
      </c>
      <c r="C209" s="6">
        <f>SUMIFS('Raw Data Sales'!M209:M1207, 'Raw Data Sales'!E209:E1207,A209)</f>
        <v>90</v>
      </c>
      <c r="D209" s="6">
        <f>SUMIFS('Raw Data Sales'!N209:N1207, 'Raw Data Sales'!E209:E1207, A209)</f>
        <v>3449.56</v>
      </c>
      <c r="E209" s="6">
        <f>AVERAGEIFS('Raw Data Sales'!G209:G1207, 'Raw Data Sales'!E209:E1207, A209)</f>
        <v>870.52</v>
      </c>
      <c r="F209" s="6" t="str">
        <f t="shared" si="1"/>
        <v>Vanilla Protein Powder</v>
      </c>
    </row>
    <row r="210">
      <c r="A210" s="6" t="str">
        <f>IFERROR(__xludf.DUMMYFUNCTION("""COMPUTED_VALUE"""),"Folding Pocket Knife")</f>
        <v>Folding Pocket Knife</v>
      </c>
      <c r="B210" s="6" t="str">
        <f t="array" ref="B210">INDEX('Raw Data Sales'!F210:F1208, MATCH(A210, 'Raw Data Sales'!E210:E1208, 0))</f>
        <v>Tools</v>
      </c>
      <c r="C210" s="6">
        <f>SUMIFS('Raw Data Sales'!M210:M1208, 'Raw Data Sales'!E210:E1208,A210)</f>
        <v>142</v>
      </c>
      <c r="D210" s="6">
        <f>SUMIFS('Raw Data Sales'!N210:N1208, 'Raw Data Sales'!E210:E1208, A210)</f>
        <v>2968.06</v>
      </c>
      <c r="E210" s="6">
        <f>AVERAGEIFS('Raw Data Sales'!G210:G1208, 'Raw Data Sales'!E210:E1208, A210)</f>
        <v>156.44</v>
      </c>
      <c r="F210" s="6" t="str">
        <f t="shared" si="1"/>
        <v>Vanilla Protein Powder</v>
      </c>
    </row>
    <row r="211">
      <c r="A211" s="6" t="str">
        <f>IFERROR(__xludf.DUMMYFUNCTION("""COMPUTED_VALUE"""),"Cacao Powder")</f>
        <v>Cacao Powder</v>
      </c>
      <c r="B211" s="6" t="str">
        <f t="array" ref="B211">INDEX('Raw Data Sales'!F211:F1209, MATCH(A211, 'Raw Data Sales'!E211:E1209, 0))</f>
        <v>Food - Baking</v>
      </c>
      <c r="C211" s="6">
        <f>SUMIFS('Raw Data Sales'!M211:M1209, 'Raw Data Sales'!E211:E1209,A211)</f>
        <v>76</v>
      </c>
      <c r="D211" s="6">
        <f>SUMIFS('Raw Data Sales'!N211:N1209, 'Raw Data Sales'!E211:E1209, A211)</f>
        <v>7605.66</v>
      </c>
      <c r="E211" s="6">
        <f>AVERAGEIFS('Raw Data Sales'!G211:G1209, 'Raw Data Sales'!E211:E1209, A211)</f>
        <v>777.26</v>
      </c>
      <c r="F211" s="6" t="str">
        <f t="shared" si="1"/>
        <v>Vanilla Protein Powder</v>
      </c>
    </row>
    <row r="212">
      <c r="A212" s="6" t="str">
        <f>IFERROR(__xludf.DUMMYFUNCTION("""COMPUTED_VALUE"""),"Stainless Steel Water Pitcher")</f>
        <v>Stainless Steel Water Pitcher</v>
      </c>
      <c r="B212" s="6" t="str">
        <f t="array" ref="B212">INDEX('Raw Data Sales'!F212:F1210, MATCH(A212, 'Raw Data Sales'!E212:E1210, 0))</f>
        <v>Kitchen</v>
      </c>
      <c r="C212" s="6">
        <f>SUMIFS('Raw Data Sales'!M212:M1210, 'Raw Data Sales'!E212:E1210,A212)</f>
        <v>97</v>
      </c>
      <c r="D212" s="6">
        <f>SUMIFS('Raw Data Sales'!N212:N1210, 'Raw Data Sales'!E212:E1210, A212)</f>
        <v>6855.68</v>
      </c>
      <c r="E212" s="6">
        <f>AVERAGEIFS('Raw Data Sales'!G212:G1210, 'Raw Data Sales'!E212:E1210, A212)</f>
        <v>681.495</v>
      </c>
      <c r="F212" s="6" t="str">
        <f t="shared" si="1"/>
        <v>Vanilla Protein Powder</v>
      </c>
    </row>
    <row r="213">
      <c r="A213" s="6" t="str">
        <f>IFERROR(__xludf.DUMMYFUNCTION("""COMPUTED_VALUE"""),"Sweetened Condensed Milk")</f>
        <v>Sweetened Condensed Milk</v>
      </c>
      <c r="B213" s="6" t="str">
        <f t="array" ref="B213">INDEX('Raw Data Sales'!F213:F1211, MATCH(A213, 'Raw Data Sales'!E213:E1211, 0))</f>
        <v>Food - Baking Goods</v>
      </c>
      <c r="C213" s="6">
        <f>SUMIFS('Raw Data Sales'!M213:M1211, 'Raw Data Sales'!E213:E1211,A213)</f>
        <v>183</v>
      </c>
      <c r="D213" s="6">
        <f>SUMIFS('Raw Data Sales'!N213:N1211, 'Raw Data Sales'!E213:E1211, A213)</f>
        <v>24342.82</v>
      </c>
      <c r="E213" s="6">
        <f>AVERAGEIFS('Raw Data Sales'!G213:G1211, 'Raw Data Sales'!E213:E1211, A213)</f>
        <v>444.0333333</v>
      </c>
      <c r="F213" s="6" t="str">
        <f t="shared" si="1"/>
        <v>Vanilla Protein Powder</v>
      </c>
    </row>
    <row r="214">
      <c r="A214" s="6" t="str">
        <f>IFERROR(__xludf.DUMMYFUNCTION("""COMPUTED_VALUE"""),"Classic Cheesecake Mix")</f>
        <v>Classic Cheesecake Mix</v>
      </c>
      <c r="B214" s="6" t="str">
        <f t="array" ref="B214">INDEX('Raw Data Sales'!F214:F1212, MATCH(A214, 'Raw Data Sales'!E214:E1212, 0))</f>
        <v>Food - Desserts</v>
      </c>
      <c r="C214" s="6">
        <f>SUMIFS('Raw Data Sales'!M214:M1212, 'Raw Data Sales'!E214:E1212,A214)</f>
        <v>19</v>
      </c>
      <c r="D214" s="6">
        <f>SUMIFS('Raw Data Sales'!N214:N1212, 'Raw Data Sales'!E214:E1212, A214)</f>
        <v>276.53</v>
      </c>
      <c r="E214" s="6">
        <f>AVERAGEIFS('Raw Data Sales'!G214:G1212, 'Raw Data Sales'!E214:E1212, A214)</f>
        <v>602.89</v>
      </c>
      <c r="F214" s="6" t="str">
        <f t="shared" si="1"/>
        <v>Vanilla Protein Powder</v>
      </c>
    </row>
    <row r="215">
      <c r="A215" s="6" t="str">
        <f>IFERROR(__xludf.DUMMYFUNCTION("""COMPUTED_VALUE"""),"Cooking Utensil Set")</f>
        <v>Cooking Utensil Set</v>
      </c>
      <c r="B215" s="6" t="str">
        <f t="array" ref="B215">INDEX('Raw Data Sales'!F215:F1213, MATCH(A215, 'Raw Data Sales'!E215:E1213, 0))</f>
        <v>Kitchen</v>
      </c>
      <c r="C215" s="6">
        <f>SUMIFS('Raw Data Sales'!M215:M1213, 'Raw Data Sales'!E215:E1213,A215)</f>
        <v>49</v>
      </c>
      <c r="D215" s="6">
        <f>SUMIFS('Raw Data Sales'!N215:N1213, 'Raw Data Sales'!E215:E1213, A215)</f>
        <v>5153.01</v>
      </c>
      <c r="E215" s="6">
        <f>AVERAGEIFS('Raw Data Sales'!G215:G1213, 'Raw Data Sales'!E215:E1213, A215)</f>
        <v>950.88</v>
      </c>
      <c r="F215" s="6" t="str">
        <f t="shared" si="1"/>
        <v>Vanilla Protein Powder</v>
      </c>
    </row>
    <row r="216">
      <c r="A216" s="6" t="str">
        <f>IFERROR(__xludf.DUMMYFUNCTION("""COMPUTED_VALUE"""),"Eco-Friendly Cleaning Cloths")</f>
        <v>Eco-Friendly Cleaning Cloths</v>
      </c>
      <c r="B216" s="6" t="str">
        <f t="array" ref="B216">INDEX('Raw Data Sales'!F216:F1214, MATCH(A216, 'Raw Data Sales'!E216:E1214, 0))</f>
        <v>Home</v>
      </c>
      <c r="C216" s="6">
        <f>SUMIFS('Raw Data Sales'!M216:M1214, 'Raw Data Sales'!E216:E1214,A216)</f>
        <v>136</v>
      </c>
      <c r="D216" s="6">
        <f>SUMIFS('Raw Data Sales'!N216:N1214, 'Raw Data Sales'!E216:E1214, A216)</f>
        <v>4390.33</v>
      </c>
      <c r="E216" s="6">
        <f>AVERAGEIFS('Raw Data Sales'!G216:G1214, 'Raw Data Sales'!E216:E1214, A216)</f>
        <v>244.105</v>
      </c>
      <c r="F216" s="6" t="str">
        <f t="shared" si="1"/>
        <v>Vanilla Protein Powder</v>
      </c>
    </row>
    <row r="217">
      <c r="A217" s="6" t="str">
        <f>IFERROR(__xludf.DUMMYFUNCTION("""COMPUTED_VALUE"""),"Buffalo Sauce")</f>
        <v>Buffalo Sauce</v>
      </c>
      <c r="B217" s="6" t="str">
        <f t="array" ref="B217">INDEX('Raw Data Sales'!F217:F1215, MATCH(A217, 'Raw Data Sales'!E217:E1215, 0))</f>
        <v>Food - Condiments</v>
      </c>
      <c r="C217" s="6">
        <f>SUMIFS('Raw Data Sales'!M217:M1215, 'Raw Data Sales'!E217:E1215,A217)</f>
        <v>94</v>
      </c>
      <c r="D217" s="6">
        <f>SUMIFS('Raw Data Sales'!N217:N1215, 'Raw Data Sales'!E217:E1215, A217)</f>
        <v>1545.21</v>
      </c>
      <c r="E217" s="6">
        <f>AVERAGEIFS('Raw Data Sales'!G217:G1215, 'Raw Data Sales'!E217:E1215, A217)</f>
        <v>304.19</v>
      </c>
      <c r="F217" s="6" t="str">
        <f t="shared" si="1"/>
        <v>Vanilla Protein Powder</v>
      </c>
    </row>
    <row r="218">
      <c r="A218" s="6" t="str">
        <f>IFERROR(__xludf.DUMMYFUNCTION("""COMPUTED_VALUE"""),"Dog Car Seat Cover")</f>
        <v>Dog Car Seat Cover</v>
      </c>
      <c r="B218" s="6" t="str">
        <f t="array" ref="B218">INDEX('Raw Data Sales'!F218:F1216, MATCH(A218, 'Raw Data Sales'!E218:E1216, 0))</f>
        <v>Pets</v>
      </c>
      <c r="C218" s="6">
        <f>SUMIFS('Raw Data Sales'!M218:M1216, 'Raw Data Sales'!E218:E1216,A218)</f>
        <v>185</v>
      </c>
      <c r="D218" s="6">
        <f>SUMIFS('Raw Data Sales'!N218:N1216, 'Raw Data Sales'!E218:E1216, A218)</f>
        <v>7960.96</v>
      </c>
      <c r="E218" s="6">
        <f>AVERAGEIFS('Raw Data Sales'!G218:G1216, 'Raw Data Sales'!E218:E1216, A218)</f>
        <v>318.4</v>
      </c>
      <c r="F218" s="6" t="str">
        <f t="shared" si="1"/>
        <v>Vanilla Protein Powder</v>
      </c>
    </row>
    <row r="219">
      <c r="A219" s="6" t="str">
        <f>IFERROR(__xludf.DUMMYFUNCTION("""COMPUTED_VALUE"""),"Art Supplies Organizer")</f>
        <v>Art Supplies Organizer</v>
      </c>
      <c r="B219" s="6" t="str">
        <f t="array" ref="B219">INDEX('Raw Data Sales'!F219:F1217, MATCH(A219, 'Raw Data Sales'!E219:E1217, 0))</f>
        <v>Art Supplies</v>
      </c>
      <c r="C219" s="6">
        <f>SUMIFS('Raw Data Sales'!M219:M1217, 'Raw Data Sales'!E219:E1217,A219)</f>
        <v>86</v>
      </c>
      <c r="D219" s="6">
        <f>SUMIFS('Raw Data Sales'!N219:N1217, 'Raw Data Sales'!E219:E1217, A219)</f>
        <v>5352.96</v>
      </c>
      <c r="E219" s="6">
        <f>AVERAGEIFS('Raw Data Sales'!G219:G1217, 'Raw Data Sales'!E219:E1217, A219)</f>
        <v>784</v>
      </c>
      <c r="F219" s="6" t="str">
        <f t="shared" si="1"/>
        <v>Vanilla Protein Powder</v>
      </c>
    </row>
    <row r="220">
      <c r="A220" s="6" t="str">
        <f>IFERROR(__xludf.DUMMYFUNCTION("""COMPUTED_VALUE"""),"Oven Thermometer")</f>
        <v>Oven Thermometer</v>
      </c>
      <c r="B220" s="6" t="str">
        <f t="array" ref="B220">INDEX('Raw Data Sales'!F220:F1218, MATCH(A220, 'Raw Data Sales'!E220:E1218, 0))</f>
        <v>Kitchen</v>
      </c>
      <c r="C220" s="6">
        <f>SUMIFS('Raw Data Sales'!M220:M1218, 'Raw Data Sales'!E220:E1218,A220)</f>
        <v>63</v>
      </c>
      <c r="D220" s="6">
        <f>SUMIFS('Raw Data Sales'!N220:N1218, 'Raw Data Sales'!E220:E1218, A220)</f>
        <v>4015.22</v>
      </c>
      <c r="E220" s="6">
        <f>AVERAGEIFS('Raw Data Sales'!G220:G1218, 'Raw Data Sales'!E220:E1218, A220)</f>
        <v>726.83</v>
      </c>
      <c r="F220" s="6" t="str">
        <f t="shared" si="1"/>
        <v>Vanilla Protein Powder</v>
      </c>
    </row>
    <row r="221">
      <c r="A221" s="6" t="str">
        <f>IFERROR(__xludf.DUMMYFUNCTION("""COMPUTED_VALUE"""),"Chicken Fajita Kit")</f>
        <v>Chicken Fajita Kit</v>
      </c>
      <c r="B221" s="6" t="str">
        <f t="array" ref="B221">INDEX('Raw Data Sales'!F221:F1219, MATCH(A221, 'Raw Data Sales'!E221:E1219, 0))</f>
        <v>Food - Prepared Foods</v>
      </c>
      <c r="C221" s="6">
        <f>SUMIFS('Raw Data Sales'!M221:M1219, 'Raw Data Sales'!E221:E1219,A221)</f>
        <v>69</v>
      </c>
      <c r="D221" s="6">
        <f>SUMIFS('Raw Data Sales'!N221:N1219, 'Raw Data Sales'!E221:E1219, A221)</f>
        <v>15180.15</v>
      </c>
      <c r="E221" s="6">
        <f>AVERAGEIFS('Raw Data Sales'!G221:G1219, 'Raw Data Sales'!E221:E1219, A221)</f>
        <v>347.795</v>
      </c>
      <c r="F221" s="6" t="str">
        <f t="shared" si="1"/>
        <v>Vanilla Protein Powder</v>
      </c>
    </row>
    <row r="222">
      <c r="A222" s="6" t="str">
        <f>IFERROR(__xludf.DUMMYFUNCTION("""COMPUTED_VALUE"""),"Pet Leash")</f>
        <v>Pet Leash</v>
      </c>
      <c r="B222" s="6" t="str">
        <f t="array" ref="B222">INDEX('Raw Data Sales'!F222:F1220, MATCH(A222, 'Raw Data Sales'!E222:E1220, 0))</f>
        <v>Pets</v>
      </c>
      <c r="C222" s="6">
        <f>SUMIFS('Raw Data Sales'!M222:M1220, 'Raw Data Sales'!E222:E1220,A222)</f>
        <v>87</v>
      </c>
      <c r="D222" s="6">
        <f>SUMIFS('Raw Data Sales'!N222:N1220, 'Raw Data Sales'!E222:E1220, A222)</f>
        <v>2497.96</v>
      </c>
      <c r="E222" s="6">
        <f>AVERAGEIFS('Raw Data Sales'!G222:G1220, 'Raw Data Sales'!E222:E1220, A222)</f>
        <v>511.825</v>
      </c>
      <c r="F222" s="6" t="str">
        <f t="shared" si="1"/>
        <v>Vanilla Protein Powder</v>
      </c>
    </row>
    <row r="223">
      <c r="A223" s="6" t="str">
        <f>IFERROR(__xludf.DUMMYFUNCTION("""COMPUTED_VALUE"""),"Electric Stool Heater")</f>
        <v>Electric Stool Heater</v>
      </c>
      <c r="B223" s="6" t="str">
        <f t="array" ref="B223">INDEX('Raw Data Sales'!F223:F1221, MATCH(A223, 'Raw Data Sales'!E223:E1221, 0))</f>
        <v>Home</v>
      </c>
      <c r="C223" s="6">
        <f>SUMIFS('Raw Data Sales'!M223:M1221, 'Raw Data Sales'!E223:E1221,A223)</f>
        <v>42</v>
      </c>
      <c r="D223" s="6">
        <f>SUMIFS('Raw Data Sales'!N223:N1221, 'Raw Data Sales'!E223:E1221, A223)</f>
        <v>4113.05</v>
      </c>
      <c r="E223" s="6">
        <f>AVERAGEIFS('Raw Data Sales'!G223:G1221, 'Raw Data Sales'!E223:E1221, A223)</f>
        <v>493.82</v>
      </c>
      <c r="F223" s="6" t="str">
        <f t="shared" si="1"/>
        <v>Vanilla Protein Powder</v>
      </c>
    </row>
    <row r="224">
      <c r="A224" s="6" t="str">
        <f>IFERROR(__xludf.DUMMYFUNCTION("""COMPUTED_VALUE"""),"Suede Ankle Booties")</f>
        <v>Suede Ankle Booties</v>
      </c>
      <c r="B224" s="6" t="str">
        <f t="array" ref="B224">INDEX('Raw Data Sales'!F224:F1222, MATCH(A224, 'Raw Data Sales'!E224:E1222, 0))</f>
        <v>Clothing - Footwear</v>
      </c>
      <c r="C224" s="6">
        <f>SUMIFS('Raw Data Sales'!M224:M1222, 'Raw Data Sales'!E224:E1222,A224)</f>
        <v>93</v>
      </c>
      <c r="D224" s="6">
        <f>SUMIFS('Raw Data Sales'!N224:N1222, 'Raw Data Sales'!E224:E1222, A224)</f>
        <v>650.61</v>
      </c>
      <c r="E224" s="6">
        <f>AVERAGEIFS('Raw Data Sales'!G224:G1222, 'Raw Data Sales'!E224:E1222, A224)</f>
        <v>513</v>
      </c>
      <c r="F224" s="6" t="str">
        <f t="shared" si="1"/>
        <v>Vanilla Protein Powder</v>
      </c>
    </row>
    <row r="225">
      <c r="A225" s="6" t="str">
        <f>IFERROR(__xludf.DUMMYFUNCTION("""COMPUTED_VALUE"""),"Coconut Chia Pudding")</f>
        <v>Coconut Chia Pudding</v>
      </c>
      <c r="B225" s="6" t="str">
        <f t="array" ref="B225">INDEX('Raw Data Sales'!F225:F1223, MATCH(A225, 'Raw Data Sales'!E225:E1223, 0))</f>
        <v>Food - Dairy</v>
      </c>
      <c r="C225" s="6">
        <f>SUMIFS('Raw Data Sales'!M225:M1223, 'Raw Data Sales'!E225:E1223,A225)</f>
        <v>67</v>
      </c>
      <c r="D225" s="6">
        <f>SUMIFS('Raw Data Sales'!N225:N1223, 'Raw Data Sales'!E225:E1223, A225)</f>
        <v>6865.15</v>
      </c>
      <c r="E225" s="6">
        <f>AVERAGEIFS('Raw Data Sales'!G225:G1223, 'Raw Data Sales'!E225:E1223, A225)</f>
        <v>972.32</v>
      </c>
      <c r="F225" s="6" t="str">
        <f t="shared" si="1"/>
        <v>Vanilla Protein Powder</v>
      </c>
    </row>
    <row r="226">
      <c r="A226" s="6" t="str">
        <f>IFERROR(__xludf.DUMMYFUNCTION("""COMPUTED_VALUE"""),"Scented Candles")</f>
        <v>Scented Candles</v>
      </c>
      <c r="B226" s="6" t="str">
        <f t="array" ref="B226">INDEX('Raw Data Sales'!F226:F1224, MATCH(A226, 'Raw Data Sales'!E226:E1224, 0))</f>
        <v>Home</v>
      </c>
      <c r="C226" s="6">
        <f>SUMIFS('Raw Data Sales'!M226:M1224, 'Raw Data Sales'!E226:E1224,A226)</f>
        <v>60</v>
      </c>
      <c r="D226" s="6">
        <f>SUMIFS('Raw Data Sales'!N226:N1224, 'Raw Data Sales'!E226:E1224, A226)</f>
        <v>111.6</v>
      </c>
      <c r="E226" s="6">
        <f>AVERAGEIFS('Raw Data Sales'!G226:G1224, 'Raw Data Sales'!E226:E1224, A226)</f>
        <v>480.39</v>
      </c>
      <c r="F226" s="6" t="str">
        <f t="shared" si="1"/>
        <v>Vanilla Protein Powder</v>
      </c>
    </row>
    <row r="227">
      <c r="A227" s="6" t="str">
        <f>IFERROR(__xludf.DUMMYFUNCTION("""COMPUTED_VALUE"""),"Biodegradable Phone Case")</f>
        <v>Biodegradable Phone Case</v>
      </c>
      <c r="B227" s="6" t="str">
        <f t="array" ref="B227">INDEX('Raw Data Sales'!F227:F1225, MATCH(A227, 'Raw Data Sales'!E227:E1225, 0))</f>
        <v>Accessories</v>
      </c>
      <c r="C227" s="6">
        <f>SUMIFS('Raw Data Sales'!M227:M1225, 'Raw Data Sales'!E227:E1225,A227)</f>
        <v>28</v>
      </c>
      <c r="D227" s="6">
        <f>SUMIFS('Raw Data Sales'!N227:N1225, 'Raw Data Sales'!E227:E1225, A227)</f>
        <v>8329.76</v>
      </c>
      <c r="E227" s="6">
        <f>AVERAGEIFS('Raw Data Sales'!G227:G1225, 'Raw Data Sales'!E227:E1225, A227)</f>
        <v>57.69</v>
      </c>
      <c r="F227" s="6" t="str">
        <f t="shared" si="1"/>
        <v>Vanilla Protein Powder</v>
      </c>
    </row>
    <row r="228">
      <c r="A228" s="6" t="str">
        <f>IFERROR(__xludf.DUMMYFUNCTION("""COMPUTED_VALUE"""),"Vegetable Lasagna")</f>
        <v>Vegetable Lasagna</v>
      </c>
      <c r="B228" s="6" t="str">
        <f t="array" ref="B228">INDEX('Raw Data Sales'!F228:F1226, MATCH(A228, 'Raw Data Sales'!E228:E1226, 0))</f>
        <v>Food - Frozen Foods</v>
      </c>
      <c r="C228" s="6">
        <f>SUMIFS('Raw Data Sales'!M228:M1226, 'Raw Data Sales'!E228:E1226,A228)</f>
        <v>115</v>
      </c>
      <c r="D228" s="6">
        <f>SUMIFS('Raw Data Sales'!N228:N1226, 'Raw Data Sales'!E228:E1226, A228)</f>
        <v>15050.89</v>
      </c>
      <c r="E228" s="6">
        <f>AVERAGEIFS('Raw Data Sales'!G228:G1226, 'Raw Data Sales'!E228:E1226, A228)</f>
        <v>479.475</v>
      </c>
      <c r="F228" s="6" t="str">
        <f t="shared" si="1"/>
        <v>Vanilla Protein Powder</v>
      </c>
    </row>
    <row r="229">
      <c r="A229" s="6" t="str">
        <f>IFERROR(__xludf.DUMMYFUNCTION("""COMPUTED_VALUE"""),"Compact Refrigerator")</f>
        <v>Compact Refrigerator</v>
      </c>
      <c r="B229" s="6" t="str">
        <f t="array" ref="B229">INDEX('Raw Data Sales'!F229:F1227, MATCH(A229, 'Raw Data Sales'!E229:E1227, 0))</f>
        <v>Home Appliances</v>
      </c>
      <c r="C229" s="6">
        <f>SUMIFS('Raw Data Sales'!M229:M1227, 'Raw Data Sales'!E229:E1227,A229)</f>
        <v>13</v>
      </c>
      <c r="D229" s="6">
        <f>SUMIFS('Raw Data Sales'!N229:N1227, 'Raw Data Sales'!E229:E1227, A229)</f>
        <v>9321.82</v>
      </c>
      <c r="E229" s="6">
        <f>AVERAGEIFS('Raw Data Sales'!G229:G1227, 'Raw Data Sales'!E229:E1227, A229)</f>
        <v>327.66</v>
      </c>
      <c r="F229" s="6" t="str">
        <f t="shared" si="1"/>
        <v>Vanilla Protein Powder</v>
      </c>
    </row>
    <row r="230">
      <c r="A230" s="6" t="str">
        <f>IFERROR(__xludf.DUMMYFUNCTION("""COMPUTED_VALUE"""),"Insulated Cooler")</f>
        <v>Insulated Cooler</v>
      </c>
      <c r="B230" s="6" t="str">
        <f t="array" ref="B230">INDEX('Raw Data Sales'!F230:F1228, MATCH(A230, 'Raw Data Sales'!E230:E1228, 0))</f>
        <v>Outdoor</v>
      </c>
      <c r="C230" s="6">
        <f>SUMIFS('Raw Data Sales'!M230:M1228, 'Raw Data Sales'!E230:E1228,A230)</f>
        <v>19</v>
      </c>
      <c r="D230" s="6">
        <f>SUMIFS('Raw Data Sales'!N230:N1228, 'Raw Data Sales'!E230:E1228, A230)</f>
        <v>1024.54</v>
      </c>
      <c r="E230" s="6">
        <f>AVERAGEIFS('Raw Data Sales'!G230:G1228, 'Raw Data Sales'!E230:E1228, A230)</f>
        <v>608.24</v>
      </c>
      <c r="F230" s="6" t="str">
        <f t="shared" si="1"/>
        <v>Vanilla Protein Powder</v>
      </c>
    </row>
    <row r="231">
      <c r="A231" s="6" t="str">
        <f>IFERROR(__xludf.DUMMYFUNCTION("""COMPUTED_VALUE"""),"Puzzle Game Set")</f>
        <v>Puzzle Game Set</v>
      </c>
      <c r="B231" s="6" t="str">
        <f t="array" ref="B231">INDEX('Raw Data Sales'!F231:F1229, MATCH(A231, 'Raw Data Sales'!E231:E1229, 0))</f>
        <v>Toys</v>
      </c>
      <c r="C231" s="6">
        <f>SUMIFS('Raw Data Sales'!M231:M1229, 'Raw Data Sales'!E231:E1229,A231)</f>
        <v>39</v>
      </c>
      <c r="D231" s="6">
        <f>SUMIFS('Raw Data Sales'!N231:N1229, 'Raw Data Sales'!E231:E1229, A231)</f>
        <v>5712.38</v>
      </c>
      <c r="E231" s="6">
        <f>AVERAGEIFS('Raw Data Sales'!G231:G1229, 'Raw Data Sales'!E231:E1229, A231)</f>
        <v>920.26</v>
      </c>
      <c r="F231" s="6" t="str">
        <f t="shared" si="1"/>
        <v>Vanilla Protein Powder</v>
      </c>
    </row>
    <row r="232">
      <c r="A232" s="6" t="str">
        <f>IFERROR(__xludf.DUMMYFUNCTION("""COMPUTED_VALUE"""),"Peach &amp; Mango Salsa")</f>
        <v>Peach &amp; Mango Salsa</v>
      </c>
      <c r="B232" s="6" t="str">
        <f t="array" ref="B232">INDEX('Raw Data Sales'!F232:F1230, MATCH(A232, 'Raw Data Sales'!E232:E1230, 0))</f>
        <v>Food - Snacks</v>
      </c>
      <c r="C232" s="6">
        <f>SUMIFS('Raw Data Sales'!M232:M1230, 'Raw Data Sales'!E232:E1230,A232)</f>
        <v>93</v>
      </c>
      <c r="D232" s="6">
        <f>SUMIFS('Raw Data Sales'!N232:N1230, 'Raw Data Sales'!E232:E1230, A232)</f>
        <v>18514.26</v>
      </c>
      <c r="E232" s="6">
        <f>AVERAGEIFS('Raw Data Sales'!G232:G1230, 'Raw Data Sales'!E232:E1230, A232)</f>
        <v>419.63</v>
      </c>
      <c r="F232" s="6" t="str">
        <f t="shared" si="1"/>
        <v>Vanilla Protein Powder</v>
      </c>
    </row>
    <row r="233">
      <c r="A233" s="6" t="str">
        <f>IFERROR(__xludf.DUMMYFUNCTION("""COMPUTED_VALUE"""),"Bicycle Repair Kit")</f>
        <v>Bicycle Repair Kit</v>
      </c>
      <c r="B233" s="6" t="str">
        <f t="array" ref="B233">INDEX('Raw Data Sales'!F233:F1231, MATCH(A233, 'Raw Data Sales'!E233:E1231, 0))</f>
        <v>Outdoor</v>
      </c>
      <c r="C233" s="6">
        <f>SUMIFS('Raw Data Sales'!M233:M1231, 'Raw Data Sales'!E233:E1231,A233)</f>
        <v>102</v>
      </c>
      <c r="D233" s="6">
        <f>SUMIFS('Raw Data Sales'!N233:N1231, 'Raw Data Sales'!E233:E1231, A233)</f>
        <v>18191.7</v>
      </c>
      <c r="E233" s="6">
        <f>AVERAGEIFS('Raw Data Sales'!G233:G1231, 'Raw Data Sales'!E233:E1231, A233)</f>
        <v>781.2</v>
      </c>
      <c r="F233" s="6" t="str">
        <f t="shared" si="1"/>
        <v>Vanilla Protein Powder</v>
      </c>
    </row>
    <row r="234">
      <c r="A234" s="6" t="str">
        <f>IFERROR(__xludf.DUMMYFUNCTION("""COMPUTED_VALUE"""),"Pet Carrier")</f>
        <v>Pet Carrier</v>
      </c>
      <c r="B234" s="6" t="str">
        <f t="array" ref="B234">INDEX('Raw Data Sales'!F234:F1232, MATCH(A234, 'Raw Data Sales'!E234:E1232, 0))</f>
        <v>Pets</v>
      </c>
      <c r="C234" s="6">
        <f>SUMIFS('Raw Data Sales'!M234:M1232, 'Raw Data Sales'!E234:E1232,A234)</f>
        <v>62</v>
      </c>
      <c r="D234" s="6">
        <f>SUMIFS('Raw Data Sales'!N234:N1232, 'Raw Data Sales'!E234:E1232, A234)</f>
        <v>553.27</v>
      </c>
      <c r="E234" s="6">
        <f>AVERAGEIFS('Raw Data Sales'!G234:G1232, 'Raw Data Sales'!E234:E1232, A234)</f>
        <v>711.07</v>
      </c>
      <c r="F234" s="6" t="str">
        <f t="shared" si="1"/>
        <v>Vanilla Protein Powder</v>
      </c>
    </row>
    <row r="235">
      <c r="A235" s="6" t="str">
        <f>IFERROR(__xludf.DUMMYFUNCTION("""COMPUTED_VALUE"""),"Red Lentils")</f>
        <v>Red Lentils</v>
      </c>
      <c r="B235" s="6" t="str">
        <f t="array" ref="B235">INDEX('Raw Data Sales'!F235:F1233, MATCH(A235, 'Raw Data Sales'!E235:E1233, 0))</f>
        <v>Food - Grains</v>
      </c>
      <c r="C235" s="6">
        <f>SUMIFS('Raw Data Sales'!M235:M1233, 'Raw Data Sales'!E235:E1233,A235)</f>
        <v>210</v>
      </c>
      <c r="D235" s="6">
        <f>SUMIFS('Raw Data Sales'!N235:N1233, 'Raw Data Sales'!E235:E1233, A235)</f>
        <v>11264.27</v>
      </c>
      <c r="E235" s="6">
        <f>AVERAGEIFS('Raw Data Sales'!G235:G1233, 'Raw Data Sales'!E235:E1233, A235)</f>
        <v>292.3166667</v>
      </c>
      <c r="F235" s="6" t="str">
        <f t="shared" si="1"/>
        <v>Vanilla Protein Powder</v>
      </c>
    </row>
    <row r="236">
      <c r="A236" s="6" t="str">
        <f>IFERROR(__xludf.DUMMYFUNCTION("""COMPUTED_VALUE"""),"Frozen Cauliflower Rice")</f>
        <v>Frozen Cauliflower Rice</v>
      </c>
      <c r="B236" s="6" t="str">
        <f t="array" ref="B236">INDEX('Raw Data Sales'!F236:F1234, MATCH(A236, 'Raw Data Sales'!E236:E1234, 0))</f>
        <v>Food - Frozen Foods</v>
      </c>
      <c r="C236" s="6">
        <f>SUMIFS('Raw Data Sales'!M236:M1234, 'Raw Data Sales'!E236:E1234,A236)</f>
        <v>183</v>
      </c>
      <c r="D236" s="6">
        <f>SUMIFS('Raw Data Sales'!N236:N1234, 'Raw Data Sales'!E236:E1234, A236)</f>
        <v>25239.58</v>
      </c>
      <c r="E236" s="6">
        <f>AVERAGEIFS('Raw Data Sales'!G236:G1234, 'Raw Data Sales'!E236:E1234, A236)</f>
        <v>641.69</v>
      </c>
      <c r="F236" s="6" t="str">
        <f t="shared" si="1"/>
        <v>Vanilla Protein Powder</v>
      </c>
    </row>
    <row r="237">
      <c r="A237" s="6" t="str">
        <f>IFERROR(__xludf.DUMMYFUNCTION("""COMPUTED_VALUE"""),"Hand Crank Blender")</f>
        <v>Hand Crank Blender</v>
      </c>
      <c r="B237" s="6" t="str">
        <f t="array" ref="B237">INDEX('Raw Data Sales'!F237:F1235, MATCH(A237, 'Raw Data Sales'!E237:E1235, 0))</f>
        <v>Kitchen</v>
      </c>
      <c r="C237" s="6">
        <f>SUMIFS('Raw Data Sales'!M237:M1235, 'Raw Data Sales'!E237:E1235,A237)</f>
        <v>87</v>
      </c>
      <c r="D237" s="6">
        <f>SUMIFS('Raw Data Sales'!N237:N1235, 'Raw Data Sales'!E237:E1235, A237)</f>
        <v>2214.55</v>
      </c>
      <c r="E237" s="6">
        <f>AVERAGEIFS('Raw Data Sales'!G237:G1235, 'Raw Data Sales'!E237:E1235, A237)</f>
        <v>672.45</v>
      </c>
      <c r="F237" s="6" t="str">
        <f t="shared" si="1"/>
        <v>Vanilla Protein Powder</v>
      </c>
    </row>
    <row r="238">
      <c r="A238" s="6" t="str">
        <f>IFERROR(__xludf.DUMMYFUNCTION("""COMPUTED_VALUE"""),"Car Sunshade")</f>
        <v>Car Sunshade</v>
      </c>
      <c r="B238" s="6" t="str">
        <f t="array" ref="B238">INDEX('Raw Data Sales'!F238:F1236, MATCH(A238, 'Raw Data Sales'!E238:E1236, 0))</f>
        <v>Automotive</v>
      </c>
      <c r="C238" s="6">
        <f>SUMIFS('Raw Data Sales'!M238:M1236, 'Raw Data Sales'!E238:E1236,A238)</f>
        <v>20</v>
      </c>
      <c r="D238" s="6">
        <f>SUMIFS('Raw Data Sales'!N238:N1236, 'Raw Data Sales'!E238:E1236, A238)</f>
        <v>9634.93</v>
      </c>
      <c r="E238" s="6">
        <f>AVERAGEIFS('Raw Data Sales'!G238:G1236, 'Raw Data Sales'!E238:E1236, A238)</f>
        <v>193.66</v>
      </c>
      <c r="F238" s="6" t="str">
        <f t="shared" si="1"/>
        <v>Vanilla Protein Powder</v>
      </c>
    </row>
    <row r="239">
      <c r="A239" s="6" t="str">
        <f>IFERROR(__xludf.DUMMYFUNCTION("""COMPUTED_VALUE"""),"Apple Cinnamon Breakfast Muffins")</f>
        <v>Apple Cinnamon Breakfast Muffins</v>
      </c>
      <c r="B239" s="6" t="str">
        <f t="array" ref="B239">INDEX('Raw Data Sales'!F239:F1237, MATCH(A239, 'Raw Data Sales'!E239:E1237, 0))</f>
        <v>Food - Bakery</v>
      </c>
      <c r="C239" s="6">
        <f>SUMIFS('Raw Data Sales'!M239:M1237, 'Raw Data Sales'!E239:E1237,A239)</f>
        <v>139</v>
      </c>
      <c r="D239" s="6">
        <f>SUMIFS('Raw Data Sales'!N239:N1237, 'Raw Data Sales'!E239:E1237, A239)</f>
        <v>5019.13</v>
      </c>
      <c r="E239" s="6">
        <f>AVERAGEIFS('Raw Data Sales'!G239:G1237, 'Raw Data Sales'!E239:E1237, A239)</f>
        <v>600.935</v>
      </c>
      <c r="F239" s="6" t="str">
        <f t="shared" si="1"/>
        <v>Vanilla Protein Powder</v>
      </c>
    </row>
    <row r="240">
      <c r="A240" s="6" t="str">
        <f>IFERROR(__xludf.DUMMYFUNCTION("""COMPUTED_VALUE"""),"Honey Wheat Pretzels")</f>
        <v>Honey Wheat Pretzels</v>
      </c>
      <c r="B240" s="6" t="str">
        <f t="array" ref="B240">INDEX('Raw Data Sales'!F240:F1238, MATCH(A240, 'Raw Data Sales'!E240:E1238, 0))</f>
        <v>Food - Snacks</v>
      </c>
      <c r="C240" s="6">
        <f>SUMIFS('Raw Data Sales'!M240:M1238, 'Raw Data Sales'!E240:E1238,A240)</f>
        <v>51</v>
      </c>
      <c r="D240" s="6">
        <f>SUMIFS('Raw Data Sales'!N240:N1238, 'Raw Data Sales'!E240:E1238, A240)</f>
        <v>8334.42</v>
      </c>
      <c r="E240" s="6">
        <f>AVERAGEIFS('Raw Data Sales'!G240:G1238, 'Raw Data Sales'!E240:E1238, A240)</f>
        <v>874.75</v>
      </c>
      <c r="F240" s="6" t="str">
        <f t="shared" si="1"/>
        <v>Vanilla Protein Powder</v>
      </c>
    </row>
    <row r="241">
      <c r="A241" s="6" t="str">
        <f>IFERROR(__xludf.DUMMYFUNCTION("""COMPUTED_VALUE"""),"Classic Bagels")</f>
        <v>Classic Bagels</v>
      </c>
      <c r="B241" s="6" t="str">
        <f t="array" ref="B241">INDEX('Raw Data Sales'!F241:F1239, MATCH(A241, 'Raw Data Sales'!E241:E1239, 0))</f>
        <v>Food - Bakery</v>
      </c>
      <c r="C241" s="6">
        <f>SUMIFS('Raw Data Sales'!M241:M1239, 'Raw Data Sales'!E241:E1239,A241)</f>
        <v>156</v>
      </c>
      <c r="D241" s="6">
        <f>SUMIFS('Raw Data Sales'!N241:N1239, 'Raw Data Sales'!E241:E1239, A241)</f>
        <v>7891.96</v>
      </c>
      <c r="E241" s="6">
        <f>AVERAGEIFS('Raw Data Sales'!G241:G1239, 'Raw Data Sales'!E241:E1239, A241)</f>
        <v>735.6933333</v>
      </c>
      <c r="F241" s="6" t="str">
        <f t="shared" si="1"/>
        <v>Vanilla Protein Powder</v>
      </c>
    </row>
    <row r="242">
      <c r="A242" s="6" t="str">
        <f>IFERROR(__xludf.DUMMYFUNCTION("""COMPUTED_VALUE"""),"Electric Egg Cooker")</f>
        <v>Electric Egg Cooker</v>
      </c>
      <c r="B242" s="6" t="str">
        <f t="array" ref="B242">INDEX('Raw Data Sales'!F242:F1240, MATCH(A242, 'Raw Data Sales'!E242:E1240, 0))</f>
        <v>Kitchen</v>
      </c>
      <c r="C242" s="6">
        <f>SUMIFS('Raw Data Sales'!M242:M1240, 'Raw Data Sales'!E242:E1240,A242)</f>
        <v>102</v>
      </c>
      <c r="D242" s="6">
        <f>SUMIFS('Raw Data Sales'!N242:N1240, 'Raw Data Sales'!E242:E1240, A242)</f>
        <v>17736.52</v>
      </c>
      <c r="E242" s="6">
        <f>AVERAGEIFS('Raw Data Sales'!G242:G1240, 'Raw Data Sales'!E242:E1240, A242)</f>
        <v>536.695</v>
      </c>
      <c r="F242" s="6" t="str">
        <f t="shared" si="1"/>
        <v>Vanilla Protein Powder</v>
      </c>
    </row>
    <row r="243">
      <c r="A243" s="6" t="str">
        <f>IFERROR(__xludf.DUMMYFUNCTION("""COMPUTED_VALUE"""),"Foot Massager Machine")</f>
        <v>Foot Massager Machine</v>
      </c>
      <c r="B243" s="6" t="str">
        <f t="array" ref="B243">INDEX('Raw Data Sales'!F243:F1241, MATCH(A243, 'Raw Data Sales'!E243:E1241, 0))</f>
        <v>Health</v>
      </c>
      <c r="C243" s="6">
        <f>SUMIFS('Raw Data Sales'!M243:M1241, 'Raw Data Sales'!E243:E1241,A243)</f>
        <v>30</v>
      </c>
      <c r="D243" s="6">
        <f>SUMIFS('Raw Data Sales'!N243:N1241, 'Raw Data Sales'!E243:E1241, A243)</f>
        <v>8779.83</v>
      </c>
      <c r="E243" s="6">
        <f>AVERAGEIFS('Raw Data Sales'!G243:G1241, 'Raw Data Sales'!E243:E1241, A243)</f>
        <v>735.455</v>
      </c>
      <c r="F243" s="6" t="str">
        <f t="shared" si="1"/>
        <v>Vanilla Protein Powder</v>
      </c>
    </row>
    <row r="244">
      <c r="A244" s="6" t="str">
        <f>IFERROR(__xludf.DUMMYFUNCTION("""COMPUTED_VALUE"""),"Coffee Maker")</f>
        <v>Coffee Maker</v>
      </c>
      <c r="B244" s="6" t="str">
        <f t="array" ref="B244">INDEX('Raw Data Sales'!F244:F1242, MATCH(A244, 'Raw Data Sales'!E244:E1242, 0))</f>
        <v>Kitchen</v>
      </c>
      <c r="C244" s="6">
        <f>SUMIFS('Raw Data Sales'!M244:M1242, 'Raw Data Sales'!E244:E1242,A244)</f>
        <v>91</v>
      </c>
      <c r="D244" s="6">
        <f>SUMIFS('Raw Data Sales'!N244:N1242, 'Raw Data Sales'!E244:E1242, A244)</f>
        <v>9573.63</v>
      </c>
      <c r="E244" s="6">
        <f>AVERAGEIFS('Raw Data Sales'!G244:G1242, 'Raw Data Sales'!E244:E1242, A244)</f>
        <v>521.28</v>
      </c>
      <c r="F244" s="6" t="str">
        <f t="shared" si="1"/>
        <v>Vanilla Protein Powder</v>
      </c>
    </row>
    <row r="245">
      <c r="A245" s="6" t="str">
        <f>IFERROR(__xludf.DUMMYFUNCTION("""COMPUTED_VALUE"""),"Peach Slices (canned)")</f>
        <v>Peach Slices (canned)</v>
      </c>
      <c r="B245" s="6" t="str">
        <f t="array" ref="B245">INDEX('Raw Data Sales'!F245:F1243, MATCH(A245, 'Raw Data Sales'!E245:E1243, 0))</f>
        <v>Food - Canned Goods</v>
      </c>
      <c r="C245" s="6">
        <f>SUMIFS('Raw Data Sales'!M245:M1243, 'Raw Data Sales'!E245:E1243,A245)</f>
        <v>50</v>
      </c>
      <c r="D245" s="6">
        <f>SUMIFS('Raw Data Sales'!N245:N1243, 'Raw Data Sales'!E245:E1243, A245)</f>
        <v>7615.86</v>
      </c>
      <c r="E245" s="6">
        <f>AVERAGEIFS('Raw Data Sales'!G245:G1243, 'Raw Data Sales'!E245:E1243, A245)</f>
        <v>181.67</v>
      </c>
      <c r="F245" s="6" t="str">
        <f t="shared" si="1"/>
        <v>Vanilla Protein Powder</v>
      </c>
    </row>
    <row r="246">
      <c r="A246" s="6" t="str">
        <f>IFERROR(__xludf.DUMMYFUNCTION("""COMPUTED_VALUE"""),"Bluetooth Tracker")</f>
        <v>Bluetooth Tracker</v>
      </c>
      <c r="B246" s="6" t="str">
        <f t="array" ref="B246">INDEX('Raw Data Sales'!F246:F1244, MATCH(A246, 'Raw Data Sales'!E246:E1244, 0))</f>
        <v>Accessories</v>
      </c>
      <c r="C246" s="6">
        <f>SUMIFS('Raw Data Sales'!M246:M1244, 'Raw Data Sales'!E246:E1244,A246)</f>
        <v>83</v>
      </c>
      <c r="D246" s="6">
        <f>SUMIFS('Raw Data Sales'!N246:N1244, 'Raw Data Sales'!E246:E1244, A246)</f>
        <v>7725.92</v>
      </c>
      <c r="E246" s="6">
        <f>AVERAGEIFS('Raw Data Sales'!G246:G1244, 'Raw Data Sales'!E246:E1244, A246)</f>
        <v>228.77</v>
      </c>
      <c r="F246" s="6" t="str">
        <f t="shared" si="1"/>
        <v>Vanilla Protein Powder</v>
      </c>
    </row>
    <row r="247">
      <c r="A247" s="6" t="str">
        <f>IFERROR(__xludf.DUMMYFUNCTION("""COMPUTED_VALUE"""),"Pizza Stone")</f>
        <v>Pizza Stone</v>
      </c>
      <c r="B247" s="6" t="str">
        <f t="array" ref="B247">INDEX('Raw Data Sales'!F247:F1245, MATCH(A247, 'Raw Data Sales'!E247:E1245, 0))</f>
        <v>Kitchen</v>
      </c>
      <c r="C247" s="6">
        <f>SUMIFS('Raw Data Sales'!M247:M1245, 'Raw Data Sales'!E247:E1245,A247)</f>
        <v>79</v>
      </c>
      <c r="D247" s="6">
        <f>SUMIFS('Raw Data Sales'!N247:N1245, 'Raw Data Sales'!E247:E1245, A247)</f>
        <v>7845.5</v>
      </c>
      <c r="E247" s="6">
        <f>AVERAGEIFS('Raw Data Sales'!G247:G1245, 'Raw Data Sales'!E247:E1245, A247)</f>
        <v>983.34</v>
      </c>
      <c r="F247" s="6" t="str">
        <f t="shared" si="1"/>
        <v>Vanilla Protein Powder</v>
      </c>
    </row>
    <row r="248">
      <c r="A248" s="6" t="str">
        <f>IFERROR(__xludf.DUMMYFUNCTION("""COMPUTED_VALUE"""),"Roasted Garlic")</f>
        <v>Roasted Garlic</v>
      </c>
      <c r="B248" s="6" t="str">
        <f t="array" ref="B248">INDEX('Raw Data Sales'!F248:F1246, MATCH(A248, 'Raw Data Sales'!E248:E1246, 0))</f>
        <v>Food - Condiments</v>
      </c>
      <c r="C248" s="6">
        <f>SUMIFS('Raw Data Sales'!M248:M1246, 'Raw Data Sales'!E248:E1246,A248)</f>
        <v>76</v>
      </c>
      <c r="D248" s="6">
        <f>SUMIFS('Raw Data Sales'!N248:N1246, 'Raw Data Sales'!E248:E1246, A248)</f>
        <v>5442.2</v>
      </c>
      <c r="E248" s="6">
        <f>AVERAGEIFS('Raw Data Sales'!G248:G1246, 'Raw Data Sales'!E248:E1246, A248)</f>
        <v>688.99</v>
      </c>
      <c r="F248" s="6" t="str">
        <f t="shared" si="1"/>
        <v>Vanilla Protein Powder</v>
      </c>
    </row>
    <row r="249">
      <c r="A249" s="6" t="str">
        <f>IFERROR(__xludf.DUMMYFUNCTION("""COMPUTED_VALUE"""),"Smart Thermostat with Wi-Fi")</f>
        <v>Smart Thermostat with Wi-Fi</v>
      </c>
      <c r="B249" s="6" t="str">
        <f t="array" ref="B249">INDEX('Raw Data Sales'!F249:F1247, MATCH(A249, 'Raw Data Sales'!E249:E1247, 0))</f>
        <v>Smart Home</v>
      </c>
      <c r="C249" s="6">
        <f>SUMIFS('Raw Data Sales'!M249:M1247, 'Raw Data Sales'!E249:E1247,A249)</f>
        <v>63</v>
      </c>
      <c r="D249" s="6">
        <f>SUMIFS('Raw Data Sales'!N249:N1247, 'Raw Data Sales'!E249:E1247, A249)</f>
        <v>6259.13</v>
      </c>
      <c r="E249" s="6">
        <f>AVERAGEIFS('Raw Data Sales'!G249:G1247, 'Raw Data Sales'!E249:E1247, A249)</f>
        <v>185.27</v>
      </c>
      <c r="F249" s="6" t="str">
        <f t="shared" si="1"/>
        <v>Vanilla Protein Powder</v>
      </c>
    </row>
    <row r="250">
      <c r="A250" s="6" t="str">
        <f>IFERROR(__xludf.DUMMYFUNCTION("""COMPUTED_VALUE"""),"Cinnamon Roll Kit")</f>
        <v>Cinnamon Roll Kit</v>
      </c>
      <c r="B250" s="6" t="str">
        <f t="array" ref="B250">INDEX('Raw Data Sales'!F250:F1248, MATCH(A250, 'Raw Data Sales'!E250:E1248, 0))</f>
        <v>Food - Baking</v>
      </c>
      <c r="C250" s="6">
        <f>SUMIFS('Raw Data Sales'!M250:M1248, 'Raw Data Sales'!E250:E1248,A250)</f>
        <v>55</v>
      </c>
      <c r="D250" s="6">
        <f>SUMIFS('Raw Data Sales'!N250:N1248, 'Raw Data Sales'!E250:E1248, A250)</f>
        <v>15011.96</v>
      </c>
      <c r="E250" s="6">
        <f>AVERAGEIFS('Raw Data Sales'!G250:G1248, 'Raw Data Sales'!E250:E1248, A250)</f>
        <v>510.54</v>
      </c>
      <c r="F250" s="6" t="str">
        <f t="shared" si="1"/>
        <v>Vanilla Protein Powder</v>
      </c>
    </row>
    <row r="251">
      <c r="A251" s="6" t="str">
        <f>IFERROR(__xludf.DUMMYFUNCTION("""COMPUTED_VALUE"""),"Chicken Breasts")</f>
        <v>Chicken Breasts</v>
      </c>
      <c r="B251" s="6" t="str">
        <f t="array" ref="B251">INDEX('Raw Data Sales'!F251:F1249, MATCH(A251, 'Raw Data Sales'!E251:E1249, 0))</f>
        <v>Food - Meat</v>
      </c>
      <c r="C251" s="6">
        <f>SUMIFS('Raw Data Sales'!M251:M1249, 'Raw Data Sales'!E251:E1249,A251)</f>
        <v>59</v>
      </c>
      <c r="D251" s="6">
        <f>SUMIFS('Raw Data Sales'!N251:N1249, 'Raw Data Sales'!E251:E1249, A251)</f>
        <v>6120.98</v>
      </c>
      <c r="E251" s="6">
        <f>AVERAGEIFS('Raw Data Sales'!G251:G1249, 'Raw Data Sales'!E251:E1249, A251)</f>
        <v>726.1</v>
      </c>
      <c r="F251" s="6" t="str">
        <f t="shared" si="1"/>
        <v>Vanilla Protein Powder</v>
      </c>
    </row>
    <row r="252">
      <c r="A252" s="6" t="str">
        <f>IFERROR(__xludf.DUMMYFUNCTION("""COMPUTED_VALUE"""),"Fitness Resistance Bands Set")</f>
        <v>Fitness Resistance Bands Set</v>
      </c>
      <c r="B252" s="6" t="str">
        <f t="array" ref="B252">INDEX('Raw Data Sales'!F252:F1250, MATCH(A252, 'Raw Data Sales'!E252:E1250, 0))</f>
        <v>Fitness</v>
      </c>
      <c r="C252" s="6">
        <f>SUMIFS('Raw Data Sales'!M252:M1250, 'Raw Data Sales'!E252:E1250,A252)</f>
        <v>73</v>
      </c>
      <c r="D252" s="6">
        <f>SUMIFS('Raw Data Sales'!N252:N1250, 'Raw Data Sales'!E252:E1250, A252)</f>
        <v>10410.23</v>
      </c>
      <c r="E252" s="6">
        <f>AVERAGEIFS('Raw Data Sales'!G252:G1250, 'Raw Data Sales'!E252:E1250, A252)</f>
        <v>315.72</v>
      </c>
      <c r="F252" s="6" t="str">
        <f t="shared" si="1"/>
        <v>Vanilla Protein Powder</v>
      </c>
    </row>
    <row r="253">
      <c r="A253" s="6" t="str">
        <f>IFERROR(__xludf.DUMMYFUNCTION("""COMPUTED_VALUE"""),"Pet Grooming Glove")</f>
        <v>Pet Grooming Glove</v>
      </c>
      <c r="B253" s="6" t="str">
        <f t="array" ref="B253">INDEX('Raw Data Sales'!F253:F1251, MATCH(A253, 'Raw Data Sales'!E253:E1251, 0))</f>
        <v>Pets</v>
      </c>
      <c r="C253" s="6">
        <f>SUMIFS('Raw Data Sales'!M253:M1251, 'Raw Data Sales'!E253:E1251,A253)</f>
        <v>34</v>
      </c>
      <c r="D253" s="6">
        <f>SUMIFS('Raw Data Sales'!N253:N1251, 'Raw Data Sales'!E253:E1251, A253)</f>
        <v>4748.66</v>
      </c>
      <c r="E253" s="6">
        <f>AVERAGEIFS('Raw Data Sales'!G253:G1251, 'Raw Data Sales'!E253:E1251, A253)</f>
        <v>406.91</v>
      </c>
      <c r="F253" s="6" t="str">
        <f t="shared" si="1"/>
        <v>Vanilla Protein Powder</v>
      </c>
    </row>
    <row r="254">
      <c r="A254" s="6" t="str">
        <f>IFERROR(__xludf.DUMMYFUNCTION("""COMPUTED_VALUE"""),"Sun Protection Clothing")</f>
        <v>Sun Protection Clothing</v>
      </c>
      <c r="B254" s="6" t="str">
        <f t="array" ref="B254">INDEX('Raw Data Sales'!F254:F1252, MATCH(A254, 'Raw Data Sales'!E254:E1252, 0))</f>
        <v>Clothing</v>
      </c>
      <c r="C254" s="6">
        <f>SUMIFS('Raw Data Sales'!M254:M1252, 'Raw Data Sales'!E254:E1252,A254)</f>
        <v>115</v>
      </c>
      <c r="D254" s="6">
        <f>SUMIFS('Raw Data Sales'!N254:N1252, 'Raw Data Sales'!E254:E1252, A254)</f>
        <v>15592.87</v>
      </c>
      <c r="E254" s="6">
        <f>AVERAGEIFS('Raw Data Sales'!G254:G1252, 'Raw Data Sales'!E254:E1252, A254)</f>
        <v>316.19</v>
      </c>
      <c r="F254" s="6" t="str">
        <f t="shared" si="1"/>
        <v>Vanilla Protein Powder</v>
      </c>
    </row>
    <row r="255">
      <c r="A255" s="6" t="str">
        <f>IFERROR(__xludf.DUMMYFUNCTION("""COMPUTED_VALUE"""),"Adjustable Yoga Mat Strap")</f>
        <v>Adjustable Yoga Mat Strap</v>
      </c>
      <c r="B255" s="6" t="str">
        <f t="array" ref="B255">INDEX('Raw Data Sales'!F255:F1253, MATCH(A255, 'Raw Data Sales'!E255:E1253, 0))</f>
        <v>Fitness</v>
      </c>
      <c r="C255" s="6">
        <f>SUMIFS('Raw Data Sales'!M255:M1253, 'Raw Data Sales'!E255:E1253,A255)</f>
        <v>36</v>
      </c>
      <c r="D255" s="6">
        <f>SUMIFS('Raw Data Sales'!N255:N1253, 'Raw Data Sales'!E255:E1253, A255)</f>
        <v>7849.79</v>
      </c>
      <c r="E255" s="6">
        <f>AVERAGEIFS('Raw Data Sales'!G255:G1253, 'Raw Data Sales'!E255:E1253, A255)</f>
        <v>846.02</v>
      </c>
      <c r="F255" s="6" t="str">
        <f t="shared" si="1"/>
        <v>Vanilla Protein Powder</v>
      </c>
    </row>
    <row r="256">
      <c r="A256" s="6" t="str">
        <f>IFERROR(__xludf.DUMMYFUNCTION("""COMPUTED_VALUE"""),"Electric Can Opener")</f>
        <v>Electric Can Opener</v>
      </c>
      <c r="B256" s="6" t="str">
        <f t="array" ref="B256">INDEX('Raw Data Sales'!F256:F1254, MATCH(A256, 'Raw Data Sales'!E256:E1254, 0))</f>
        <v>Kitchen</v>
      </c>
      <c r="C256" s="6">
        <f>SUMIFS('Raw Data Sales'!M256:M1254, 'Raw Data Sales'!E256:E1254,A256)</f>
        <v>63</v>
      </c>
      <c r="D256" s="6">
        <f>SUMIFS('Raw Data Sales'!N256:N1254, 'Raw Data Sales'!E256:E1254, A256)</f>
        <v>8436.37</v>
      </c>
      <c r="E256" s="6">
        <f>AVERAGEIFS('Raw Data Sales'!G256:G1254, 'Raw Data Sales'!E256:E1254, A256)</f>
        <v>759.29</v>
      </c>
      <c r="F256" s="6" t="str">
        <f t="shared" si="1"/>
        <v>Vanilla Protein Powder</v>
      </c>
    </row>
    <row r="257">
      <c r="A257" s="6" t="str">
        <f>IFERROR(__xludf.DUMMYFUNCTION("""COMPUTED_VALUE"""),"Cat Tree")</f>
        <v>Cat Tree</v>
      </c>
      <c r="B257" s="6" t="str">
        <f t="array" ref="B257">INDEX('Raw Data Sales'!F257:F1255, MATCH(A257, 'Raw Data Sales'!E257:E1255, 0))</f>
        <v>Pets</v>
      </c>
      <c r="C257" s="6">
        <f>SUMIFS('Raw Data Sales'!M257:M1255, 'Raw Data Sales'!E257:E1255,A257)</f>
        <v>15</v>
      </c>
      <c r="D257" s="6">
        <f>SUMIFS('Raw Data Sales'!N257:N1255, 'Raw Data Sales'!E257:E1255, A257)</f>
        <v>1184.52</v>
      </c>
      <c r="E257" s="6">
        <f>AVERAGEIFS('Raw Data Sales'!G257:G1255, 'Raw Data Sales'!E257:E1255, A257)</f>
        <v>108.7</v>
      </c>
      <c r="F257" s="6" t="str">
        <f t="shared" si="1"/>
        <v>Vanilla Protein Powder</v>
      </c>
    </row>
    <row r="258">
      <c r="A258" s="6" t="str">
        <f>IFERROR(__xludf.DUMMYFUNCTION("""COMPUTED_VALUE"""),"Shredded Cheese")</f>
        <v>Shredded Cheese</v>
      </c>
      <c r="B258" s="6" t="str">
        <f t="array" ref="B258">INDEX('Raw Data Sales'!F258:F1256, MATCH(A258, 'Raw Data Sales'!E258:E1256, 0))</f>
        <v>Food - Dairy</v>
      </c>
      <c r="C258" s="6">
        <f>SUMIFS('Raw Data Sales'!M258:M1256, 'Raw Data Sales'!E258:E1256,A258)</f>
        <v>46</v>
      </c>
      <c r="D258" s="6">
        <f>SUMIFS('Raw Data Sales'!N258:N1256, 'Raw Data Sales'!E258:E1256, A258)</f>
        <v>6336.26</v>
      </c>
      <c r="E258" s="6">
        <f>AVERAGEIFS('Raw Data Sales'!G258:G1256, 'Raw Data Sales'!E258:E1256, A258)</f>
        <v>938.48</v>
      </c>
      <c r="F258" s="6" t="str">
        <f t="shared" si="1"/>
        <v>Vanilla Protein Powder</v>
      </c>
    </row>
    <row r="259">
      <c r="A259" s="6" t="str">
        <f>IFERROR(__xludf.DUMMYFUNCTION("""COMPUTED_VALUE"""),"Bamboo Memory Foam Pillow")</f>
        <v>Bamboo Memory Foam Pillow</v>
      </c>
      <c r="B259" s="6" t="str">
        <f t="array" ref="B259">INDEX('Raw Data Sales'!F259:F1257, MATCH(A259, 'Raw Data Sales'!E259:E1257, 0))</f>
        <v>Home</v>
      </c>
      <c r="C259" s="6">
        <f>SUMIFS('Raw Data Sales'!M259:M1257, 'Raw Data Sales'!E259:E1257,A259)</f>
        <v>117</v>
      </c>
      <c r="D259" s="6">
        <f>SUMIFS('Raw Data Sales'!N259:N1257, 'Raw Data Sales'!E259:E1257, A259)</f>
        <v>9498.57</v>
      </c>
      <c r="E259" s="6">
        <f>AVERAGEIFS('Raw Data Sales'!G259:G1257, 'Raw Data Sales'!E259:E1257, A259)</f>
        <v>370.1533333</v>
      </c>
      <c r="F259" s="6" t="str">
        <f t="shared" si="1"/>
        <v>Vanilla Protein Powder</v>
      </c>
    </row>
    <row r="260">
      <c r="A260" s="6" t="str">
        <f>IFERROR(__xludf.DUMMYFUNCTION("""COMPUTED_VALUE"""),"Adjustable Resistance Bands")</f>
        <v>Adjustable Resistance Bands</v>
      </c>
      <c r="B260" s="6" t="str">
        <f t="array" ref="B260">INDEX('Raw Data Sales'!F260:F1258, MATCH(A260, 'Raw Data Sales'!E260:E1258, 0))</f>
        <v>Fitness</v>
      </c>
      <c r="C260" s="6">
        <f>SUMIFS('Raw Data Sales'!M260:M1258, 'Raw Data Sales'!E260:E1258,A260)</f>
        <v>41</v>
      </c>
      <c r="D260" s="6">
        <f>SUMIFS('Raw Data Sales'!N260:N1258, 'Raw Data Sales'!E260:E1258, A260)</f>
        <v>3418.45</v>
      </c>
      <c r="E260" s="6">
        <f>AVERAGEIFS('Raw Data Sales'!G260:G1258, 'Raw Data Sales'!E260:E1258, A260)</f>
        <v>724.18</v>
      </c>
      <c r="F260" s="6" t="str">
        <f t="shared" si="1"/>
        <v>Vanilla Protein Powder</v>
      </c>
    </row>
    <row r="261">
      <c r="A261" s="6" t="str">
        <f>IFERROR(__xludf.DUMMYFUNCTION("""COMPUTED_VALUE"""),"Dark Chocolate Bars")</f>
        <v>Dark Chocolate Bars</v>
      </c>
      <c r="B261" s="6" t="str">
        <f t="array" ref="B261">INDEX('Raw Data Sales'!F261:F1259, MATCH(A261, 'Raw Data Sales'!E261:E1259, 0))</f>
        <v>Food - Snacks</v>
      </c>
      <c r="C261" s="6">
        <f>SUMIFS('Raw Data Sales'!M261:M1259, 'Raw Data Sales'!E261:E1259,A261)</f>
        <v>86</v>
      </c>
      <c r="D261" s="6">
        <f>SUMIFS('Raw Data Sales'!N261:N1259, 'Raw Data Sales'!E261:E1259, A261)</f>
        <v>3200.67</v>
      </c>
      <c r="E261" s="6">
        <f>AVERAGEIFS('Raw Data Sales'!G261:G1259, 'Raw Data Sales'!E261:E1259, A261)</f>
        <v>286.53</v>
      </c>
      <c r="F261" s="6" t="str">
        <f t="shared" si="1"/>
        <v>Vanilla Protein Powder</v>
      </c>
    </row>
    <row r="262">
      <c r="A262" s="6" t="str">
        <f>IFERROR(__xludf.DUMMYFUNCTION("""COMPUTED_VALUE"""),"BBQ Sauce")</f>
        <v>BBQ Sauce</v>
      </c>
      <c r="B262" s="6" t="str">
        <f t="array" ref="B262">INDEX('Raw Data Sales'!F262:F1260, MATCH(A262, 'Raw Data Sales'!E262:E1260, 0))</f>
        <v>Food - Condiments</v>
      </c>
      <c r="C262" s="6">
        <f>SUMIFS('Raw Data Sales'!M262:M1260, 'Raw Data Sales'!E262:E1260,A262)</f>
        <v>147</v>
      </c>
      <c r="D262" s="6">
        <f>SUMIFS('Raw Data Sales'!N262:N1260, 'Raw Data Sales'!E262:E1260, A262)</f>
        <v>14309.78</v>
      </c>
      <c r="E262" s="6">
        <f>AVERAGEIFS('Raw Data Sales'!G262:G1260, 'Raw Data Sales'!E262:E1260, A262)</f>
        <v>473</v>
      </c>
      <c r="F262" s="6" t="str">
        <f t="shared" si="1"/>
        <v>Vanilla Protein Powder</v>
      </c>
    </row>
    <row r="263">
      <c r="A263" s="6" t="str">
        <f>IFERROR(__xludf.DUMMYFUNCTION("""COMPUTED_VALUE"""),"Reversible Comforter Set")</f>
        <v>Reversible Comforter Set</v>
      </c>
      <c r="B263" s="6" t="str">
        <f t="array" ref="B263">INDEX('Raw Data Sales'!F263:F1261, MATCH(A263, 'Raw Data Sales'!E263:E1261, 0))</f>
        <v>Home</v>
      </c>
      <c r="C263" s="6">
        <f>SUMIFS('Raw Data Sales'!M263:M1261, 'Raw Data Sales'!E263:E1261,A263)</f>
        <v>175</v>
      </c>
      <c r="D263" s="6">
        <f>SUMIFS('Raw Data Sales'!N263:N1261, 'Raw Data Sales'!E263:E1261, A263)</f>
        <v>6862.15</v>
      </c>
      <c r="E263" s="6">
        <f>AVERAGEIFS('Raw Data Sales'!G263:G1261, 'Raw Data Sales'!E263:E1261, A263)</f>
        <v>506.925</v>
      </c>
      <c r="F263" s="6" t="str">
        <f t="shared" si="1"/>
        <v>Vanilla Protein Powder</v>
      </c>
    </row>
    <row r="264">
      <c r="A264" s="6" t="str">
        <f>IFERROR(__xludf.DUMMYFUNCTION("""COMPUTED_VALUE"""),"Smartphone UV Sanitizer")</f>
        <v>Smartphone UV Sanitizer</v>
      </c>
      <c r="B264" s="6" t="str">
        <f t="array" ref="B264">INDEX('Raw Data Sales'!F264:F1262, MATCH(A264, 'Raw Data Sales'!E264:E1262, 0))</f>
        <v>Health</v>
      </c>
      <c r="C264" s="6">
        <f>SUMIFS('Raw Data Sales'!M264:M1262, 'Raw Data Sales'!E264:E1262,A264)</f>
        <v>149</v>
      </c>
      <c r="D264" s="6">
        <f>SUMIFS('Raw Data Sales'!N264:N1262, 'Raw Data Sales'!E264:E1262, A264)</f>
        <v>8038.57</v>
      </c>
      <c r="E264" s="6">
        <f>AVERAGEIFS('Raw Data Sales'!G264:G1262, 'Raw Data Sales'!E264:E1262, A264)</f>
        <v>290.21</v>
      </c>
      <c r="F264" s="6" t="str">
        <f t="shared" si="1"/>
        <v>Vanilla Protein Powder</v>
      </c>
    </row>
    <row r="265">
      <c r="A265" s="6" t="str">
        <f>IFERROR(__xludf.DUMMYFUNCTION("""COMPUTED_VALUE"""),"Golf Polo Shirt")</f>
        <v>Golf Polo Shirt</v>
      </c>
      <c r="B265" s="6" t="str">
        <f t="array" ref="B265">INDEX('Raw Data Sales'!F265:F1263, MATCH(A265, 'Raw Data Sales'!E265:E1263, 0))</f>
        <v>Clothing - Tops</v>
      </c>
      <c r="C265" s="6">
        <f>SUMIFS('Raw Data Sales'!M265:M1263, 'Raw Data Sales'!E265:E1263,A265)</f>
        <v>13</v>
      </c>
      <c r="D265" s="6">
        <f>SUMIFS('Raw Data Sales'!N265:N1263, 'Raw Data Sales'!E265:E1263, A265)</f>
        <v>476.66</v>
      </c>
      <c r="E265" s="6">
        <f>AVERAGEIFS('Raw Data Sales'!G265:G1263, 'Raw Data Sales'!E265:E1263, A265)</f>
        <v>485.15</v>
      </c>
      <c r="F265" s="6" t="str">
        <f t="shared" si="1"/>
        <v>Vanilla Protein Powder</v>
      </c>
    </row>
    <row r="266">
      <c r="A266" s="6" t="str">
        <f>IFERROR(__xludf.DUMMYFUNCTION("""COMPUTED_VALUE"""),"Adjustable Laptop Desk")</f>
        <v>Adjustable Laptop Desk</v>
      </c>
      <c r="B266" s="6" t="str">
        <f t="array" ref="B266">INDEX('Raw Data Sales'!F266:F1264, MATCH(A266, 'Raw Data Sales'!E266:E1264, 0))</f>
        <v>Office</v>
      </c>
      <c r="C266" s="6">
        <f>SUMIFS('Raw Data Sales'!M266:M1264, 'Raw Data Sales'!E266:E1264,A266)</f>
        <v>64</v>
      </c>
      <c r="D266" s="6">
        <f>SUMIFS('Raw Data Sales'!N266:N1264, 'Raw Data Sales'!E266:E1264, A266)</f>
        <v>12815.3</v>
      </c>
      <c r="E266" s="6">
        <f>AVERAGEIFS('Raw Data Sales'!G266:G1264, 'Raw Data Sales'!E266:E1264, A266)</f>
        <v>688.635</v>
      </c>
      <c r="F266" s="6" t="str">
        <f t="shared" si="1"/>
        <v>Vanilla Protein Powder</v>
      </c>
    </row>
    <row r="267">
      <c r="A267" s="6" t="str">
        <f>IFERROR(__xludf.DUMMYFUNCTION("""COMPUTED_VALUE"""),"Bamboo Utensil Set")</f>
        <v>Bamboo Utensil Set</v>
      </c>
      <c r="B267" s="6" t="str">
        <f t="array" ref="B267">INDEX('Raw Data Sales'!F267:F1265, MATCH(A267, 'Raw Data Sales'!E267:E1265, 0))</f>
        <v>Kitchen</v>
      </c>
      <c r="C267" s="6">
        <f>SUMIFS('Raw Data Sales'!M267:M1265, 'Raw Data Sales'!E267:E1265,A267)</f>
        <v>52</v>
      </c>
      <c r="D267" s="6">
        <f>SUMIFS('Raw Data Sales'!N267:N1265, 'Raw Data Sales'!E267:E1265, A267)</f>
        <v>14525.45</v>
      </c>
      <c r="E267" s="6">
        <f>AVERAGEIFS('Raw Data Sales'!G267:G1265, 'Raw Data Sales'!E267:E1265, A267)</f>
        <v>544.545</v>
      </c>
      <c r="F267" s="6" t="str">
        <f t="shared" si="1"/>
        <v>Vanilla Protein Powder</v>
      </c>
    </row>
    <row r="268">
      <c r="A268" s="6" t="str">
        <f>IFERROR(__xludf.DUMMYFUNCTION("""COMPUTED_VALUE"""),"Body Wash")</f>
        <v>Body Wash</v>
      </c>
      <c r="B268" s="6" t="str">
        <f t="array" ref="B268">INDEX('Raw Data Sales'!F268:F1266, MATCH(A268, 'Raw Data Sales'!E268:E1266, 0))</f>
        <v>Beauty</v>
      </c>
      <c r="C268" s="6">
        <f>SUMIFS('Raw Data Sales'!M268:M1266, 'Raw Data Sales'!E268:E1266,A268)</f>
        <v>89</v>
      </c>
      <c r="D268" s="6">
        <f>SUMIFS('Raw Data Sales'!N268:N1266, 'Raw Data Sales'!E268:E1266, A268)</f>
        <v>8765.13</v>
      </c>
      <c r="E268" s="6">
        <f>AVERAGEIFS('Raw Data Sales'!G268:G1266, 'Raw Data Sales'!E268:E1266, A268)</f>
        <v>757.7</v>
      </c>
      <c r="F268" s="6" t="str">
        <f t="shared" si="1"/>
        <v>Vanilla Protein Powder</v>
      </c>
    </row>
    <row r="269">
      <c r="A269" s="6" t="str">
        <f>IFERROR(__xludf.DUMMYFUNCTION("""COMPUTED_VALUE"""),"Sesame Garlic Noodles")</f>
        <v>Sesame Garlic Noodles</v>
      </c>
      <c r="B269" s="6" t="str">
        <f t="array" ref="B269">INDEX('Raw Data Sales'!F269:F1267, MATCH(A269, 'Raw Data Sales'!E269:E1267, 0))</f>
        <v>Food - Pasta</v>
      </c>
      <c r="C269" s="6">
        <f>SUMIFS('Raw Data Sales'!M269:M1267, 'Raw Data Sales'!E269:E1267,A269)</f>
        <v>83</v>
      </c>
      <c r="D269" s="6">
        <f>SUMIFS('Raw Data Sales'!N269:N1267, 'Raw Data Sales'!E269:E1267, A269)</f>
        <v>11483.49</v>
      </c>
      <c r="E269" s="6">
        <f>AVERAGEIFS('Raw Data Sales'!G269:G1267, 'Raw Data Sales'!E269:E1267, A269)</f>
        <v>168.03</v>
      </c>
      <c r="F269" s="6" t="str">
        <f t="shared" si="1"/>
        <v>Vanilla Protein Powder</v>
      </c>
    </row>
    <row r="270">
      <c r="A270" s="6" t="str">
        <f>IFERROR(__xludf.DUMMYFUNCTION("""COMPUTED_VALUE"""),"Deep Tissue Massage Gun")</f>
        <v>Deep Tissue Massage Gun</v>
      </c>
      <c r="B270" s="6" t="str">
        <f t="array" ref="B270">INDEX('Raw Data Sales'!F270:F1268, MATCH(A270, 'Raw Data Sales'!E270:E1268, 0))</f>
        <v>Health</v>
      </c>
      <c r="C270" s="6">
        <f>SUMIFS('Raw Data Sales'!M270:M1268, 'Raw Data Sales'!E270:E1268,A270)</f>
        <v>64</v>
      </c>
      <c r="D270" s="6">
        <f>SUMIFS('Raw Data Sales'!N270:N1268, 'Raw Data Sales'!E270:E1268, A270)</f>
        <v>1209.13</v>
      </c>
      <c r="E270" s="6">
        <f>AVERAGEIFS('Raw Data Sales'!G270:G1268, 'Raw Data Sales'!E270:E1268, A270)</f>
        <v>527.19</v>
      </c>
      <c r="F270" s="6" t="str">
        <f t="shared" si="1"/>
        <v>Vanilla Protein Powder</v>
      </c>
    </row>
    <row r="271">
      <c r="A271" s="6" t="str">
        <f>IFERROR(__xludf.DUMMYFUNCTION("""COMPUTED_VALUE"""),"Window Blinds")</f>
        <v>Window Blinds</v>
      </c>
      <c r="B271" s="6" t="str">
        <f t="array" ref="B271">INDEX('Raw Data Sales'!F271:F1269, MATCH(A271, 'Raw Data Sales'!E271:E1269, 0))</f>
        <v>Home</v>
      </c>
      <c r="C271" s="6">
        <f>SUMIFS('Raw Data Sales'!M271:M1269, 'Raw Data Sales'!E271:E1269,A271)</f>
        <v>29</v>
      </c>
      <c r="D271" s="6">
        <f>SUMIFS('Raw Data Sales'!N271:N1269, 'Raw Data Sales'!E271:E1269, A271)</f>
        <v>2733.25</v>
      </c>
      <c r="E271" s="6">
        <f>AVERAGEIFS('Raw Data Sales'!G271:G1269, 'Raw Data Sales'!E271:E1269, A271)</f>
        <v>693.85</v>
      </c>
      <c r="F271" s="6" t="str">
        <f t="shared" si="1"/>
        <v>Vanilla Protein Powder</v>
      </c>
    </row>
    <row r="272">
      <c r="A272" s="6" t="str">
        <f>IFERROR(__xludf.DUMMYFUNCTION("""COMPUTED_VALUE"""),"Cherry Almond Protein Bar")</f>
        <v>Cherry Almond Protein Bar</v>
      </c>
      <c r="B272" s="6" t="str">
        <f t="array" ref="B272">INDEX('Raw Data Sales'!F272:F1270, MATCH(A272, 'Raw Data Sales'!E272:E1270, 0))</f>
        <v>Food - Snacks</v>
      </c>
      <c r="C272" s="6">
        <f>SUMIFS('Raw Data Sales'!M272:M1270, 'Raw Data Sales'!E272:E1270,A272)</f>
        <v>76</v>
      </c>
      <c r="D272" s="6">
        <f>SUMIFS('Raw Data Sales'!N272:N1270, 'Raw Data Sales'!E272:E1270, A272)</f>
        <v>8434.63</v>
      </c>
      <c r="E272" s="6">
        <f>AVERAGEIFS('Raw Data Sales'!G272:G1270, 'Raw Data Sales'!E272:E1270, A272)</f>
        <v>608.01</v>
      </c>
      <c r="F272" s="6" t="str">
        <f t="shared" si="1"/>
        <v>Vanilla Protein Powder</v>
      </c>
    </row>
    <row r="273">
      <c r="A273" s="6" t="str">
        <f>IFERROR(__xludf.DUMMYFUNCTION("""COMPUTED_VALUE"""),"Cordless Electric Screwdriver")</f>
        <v>Cordless Electric Screwdriver</v>
      </c>
      <c r="B273" s="6" t="str">
        <f t="array" ref="B273">INDEX('Raw Data Sales'!F273:F1271, MATCH(A273, 'Raw Data Sales'!E273:E1271, 0))</f>
        <v>Tools</v>
      </c>
      <c r="C273" s="6">
        <f>SUMIFS('Raw Data Sales'!M273:M1271, 'Raw Data Sales'!E273:E1271,A273)</f>
        <v>16</v>
      </c>
      <c r="D273" s="6">
        <f>SUMIFS('Raw Data Sales'!N273:N1271, 'Raw Data Sales'!E273:E1271, A273)</f>
        <v>7720.36</v>
      </c>
      <c r="E273" s="6">
        <f>AVERAGEIFS('Raw Data Sales'!G273:G1271, 'Raw Data Sales'!E273:E1271, A273)</f>
        <v>576.84</v>
      </c>
      <c r="F273" s="6" t="str">
        <f t="shared" si="1"/>
        <v>Vanilla Protein Powder</v>
      </c>
    </row>
    <row r="274">
      <c r="A274" s="6" t="str">
        <f>IFERROR(__xludf.DUMMYFUNCTION("""COMPUTED_VALUE"""),"Italian Meatballs")</f>
        <v>Italian Meatballs</v>
      </c>
      <c r="B274" s="6" t="str">
        <f t="array" ref="B274">INDEX('Raw Data Sales'!F274:F1272, MATCH(A274, 'Raw Data Sales'!E274:E1272, 0))</f>
        <v>Food - Meat</v>
      </c>
      <c r="C274" s="6">
        <f>SUMIFS('Raw Data Sales'!M274:M1272, 'Raw Data Sales'!E274:E1272,A274)</f>
        <v>190</v>
      </c>
      <c r="D274" s="6">
        <f>SUMIFS('Raw Data Sales'!N274:N1272, 'Raw Data Sales'!E274:E1272, A274)</f>
        <v>18413.73</v>
      </c>
      <c r="E274" s="6">
        <f>AVERAGEIFS('Raw Data Sales'!G274:G1272, 'Raw Data Sales'!E274:E1272, A274)</f>
        <v>521.1225</v>
      </c>
      <c r="F274" s="6" t="str">
        <f t="shared" si="1"/>
        <v>Vanilla Protein Powder</v>
      </c>
    </row>
    <row r="275">
      <c r="A275" s="6" t="str">
        <f>IFERROR(__xludf.DUMMYFUNCTION("""COMPUTED_VALUE"""),"Ricotta Cheese")</f>
        <v>Ricotta Cheese</v>
      </c>
      <c r="B275" s="6" t="str">
        <f t="array" ref="B275">INDEX('Raw Data Sales'!F275:F1273, MATCH(A275, 'Raw Data Sales'!E275:E1273, 0))</f>
        <v>Food - Dairy</v>
      </c>
      <c r="C275" s="6">
        <f>SUMIFS('Raw Data Sales'!M275:M1273, 'Raw Data Sales'!E275:E1273,A275)</f>
        <v>38</v>
      </c>
      <c r="D275" s="6">
        <f>SUMIFS('Raw Data Sales'!N275:N1273, 'Raw Data Sales'!E275:E1273, A275)</f>
        <v>4092.12</v>
      </c>
      <c r="E275" s="6">
        <f>AVERAGEIFS('Raw Data Sales'!G275:G1273, 'Raw Data Sales'!E275:E1273, A275)</f>
        <v>447.26</v>
      </c>
      <c r="F275" s="6" t="str">
        <f t="shared" si="1"/>
        <v>Vanilla Protein Powder</v>
      </c>
    </row>
    <row r="276">
      <c r="A276" s="6" t="str">
        <f>IFERROR(__xludf.DUMMYFUNCTION("""COMPUTED_VALUE"""),"Non-Slip Yoga Socks")</f>
        <v>Non-Slip Yoga Socks</v>
      </c>
      <c r="B276" s="6" t="str">
        <f t="array" ref="B276">INDEX('Raw Data Sales'!F276:F1274, MATCH(A276, 'Raw Data Sales'!E276:E1274, 0))</f>
        <v>Fitness</v>
      </c>
      <c r="C276" s="6">
        <f>SUMIFS('Raw Data Sales'!M276:M1274, 'Raw Data Sales'!E276:E1274,A276)</f>
        <v>39</v>
      </c>
      <c r="D276" s="6">
        <f>SUMIFS('Raw Data Sales'!N276:N1274, 'Raw Data Sales'!E276:E1274, A276)</f>
        <v>6091.17</v>
      </c>
      <c r="E276" s="6">
        <f>AVERAGEIFS('Raw Data Sales'!G276:G1274, 'Raw Data Sales'!E276:E1274, A276)</f>
        <v>578.16</v>
      </c>
      <c r="F276" s="6" t="str">
        <f t="shared" si="1"/>
        <v>Vanilla Protein Powder</v>
      </c>
    </row>
    <row r="277">
      <c r="A277" s="6" t="str">
        <f>IFERROR(__xludf.DUMMYFUNCTION("""COMPUTED_VALUE"""),"Air Purifier")</f>
        <v>Air Purifier</v>
      </c>
      <c r="B277" s="6" t="str">
        <f t="array" ref="B277">INDEX('Raw Data Sales'!F277:F1275, MATCH(A277, 'Raw Data Sales'!E277:E1275, 0))</f>
        <v>Home</v>
      </c>
      <c r="C277" s="6">
        <f>SUMIFS('Raw Data Sales'!M277:M1275, 'Raw Data Sales'!E277:E1275,A277)</f>
        <v>36</v>
      </c>
      <c r="D277" s="6">
        <f>SUMIFS('Raw Data Sales'!N277:N1275, 'Raw Data Sales'!E277:E1275, A277)</f>
        <v>9799.17</v>
      </c>
      <c r="E277" s="6">
        <f>AVERAGEIFS('Raw Data Sales'!G277:G1275, 'Raw Data Sales'!E277:E1275, A277)</f>
        <v>985.58</v>
      </c>
      <c r="F277" s="6" t="str">
        <f t="shared" si="1"/>
        <v>Vanilla Protein Powder</v>
      </c>
    </row>
    <row r="278">
      <c r="A278" s="6" t="str">
        <f>IFERROR(__xludf.DUMMYFUNCTION("""COMPUTED_VALUE"""),"Frozen Acai Bowl")</f>
        <v>Frozen Acai Bowl</v>
      </c>
      <c r="B278" s="6" t="str">
        <f t="array" ref="B278">INDEX('Raw Data Sales'!F278:F1276, MATCH(A278, 'Raw Data Sales'!E278:E1276, 0))</f>
        <v>Food - Frozen Foods</v>
      </c>
      <c r="C278" s="6">
        <f>SUMIFS('Raw Data Sales'!M278:M1276, 'Raw Data Sales'!E278:E1276,A278)</f>
        <v>16</v>
      </c>
      <c r="D278" s="6">
        <f>SUMIFS('Raw Data Sales'!N278:N1276, 'Raw Data Sales'!E278:E1276, A278)</f>
        <v>6593.31</v>
      </c>
      <c r="E278" s="6">
        <f>AVERAGEIFS('Raw Data Sales'!G278:G1276, 'Raw Data Sales'!E278:E1276, A278)</f>
        <v>743.31</v>
      </c>
      <c r="F278" s="6" t="str">
        <f t="shared" si="1"/>
        <v>Vanilla Protein Powder</v>
      </c>
    </row>
    <row r="279">
      <c r="A279" s="6" t="str">
        <f>IFERROR(__xludf.DUMMYFUNCTION("""COMPUTED_VALUE"""),"Caramel Apple Chips")</f>
        <v>Caramel Apple Chips</v>
      </c>
      <c r="B279" s="6" t="str">
        <f t="array" ref="B279">INDEX('Raw Data Sales'!F279:F1277, MATCH(A279, 'Raw Data Sales'!E279:E1277, 0))</f>
        <v>Food - Snacks</v>
      </c>
      <c r="C279" s="6">
        <f>SUMIFS('Raw Data Sales'!M279:M1277, 'Raw Data Sales'!E279:E1277,A279)</f>
        <v>33</v>
      </c>
      <c r="D279" s="6">
        <f>SUMIFS('Raw Data Sales'!N279:N1277, 'Raw Data Sales'!E279:E1277, A279)</f>
        <v>4395.05</v>
      </c>
      <c r="E279" s="6">
        <f>AVERAGEIFS('Raw Data Sales'!G279:G1277, 'Raw Data Sales'!E279:E1277, A279)</f>
        <v>533.66</v>
      </c>
      <c r="F279" s="6" t="str">
        <f t="shared" si="1"/>
        <v>Vanilla Protein Powder</v>
      </c>
    </row>
    <row r="280">
      <c r="A280" s="6" t="str">
        <f>IFERROR(__xludf.DUMMYFUNCTION("""COMPUTED_VALUE"""),"Matcha Green Tea Powder")</f>
        <v>Matcha Green Tea Powder</v>
      </c>
      <c r="B280" s="6" t="str">
        <f t="array" ref="B280">INDEX('Raw Data Sales'!F280:F1278, MATCH(A280, 'Raw Data Sales'!E280:E1278, 0))</f>
        <v>Food - Beverages</v>
      </c>
      <c r="C280" s="6">
        <f>SUMIFS('Raw Data Sales'!M280:M1278, 'Raw Data Sales'!E280:E1278,A280)</f>
        <v>104</v>
      </c>
      <c r="D280" s="6">
        <f>SUMIFS('Raw Data Sales'!N280:N1278, 'Raw Data Sales'!E280:E1278, A280)</f>
        <v>15928.24</v>
      </c>
      <c r="E280" s="6">
        <f>AVERAGEIFS('Raw Data Sales'!G280:G1278, 'Raw Data Sales'!E280:E1278, A280)</f>
        <v>399.275</v>
      </c>
      <c r="F280" s="6" t="str">
        <f t="shared" si="1"/>
        <v>Vanilla Protein Powder</v>
      </c>
    </row>
    <row r="281">
      <c r="A281" s="6" t="str">
        <f>IFERROR(__xludf.DUMMYFUNCTION("""COMPUTED_VALUE"""),"Motorcycle Phone Mount")</f>
        <v>Motorcycle Phone Mount</v>
      </c>
      <c r="B281" s="6" t="str">
        <f t="array" ref="B281">INDEX('Raw Data Sales'!F281:F1279, MATCH(A281, 'Raw Data Sales'!E281:E1279, 0))</f>
        <v>Automotive</v>
      </c>
      <c r="C281" s="6">
        <f>SUMIFS('Raw Data Sales'!M281:M1279, 'Raw Data Sales'!E281:E1279,A281)</f>
        <v>22</v>
      </c>
      <c r="D281" s="6">
        <f>SUMIFS('Raw Data Sales'!N281:N1279, 'Raw Data Sales'!E281:E1279, A281)</f>
        <v>9708.21</v>
      </c>
      <c r="E281" s="6">
        <f>AVERAGEIFS('Raw Data Sales'!G281:G1279, 'Raw Data Sales'!E281:E1279, A281)</f>
        <v>334.905</v>
      </c>
      <c r="F281" s="6" t="str">
        <f t="shared" si="1"/>
        <v>Vanilla Protein Powder</v>
      </c>
    </row>
    <row r="282">
      <c r="A282" s="6" t="str">
        <f>IFERROR(__xludf.DUMMYFUNCTION("""COMPUTED_VALUE"""),"USB Wall Charger")</f>
        <v>USB Wall Charger</v>
      </c>
      <c r="B282" s="6" t="str">
        <f t="array" ref="B282">INDEX('Raw Data Sales'!F282:F1280, MATCH(A282, 'Raw Data Sales'!E282:E1280, 0))</f>
        <v>Accessories</v>
      </c>
      <c r="C282" s="6">
        <f>SUMIFS('Raw Data Sales'!M282:M1280, 'Raw Data Sales'!E282:E1280,A282)</f>
        <v>54</v>
      </c>
      <c r="D282" s="6">
        <f>SUMIFS('Raw Data Sales'!N282:N1280, 'Raw Data Sales'!E282:E1280, A282)</f>
        <v>7137.38</v>
      </c>
      <c r="E282" s="6">
        <f>AVERAGEIFS('Raw Data Sales'!G282:G1280, 'Raw Data Sales'!E282:E1280, A282)</f>
        <v>319.17</v>
      </c>
      <c r="F282" s="6" t="str">
        <f t="shared" si="1"/>
        <v>Vanilla Protein Powder</v>
      </c>
    </row>
    <row r="283">
      <c r="A283" s="6" t="str">
        <f>IFERROR(__xludf.DUMMYFUNCTION("""COMPUTED_VALUE"""),"Kale &amp; Quinoa Salad Mix")</f>
        <v>Kale &amp; Quinoa Salad Mix</v>
      </c>
      <c r="B283" s="6" t="str">
        <f t="array" ref="B283">INDEX('Raw Data Sales'!F283:F1281, MATCH(A283, 'Raw Data Sales'!E283:E1281, 0))</f>
        <v>Food - Salads</v>
      </c>
      <c r="C283" s="6">
        <f>SUMIFS('Raw Data Sales'!M283:M1281, 'Raw Data Sales'!E283:E1281,A283)</f>
        <v>130</v>
      </c>
      <c r="D283" s="6">
        <f>SUMIFS('Raw Data Sales'!N283:N1281, 'Raw Data Sales'!E283:E1281, A283)</f>
        <v>18246.18</v>
      </c>
      <c r="E283" s="6">
        <f>AVERAGEIFS('Raw Data Sales'!G283:G1281, 'Raw Data Sales'!E283:E1281, A283)</f>
        <v>809.345</v>
      </c>
      <c r="F283" s="6" t="str">
        <f t="shared" si="1"/>
        <v>Vanilla Protein Powder</v>
      </c>
    </row>
    <row r="284">
      <c r="A284" s="6" t="str">
        <f>IFERROR(__xludf.DUMMYFUNCTION("""COMPUTED_VALUE"""),"Workstation Laptop Stand")</f>
        <v>Workstation Laptop Stand</v>
      </c>
      <c r="B284" s="6" t="str">
        <f t="array" ref="B284">INDEX('Raw Data Sales'!F284:F1282, MATCH(A284, 'Raw Data Sales'!E284:E1282, 0))</f>
        <v>Office</v>
      </c>
      <c r="C284" s="6">
        <f>SUMIFS('Raw Data Sales'!M284:M1282, 'Raw Data Sales'!E284:E1282,A284)</f>
        <v>11</v>
      </c>
      <c r="D284" s="6">
        <f>SUMIFS('Raw Data Sales'!N284:N1282, 'Raw Data Sales'!E284:E1282, A284)</f>
        <v>6424.49</v>
      </c>
      <c r="E284" s="6">
        <f>AVERAGEIFS('Raw Data Sales'!G284:G1282, 'Raw Data Sales'!E284:E1282, A284)</f>
        <v>928.72</v>
      </c>
      <c r="F284" s="6" t="str">
        <f t="shared" si="1"/>
        <v>Vanilla Protein Powder</v>
      </c>
    </row>
    <row r="285">
      <c r="A285" s="6" t="str">
        <f>IFERROR(__xludf.DUMMYFUNCTION("""COMPUTED_VALUE"""),"Pet Travel Bowl")</f>
        <v>Pet Travel Bowl</v>
      </c>
      <c r="B285" s="6" t="str">
        <f t="array" ref="B285">INDEX('Raw Data Sales'!F285:F1283, MATCH(A285, 'Raw Data Sales'!E285:E1283, 0))</f>
        <v>Pets</v>
      </c>
      <c r="C285" s="6">
        <f>SUMIFS('Raw Data Sales'!M285:M1283, 'Raw Data Sales'!E285:E1283,A285)</f>
        <v>166</v>
      </c>
      <c r="D285" s="6">
        <f>SUMIFS('Raw Data Sales'!N285:N1283, 'Raw Data Sales'!E285:E1283, A285)</f>
        <v>1620.23</v>
      </c>
      <c r="E285" s="6">
        <f>AVERAGEIFS('Raw Data Sales'!G285:G1283, 'Raw Data Sales'!E285:E1283, A285)</f>
        <v>144.935</v>
      </c>
      <c r="F285" s="6" t="str">
        <f t="shared" si="1"/>
        <v>Vanilla Protein Powder</v>
      </c>
    </row>
    <row r="286">
      <c r="A286" s="6" t="str">
        <f>IFERROR(__xludf.DUMMYFUNCTION("""COMPUTED_VALUE"""),"Brazil Nuts")</f>
        <v>Brazil Nuts</v>
      </c>
      <c r="B286" s="6" t="str">
        <f t="array" ref="B286">INDEX('Raw Data Sales'!F286:F1284, MATCH(A286, 'Raw Data Sales'!E286:E1284, 0))</f>
        <v>Food - Nuts</v>
      </c>
      <c r="C286" s="6">
        <f>SUMIFS('Raw Data Sales'!M286:M1284, 'Raw Data Sales'!E286:E1284,A286)</f>
        <v>143</v>
      </c>
      <c r="D286" s="6">
        <f>SUMIFS('Raw Data Sales'!N286:N1284, 'Raw Data Sales'!E286:E1284, A286)</f>
        <v>11115.04</v>
      </c>
      <c r="E286" s="6">
        <f>AVERAGEIFS('Raw Data Sales'!G286:G1284, 'Raw Data Sales'!E286:E1284, A286)</f>
        <v>119.9</v>
      </c>
      <c r="F286" s="6" t="str">
        <f t="shared" si="1"/>
        <v>Vanilla Protein Powder</v>
      </c>
    </row>
    <row r="287">
      <c r="A287" s="6" t="str">
        <f>IFERROR(__xludf.DUMMYFUNCTION("""COMPUTED_VALUE"""),"Solar Charger")</f>
        <v>Solar Charger</v>
      </c>
      <c r="B287" s="6" t="str">
        <f t="array" ref="B287">INDEX('Raw Data Sales'!F287:F1285, MATCH(A287, 'Raw Data Sales'!E287:E1285, 0))</f>
        <v>Electronics</v>
      </c>
      <c r="C287" s="6">
        <f>SUMIFS('Raw Data Sales'!M287:M1285, 'Raw Data Sales'!E287:E1285,A287)</f>
        <v>48</v>
      </c>
      <c r="D287" s="6">
        <f>SUMIFS('Raw Data Sales'!N287:N1285, 'Raw Data Sales'!E287:E1285, A287)</f>
        <v>6365.91</v>
      </c>
      <c r="E287" s="6">
        <f>AVERAGEIFS('Raw Data Sales'!G287:G1285, 'Raw Data Sales'!E287:E1285, A287)</f>
        <v>909.23</v>
      </c>
      <c r="F287" s="6" t="str">
        <f t="shared" si="1"/>
        <v>Vanilla Protein Powder</v>
      </c>
    </row>
    <row r="288">
      <c r="A288" s="6" t="str">
        <f>IFERROR(__xludf.DUMMYFUNCTION("""COMPUTED_VALUE"""),"Gaming Headset")</f>
        <v>Gaming Headset</v>
      </c>
      <c r="B288" s="6" t="str">
        <f t="array" ref="B288">INDEX('Raw Data Sales'!F288:F1286, MATCH(A288, 'Raw Data Sales'!E288:E1286, 0))</f>
        <v>Gaming</v>
      </c>
      <c r="C288" s="6">
        <f>SUMIFS('Raw Data Sales'!M288:M1286, 'Raw Data Sales'!E288:E1286,A288)</f>
        <v>53</v>
      </c>
      <c r="D288" s="6">
        <f>SUMIFS('Raw Data Sales'!N288:N1286, 'Raw Data Sales'!E288:E1286, A288)</f>
        <v>3754.66</v>
      </c>
      <c r="E288" s="6">
        <f>AVERAGEIFS('Raw Data Sales'!G288:G1286, 'Raw Data Sales'!E288:E1286, A288)</f>
        <v>903.22</v>
      </c>
      <c r="F288" s="6" t="str">
        <f t="shared" si="1"/>
        <v>Vanilla Protein Powder</v>
      </c>
    </row>
    <row r="289">
      <c r="A289" s="6" t="str">
        <f>IFERROR(__xludf.DUMMYFUNCTION("""COMPUTED_VALUE"""),"Coconut Flakes")</f>
        <v>Coconut Flakes</v>
      </c>
      <c r="B289" s="6" t="str">
        <f t="array" ref="B289">INDEX('Raw Data Sales'!F289:F1287, MATCH(A289, 'Raw Data Sales'!E289:E1287, 0))</f>
        <v>Food - Baking</v>
      </c>
      <c r="C289" s="6">
        <f>SUMIFS('Raw Data Sales'!M289:M1287, 'Raw Data Sales'!E289:E1287,A289)</f>
        <v>61</v>
      </c>
      <c r="D289" s="6">
        <f>SUMIFS('Raw Data Sales'!N289:N1287, 'Raw Data Sales'!E289:E1287, A289)</f>
        <v>15162.25</v>
      </c>
      <c r="E289" s="6">
        <f>AVERAGEIFS('Raw Data Sales'!G289:G1287, 'Raw Data Sales'!E289:E1287, A289)</f>
        <v>443.64</v>
      </c>
      <c r="F289" s="6" t="str">
        <f t="shared" si="1"/>
        <v>Vanilla Protein Powder</v>
      </c>
    </row>
    <row r="290">
      <c r="A290" s="6" t="str">
        <f>IFERROR(__xludf.DUMMYFUNCTION("""COMPUTED_VALUE"""),"Sweet Potato and Chickpea Bowl")</f>
        <v>Sweet Potato and Chickpea Bowl</v>
      </c>
      <c r="B290" s="6" t="str">
        <f t="array" ref="B290">INDEX('Raw Data Sales'!F290:F1288, MATCH(A290, 'Raw Data Sales'!E290:E1288, 0))</f>
        <v>Food - Frozen Food</v>
      </c>
      <c r="C290" s="6">
        <f>SUMIFS('Raw Data Sales'!M290:M1288, 'Raw Data Sales'!E290:E1288,A290)</f>
        <v>80</v>
      </c>
      <c r="D290" s="6">
        <f>SUMIFS('Raw Data Sales'!N290:N1288, 'Raw Data Sales'!E290:E1288, A290)</f>
        <v>6618.11</v>
      </c>
      <c r="E290" s="6">
        <f>AVERAGEIFS('Raw Data Sales'!G290:G1288, 'Raw Data Sales'!E290:E1288, A290)</f>
        <v>717.83</v>
      </c>
      <c r="F290" s="6" t="str">
        <f t="shared" si="1"/>
        <v>Vanilla Protein Powder</v>
      </c>
    </row>
    <row r="291">
      <c r="A291" s="6" t="str">
        <f>IFERROR(__xludf.DUMMYFUNCTION("""COMPUTED_VALUE"""),"Multicolored LED Strip Lights")</f>
        <v>Multicolored LED Strip Lights</v>
      </c>
      <c r="B291" s="6" t="str">
        <f t="array" ref="B291">INDEX('Raw Data Sales'!F291:F1289, MATCH(A291, 'Raw Data Sales'!E291:E1289, 0))</f>
        <v>Home</v>
      </c>
      <c r="C291" s="6">
        <f>SUMIFS('Raw Data Sales'!M291:M1289, 'Raw Data Sales'!E291:E1289,A291)</f>
        <v>4</v>
      </c>
      <c r="D291" s="6">
        <f>SUMIFS('Raw Data Sales'!N291:N1289, 'Raw Data Sales'!E291:E1289, A291)</f>
        <v>8207.32</v>
      </c>
      <c r="E291" s="6">
        <f>AVERAGEIFS('Raw Data Sales'!G291:G1289, 'Raw Data Sales'!E291:E1289, A291)</f>
        <v>442.19</v>
      </c>
      <c r="F291" s="6" t="str">
        <f t="shared" si="1"/>
        <v>Vanilla Protein Powder</v>
      </c>
    </row>
    <row r="292">
      <c r="A292" s="6" t="str">
        <f>IFERROR(__xludf.DUMMYFUNCTION("""COMPUTED_VALUE"""),"Chickpea Salad")</f>
        <v>Chickpea Salad</v>
      </c>
      <c r="B292" s="6" t="str">
        <f t="array" ref="B292">INDEX('Raw Data Sales'!F292:F1290, MATCH(A292, 'Raw Data Sales'!E292:E1290, 0))</f>
        <v>Food - Prepared Foods</v>
      </c>
      <c r="C292" s="6">
        <f>SUMIFS('Raw Data Sales'!M292:M1290, 'Raw Data Sales'!E292:E1290,A292)</f>
        <v>88</v>
      </c>
      <c r="D292" s="6">
        <f>SUMIFS('Raw Data Sales'!N292:N1290, 'Raw Data Sales'!E292:E1290, A292)</f>
        <v>4611.41</v>
      </c>
      <c r="E292" s="6">
        <f>AVERAGEIFS('Raw Data Sales'!G292:G1290, 'Raw Data Sales'!E292:E1290, A292)</f>
        <v>248</v>
      </c>
      <c r="F292" s="6" t="str">
        <f t="shared" si="1"/>
        <v>Vanilla Protein Powder</v>
      </c>
    </row>
    <row r="293">
      <c r="A293" s="6" t="str">
        <f>IFERROR(__xludf.DUMMYFUNCTION("""COMPUTED_VALUE"""),"Stylish Wide-Leg Trousers")</f>
        <v>Stylish Wide-Leg Trousers</v>
      </c>
      <c r="B293" s="6" t="str">
        <f t="array" ref="B293">INDEX('Raw Data Sales'!F293:F1291, MATCH(A293, 'Raw Data Sales'!E293:E1291, 0))</f>
        <v>Clothing - Bottoms</v>
      </c>
      <c r="C293" s="6">
        <f>SUMIFS('Raw Data Sales'!M293:M1291, 'Raw Data Sales'!E293:E1291,A293)</f>
        <v>31</v>
      </c>
      <c r="D293" s="6">
        <f>SUMIFS('Raw Data Sales'!N293:N1291, 'Raw Data Sales'!E293:E1291, A293)</f>
        <v>5488.86</v>
      </c>
      <c r="E293" s="6">
        <f>AVERAGEIFS('Raw Data Sales'!G293:G1291, 'Raw Data Sales'!E293:E1291, A293)</f>
        <v>383.74</v>
      </c>
      <c r="F293" s="6" t="str">
        <f t="shared" si="1"/>
        <v>Vanilla Protein Powder</v>
      </c>
    </row>
    <row r="294">
      <c r="A294" s="6" t="str">
        <f>IFERROR(__xludf.DUMMYFUNCTION("""COMPUTED_VALUE"""),"Almond Joy Bars")</f>
        <v>Almond Joy Bars</v>
      </c>
      <c r="B294" s="6" t="str">
        <f t="array" ref="B294">INDEX('Raw Data Sales'!F294:F1292, MATCH(A294, 'Raw Data Sales'!E294:E1292, 0))</f>
        <v>Food - Confectionery</v>
      </c>
      <c r="C294" s="6">
        <f>SUMIFS('Raw Data Sales'!M294:M1292, 'Raw Data Sales'!E294:E1292,A294)</f>
        <v>33</v>
      </c>
      <c r="D294" s="6">
        <f>SUMIFS('Raw Data Sales'!N294:N1292, 'Raw Data Sales'!E294:E1292, A294)</f>
        <v>14620.85</v>
      </c>
      <c r="E294" s="6">
        <f>AVERAGEIFS('Raw Data Sales'!G294:G1292, 'Raw Data Sales'!E294:E1292, A294)</f>
        <v>113.12</v>
      </c>
      <c r="F294" s="6" t="str">
        <f t="shared" si="1"/>
        <v>Vanilla Protein Powder</v>
      </c>
    </row>
    <row r="295">
      <c r="A295" s="6" t="str">
        <f>IFERROR(__xludf.DUMMYFUNCTION("""COMPUTED_VALUE"""),"Kids Tablet")</f>
        <v>Kids Tablet</v>
      </c>
      <c r="B295" s="6" t="str">
        <f t="array" ref="B295">INDEX('Raw Data Sales'!F295:F1293, MATCH(A295, 'Raw Data Sales'!E295:E1293, 0))</f>
        <v>Electronics</v>
      </c>
      <c r="C295" s="6">
        <f>SUMIFS('Raw Data Sales'!M295:M1293, 'Raw Data Sales'!E295:E1293,A295)</f>
        <v>44</v>
      </c>
      <c r="D295" s="6">
        <f>SUMIFS('Raw Data Sales'!N295:N1293, 'Raw Data Sales'!E295:E1293, A295)</f>
        <v>4533.92</v>
      </c>
      <c r="E295" s="6">
        <f>AVERAGEIFS('Raw Data Sales'!G295:G1293, 'Raw Data Sales'!E295:E1293, A295)</f>
        <v>275.78</v>
      </c>
      <c r="F295" s="6" t="str">
        <f t="shared" si="1"/>
        <v>Vanilla Protein Powder</v>
      </c>
    </row>
    <row r="296">
      <c r="A296" s="6" t="str">
        <f>IFERROR(__xludf.DUMMYFUNCTION("""COMPUTED_VALUE"""),"Peach Halves (canned)")</f>
        <v>Peach Halves (canned)</v>
      </c>
      <c r="B296" s="6" t="str">
        <f t="array" ref="B296">INDEX('Raw Data Sales'!F296:F1294, MATCH(A296, 'Raw Data Sales'!E296:E1294, 0))</f>
        <v>Food - Canned Goods</v>
      </c>
      <c r="C296" s="6">
        <f>SUMIFS('Raw Data Sales'!M296:M1294, 'Raw Data Sales'!E296:E1294,A296)</f>
        <v>4</v>
      </c>
      <c r="D296" s="6">
        <f>SUMIFS('Raw Data Sales'!N296:N1294, 'Raw Data Sales'!E296:E1294, A296)</f>
        <v>1704.02</v>
      </c>
      <c r="E296" s="6">
        <f>AVERAGEIFS('Raw Data Sales'!G296:G1294, 'Raw Data Sales'!E296:E1294, A296)</f>
        <v>564.17</v>
      </c>
      <c r="F296" s="6" t="str">
        <f t="shared" si="1"/>
        <v>Vanilla Protein Powder</v>
      </c>
    </row>
    <row r="297">
      <c r="A297" s="6" t="str">
        <f>IFERROR(__xludf.DUMMYFUNCTION("""COMPUTED_VALUE"""),"Reusable Produce Bags Set")</f>
        <v>Reusable Produce Bags Set</v>
      </c>
      <c r="B297" s="6" t="str">
        <f t="array" ref="B297">INDEX('Raw Data Sales'!F297:F1295, MATCH(A297, 'Raw Data Sales'!E297:E1295, 0))</f>
        <v>Kitchen</v>
      </c>
      <c r="C297" s="6">
        <f>SUMIFS('Raw Data Sales'!M297:M1295, 'Raw Data Sales'!E297:E1295,A297)</f>
        <v>25</v>
      </c>
      <c r="D297" s="6">
        <f>SUMIFS('Raw Data Sales'!N297:N1295, 'Raw Data Sales'!E297:E1295, A297)</f>
        <v>9670.23</v>
      </c>
      <c r="E297" s="6">
        <f>AVERAGEIFS('Raw Data Sales'!G297:G1295, 'Raw Data Sales'!E297:E1295, A297)</f>
        <v>707.29</v>
      </c>
      <c r="F297" s="6" t="str">
        <f t="shared" si="1"/>
        <v>Vanilla Protein Powder</v>
      </c>
    </row>
    <row r="298">
      <c r="A298" s="6" t="str">
        <f>IFERROR(__xludf.DUMMYFUNCTION("""COMPUTED_VALUE"""),"Vanilla Protein Powder")</f>
        <v>Vanilla Protein Powder</v>
      </c>
      <c r="B298" s="6" t="str">
        <f t="array" ref="B298">INDEX('Raw Data Sales'!F298:F1296, MATCH(A298, 'Raw Data Sales'!E298:E1296, 0))</f>
        <v>Food - Health/Protein</v>
      </c>
      <c r="C298" s="6">
        <f>SUMIFS('Raw Data Sales'!M298:M1296, 'Raw Data Sales'!E298:E1296,A298)</f>
        <v>92</v>
      </c>
      <c r="D298" s="6">
        <f>SUMIFS('Raw Data Sales'!N298:N1296, 'Raw Data Sales'!E298:E1296, A298)</f>
        <v>25907.04</v>
      </c>
      <c r="E298" s="6">
        <f>AVERAGEIFS('Raw Data Sales'!G298:G1296, 'Raw Data Sales'!E298:E1296, A298)</f>
        <v>570.0066667</v>
      </c>
      <c r="F298" s="6" t="str">
        <f t="shared" si="1"/>
        <v>Vanilla Protein Powder</v>
      </c>
    </row>
    <row r="299">
      <c r="A299" s="6" t="str">
        <f>IFERROR(__xludf.DUMMYFUNCTION("""COMPUTED_VALUE"""),"Pineapple Salsa")</f>
        <v>Pineapple Salsa</v>
      </c>
      <c r="B299" s="6" t="str">
        <f t="array" ref="B299">INDEX('Raw Data Sales'!F299:F1297, MATCH(A299, 'Raw Data Sales'!E299:E1297, 0))</f>
        <v>Food - Condiments</v>
      </c>
      <c r="C299" s="6">
        <f>SUMIFS('Raw Data Sales'!M299:M1297, 'Raw Data Sales'!E299:E1297,A299)</f>
        <v>34</v>
      </c>
      <c r="D299" s="6">
        <f>SUMIFS('Raw Data Sales'!N299:N1297, 'Raw Data Sales'!E299:E1297, A299)</f>
        <v>3993.13</v>
      </c>
      <c r="E299" s="6">
        <f>AVERAGEIFS('Raw Data Sales'!G299:G1297, 'Raw Data Sales'!E299:E1297, A299)</f>
        <v>628.77</v>
      </c>
      <c r="F299" s="6" t="str">
        <f t="shared" si="1"/>
        <v>Floral Wrap Top</v>
      </c>
    </row>
    <row r="300">
      <c r="A300" s="6" t="str">
        <f>IFERROR(__xludf.DUMMYFUNCTION("""COMPUTED_VALUE"""),"Natural Soy Candles")</f>
        <v>Natural Soy Candles</v>
      </c>
      <c r="B300" s="6" t="str">
        <f t="array" ref="B300">INDEX('Raw Data Sales'!F300:F1298, MATCH(A300, 'Raw Data Sales'!E300:E1298, 0))</f>
        <v>Home</v>
      </c>
      <c r="C300" s="6">
        <f>SUMIFS('Raw Data Sales'!M300:M1298, 'Raw Data Sales'!E300:E1298,A300)</f>
        <v>94</v>
      </c>
      <c r="D300" s="6">
        <f>SUMIFS('Raw Data Sales'!N300:N1298, 'Raw Data Sales'!E300:E1298, A300)</f>
        <v>9549.6</v>
      </c>
      <c r="E300" s="6">
        <f>AVERAGEIFS('Raw Data Sales'!G300:G1298, 'Raw Data Sales'!E300:E1298, A300)</f>
        <v>482.5</v>
      </c>
      <c r="F300" s="6" t="str">
        <f t="shared" si="1"/>
        <v>Floral Wrap Top</v>
      </c>
    </row>
    <row r="301">
      <c r="A301" s="6" t="str">
        <f>IFERROR(__xludf.DUMMYFUNCTION("""COMPUTED_VALUE"""),"Tailored Blazer")</f>
        <v>Tailored Blazer</v>
      </c>
      <c r="B301" s="6" t="str">
        <f t="array" ref="B301">INDEX('Raw Data Sales'!F301:F1299, MATCH(A301, 'Raw Data Sales'!E301:E1299, 0))</f>
        <v>Clothing - Outerwear</v>
      </c>
      <c r="C301" s="6">
        <f>SUMIFS('Raw Data Sales'!M301:M1299, 'Raw Data Sales'!E301:E1299,A301)</f>
        <v>27</v>
      </c>
      <c r="D301" s="6">
        <f>SUMIFS('Raw Data Sales'!N301:N1299, 'Raw Data Sales'!E301:E1299, A301)</f>
        <v>2575.69</v>
      </c>
      <c r="E301" s="6">
        <f>AVERAGEIFS('Raw Data Sales'!G301:G1299, 'Raw Data Sales'!E301:E1299, A301)</f>
        <v>922.82</v>
      </c>
      <c r="F301" s="6" t="str">
        <f t="shared" si="1"/>
        <v>Floral Wrap Top</v>
      </c>
    </row>
    <row r="302">
      <c r="A302" s="6" t="str">
        <f>IFERROR(__xludf.DUMMYFUNCTION("""COMPUTED_VALUE"""),"Comfort Flats")</f>
        <v>Comfort Flats</v>
      </c>
      <c r="B302" s="6" t="str">
        <f t="array" ref="B302">INDEX('Raw Data Sales'!F302:F1300, MATCH(A302, 'Raw Data Sales'!E302:E1300, 0))</f>
        <v>Clothing - Shoes</v>
      </c>
      <c r="C302" s="6">
        <f>SUMIFS('Raw Data Sales'!M302:M1300, 'Raw Data Sales'!E302:E1300,A302)</f>
        <v>69</v>
      </c>
      <c r="D302" s="6">
        <f>SUMIFS('Raw Data Sales'!N302:N1300, 'Raw Data Sales'!E302:E1300, A302)</f>
        <v>11649.9</v>
      </c>
      <c r="E302" s="6">
        <f>AVERAGEIFS('Raw Data Sales'!G302:G1300, 'Raw Data Sales'!E302:E1300, A302)</f>
        <v>551.335</v>
      </c>
      <c r="F302" s="6" t="str">
        <f t="shared" si="1"/>
        <v>Floral Wrap Top</v>
      </c>
    </row>
    <row r="303">
      <c r="A303" s="6" t="str">
        <f>IFERROR(__xludf.DUMMYFUNCTION("""COMPUTED_VALUE"""),"Air Mattress")</f>
        <v>Air Mattress</v>
      </c>
      <c r="B303" s="6" t="str">
        <f t="array" ref="B303">INDEX('Raw Data Sales'!F303:F1301, MATCH(A303, 'Raw Data Sales'!E303:E1301, 0))</f>
        <v>Outdoor</v>
      </c>
      <c r="C303" s="6">
        <f>SUMIFS('Raw Data Sales'!M303:M1301, 'Raw Data Sales'!E303:E1301,A303)</f>
        <v>73</v>
      </c>
      <c r="D303" s="6">
        <f>SUMIFS('Raw Data Sales'!N303:N1301, 'Raw Data Sales'!E303:E1301, A303)</f>
        <v>856.64</v>
      </c>
      <c r="E303" s="6">
        <f>AVERAGEIFS('Raw Data Sales'!G303:G1301, 'Raw Data Sales'!E303:E1301, A303)</f>
        <v>360.66</v>
      </c>
      <c r="F303" s="6" t="str">
        <f t="shared" si="1"/>
        <v>Floral Wrap Top</v>
      </c>
    </row>
    <row r="304">
      <c r="A304" s="6" t="str">
        <f>IFERROR(__xludf.DUMMYFUNCTION("""COMPUTED_VALUE"""),"Elderberry Syrup")</f>
        <v>Elderberry Syrup</v>
      </c>
      <c r="B304" s="6" t="str">
        <f t="array" ref="B304">INDEX('Raw Data Sales'!F304:F1302, MATCH(A304, 'Raw Data Sales'!E304:E1302, 0))</f>
        <v>Food - Supplements</v>
      </c>
      <c r="C304" s="6">
        <f>SUMIFS('Raw Data Sales'!M304:M1302, 'Raw Data Sales'!E304:E1302,A304)</f>
        <v>99</v>
      </c>
      <c r="D304" s="6">
        <f>SUMIFS('Raw Data Sales'!N304:N1302, 'Raw Data Sales'!E304:E1302, A304)</f>
        <v>6813.38</v>
      </c>
      <c r="E304" s="6">
        <f>AVERAGEIFS('Raw Data Sales'!G304:G1302, 'Raw Data Sales'!E304:E1302, A304)</f>
        <v>973.51</v>
      </c>
      <c r="F304" s="6" t="str">
        <f t="shared" si="1"/>
        <v>Floral Wrap Top</v>
      </c>
    </row>
    <row r="305">
      <c r="A305" s="6" t="str">
        <f>IFERROR(__xludf.DUMMYFUNCTION("""COMPUTED_VALUE"""),"Chickpea Salad Deluxe")</f>
        <v>Chickpea Salad Deluxe</v>
      </c>
      <c r="B305" s="6" t="str">
        <f t="array" ref="B305">INDEX('Raw Data Sales'!F305:F1303, MATCH(A305, 'Raw Data Sales'!E305:E1303, 0))</f>
        <v>Food - Produce</v>
      </c>
      <c r="C305" s="6">
        <f>SUMIFS('Raw Data Sales'!M305:M1303, 'Raw Data Sales'!E305:E1303,A305)</f>
        <v>25</v>
      </c>
      <c r="D305" s="6">
        <f>SUMIFS('Raw Data Sales'!N305:N1303, 'Raw Data Sales'!E305:E1303, A305)</f>
        <v>87.31</v>
      </c>
      <c r="E305" s="6">
        <f>AVERAGEIFS('Raw Data Sales'!G305:G1303, 'Raw Data Sales'!E305:E1303, A305)</f>
        <v>590.64</v>
      </c>
      <c r="F305" s="6" t="str">
        <f t="shared" si="1"/>
        <v>Floral Wrap Top</v>
      </c>
    </row>
    <row r="306">
      <c r="A306" s="6" t="str">
        <f>IFERROR(__xludf.DUMMYFUNCTION("""COMPUTED_VALUE"""),"Video Camera")</f>
        <v>Video Camera</v>
      </c>
      <c r="B306" s="6" t="str">
        <f t="array" ref="B306">INDEX('Raw Data Sales'!F306:F1304, MATCH(A306, 'Raw Data Sales'!E306:E1304, 0))</f>
        <v>Electronics</v>
      </c>
      <c r="C306" s="6">
        <f>SUMIFS('Raw Data Sales'!M306:M1304, 'Raw Data Sales'!E306:E1304,A306)</f>
        <v>43</v>
      </c>
      <c r="D306" s="6">
        <f>SUMIFS('Raw Data Sales'!N306:N1304, 'Raw Data Sales'!E306:E1304, A306)</f>
        <v>7799.37</v>
      </c>
      <c r="E306" s="6">
        <f>AVERAGEIFS('Raw Data Sales'!G306:G1304, 'Raw Data Sales'!E306:E1304, A306)</f>
        <v>906.58</v>
      </c>
      <c r="F306" s="6" t="str">
        <f t="shared" si="1"/>
        <v>Floral Wrap Top</v>
      </c>
    </row>
    <row r="307">
      <c r="A307" s="6" t="str">
        <f>IFERROR(__xludf.DUMMYFUNCTION("""COMPUTED_VALUE"""),"Organic Cucumber")</f>
        <v>Organic Cucumber</v>
      </c>
      <c r="B307" s="6" t="str">
        <f t="array" ref="B307">INDEX('Raw Data Sales'!F307:F1305, MATCH(A307, 'Raw Data Sales'!E307:E1305, 0))</f>
        <v>Food - Vegetables</v>
      </c>
      <c r="C307" s="6">
        <f>SUMIFS('Raw Data Sales'!M307:M1305, 'Raw Data Sales'!E307:E1305,A307)</f>
        <v>4</v>
      </c>
      <c r="D307" s="6">
        <f>SUMIFS('Raw Data Sales'!N307:N1305, 'Raw Data Sales'!E307:E1305, A307)</f>
        <v>4478.68</v>
      </c>
      <c r="E307" s="6">
        <f>AVERAGEIFS('Raw Data Sales'!G307:G1305, 'Raw Data Sales'!E307:E1305, A307)</f>
        <v>465.59</v>
      </c>
      <c r="F307" s="6" t="str">
        <f t="shared" si="1"/>
        <v>Floral Wrap Top</v>
      </c>
    </row>
    <row r="308">
      <c r="A308" s="6" t="str">
        <f>IFERROR(__xludf.DUMMYFUNCTION("""COMPUTED_VALUE"""),"Berry Smoothie Mix")</f>
        <v>Berry Smoothie Mix</v>
      </c>
      <c r="B308" s="6" t="str">
        <f t="array" ref="B308">INDEX('Raw Data Sales'!F308:F1306, MATCH(A308, 'Raw Data Sales'!E308:E1306, 0))</f>
        <v>Food - Frozen Foods</v>
      </c>
      <c r="C308" s="6">
        <f>SUMIFS('Raw Data Sales'!M308:M1306, 'Raw Data Sales'!E308:E1306,A308)</f>
        <v>74</v>
      </c>
      <c r="D308" s="6">
        <f>SUMIFS('Raw Data Sales'!N308:N1306, 'Raw Data Sales'!E308:E1306, A308)</f>
        <v>3288.2</v>
      </c>
      <c r="E308" s="6">
        <f>AVERAGEIFS('Raw Data Sales'!G308:G1306, 'Raw Data Sales'!E308:E1306, A308)</f>
        <v>103.55</v>
      </c>
      <c r="F308" s="6" t="str">
        <f t="shared" si="1"/>
        <v>Floral Wrap Top</v>
      </c>
    </row>
    <row r="309">
      <c r="A309" s="6" t="str">
        <f>IFERROR(__xludf.DUMMYFUNCTION("""COMPUTED_VALUE"""),"Apple Juice")</f>
        <v>Apple Juice</v>
      </c>
      <c r="B309" s="6" t="str">
        <f t="array" ref="B309">INDEX('Raw Data Sales'!F309:F1307, MATCH(A309, 'Raw Data Sales'!E309:E1307, 0))</f>
        <v>Food - Beverages</v>
      </c>
      <c r="C309" s="6">
        <f>SUMIFS('Raw Data Sales'!M309:M1307, 'Raw Data Sales'!E309:E1307,A309)</f>
        <v>71</v>
      </c>
      <c r="D309" s="6">
        <f>SUMIFS('Raw Data Sales'!N309:N1307, 'Raw Data Sales'!E309:E1307, A309)</f>
        <v>3654.35</v>
      </c>
      <c r="E309" s="6">
        <f>AVERAGEIFS('Raw Data Sales'!G309:G1307, 'Raw Data Sales'!E309:E1307, A309)</f>
        <v>605.44</v>
      </c>
      <c r="F309" s="6" t="str">
        <f t="shared" si="1"/>
        <v>Floral Wrap Top</v>
      </c>
    </row>
    <row r="310">
      <c r="A310" s="6" t="str">
        <f>IFERROR(__xludf.DUMMYFUNCTION("""COMPUTED_VALUE"""),"Chickpea Snack Mix")</f>
        <v>Chickpea Snack Mix</v>
      </c>
      <c r="B310" s="6" t="str">
        <f t="array" ref="B310">INDEX('Raw Data Sales'!F310:F1308, MATCH(A310, 'Raw Data Sales'!E310:E1308, 0))</f>
        <v>Food - Snacks</v>
      </c>
      <c r="C310" s="6">
        <f>SUMIFS('Raw Data Sales'!M310:M1308, 'Raw Data Sales'!E310:E1308,A310)</f>
        <v>69</v>
      </c>
      <c r="D310" s="6">
        <f>SUMIFS('Raw Data Sales'!N310:N1308, 'Raw Data Sales'!E310:E1308, A310)</f>
        <v>10580.75</v>
      </c>
      <c r="E310" s="6">
        <f>AVERAGEIFS('Raw Data Sales'!G310:G1308, 'Raw Data Sales'!E310:E1308, A310)</f>
        <v>292.68</v>
      </c>
      <c r="F310" s="6" t="str">
        <f t="shared" si="1"/>
        <v>Floral Wrap Top</v>
      </c>
    </row>
    <row r="311">
      <c r="A311" s="6" t="str">
        <f>IFERROR(__xludf.DUMMYFUNCTION("""COMPUTED_VALUE"""),"Comfortable Bed Pillow")</f>
        <v>Comfortable Bed Pillow</v>
      </c>
      <c r="B311" s="6" t="str">
        <f t="array" ref="B311">INDEX('Raw Data Sales'!F311:F1309, MATCH(A311, 'Raw Data Sales'!E311:E1309, 0))</f>
        <v>Home</v>
      </c>
      <c r="C311" s="6">
        <f>SUMIFS('Raw Data Sales'!M311:M1309, 'Raw Data Sales'!E311:E1309,A311)</f>
        <v>8</v>
      </c>
      <c r="D311" s="6">
        <f>SUMIFS('Raw Data Sales'!N311:N1309, 'Raw Data Sales'!E311:E1309, A311)</f>
        <v>6673.53</v>
      </c>
      <c r="E311" s="6">
        <f>AVERAGEIFS('Raw Data Sales'!G311:G1309, 'Raw Data Sales'!E311:E1309, A311)</f>
        <v>645.23</v>
      </c>
      <c r="F311" s="6" t="str">
        <f t="shared" si="1"/>
        <v>Floral Wrap Top</v>
      </c>
    </row>
    <row r="312">
      <c r="A312" s="6" t="str">
        <f>IFERROR(__xludf.DUMMYFUNCTION("""COMPUTED_VALUE"""),"Cabbage Slaw Mix")</f>
        <v>Cabbage Slaw Mix</v>
      </c>
      <c r="B312" s="6" t="str">
        <f t="array" ref="B312">INDEX('Raw Data Sales'!F312:F1310, MATCH(A312, 'Raw Data Sales'!E312:E1310, 0))</f>
        <v>Food - Vegetables</v>
      </c>
      <c r="C312" s="6">
        <f>SUMIFS('Raw Data Sales'!M312:M1310, 'Raw Data Sales'!E312:E1310,A312)</f>
        <v>71</v>
      </c>
      <c r="D312" s="6">
        <f>SUMIFS('Raw Data Sales'!N312:N1310, 'Raw Data Sales'!E312:E1310, A312)</f>
        <v>1033.58</v>
      </c>
      <c r="E312" s="6">
        <f>AVERAGEIFS('Raw Data Sales'!G312:G1310, 'Raw Data Sales'!E312:E1310, A312)</f>
        <v>825.36</v>
      </c>
      <c r="F312" s="6" t="str">
        <f t="shared" si="1"/>
        <v>Floral Wrap Top</v>
      </c>
    </row>
    <row r="313">
      <c r="A313" s="6" t="str">
        <f>IFERROR(__xludf.DUMMYFUNCTION("""COMPUTED_VALUE"""),"Stainless Steel Mixing Bowls")</f>
        <v>Stainless Steel Mixing Bowls</v>
      </c>
      <c r="B313" s="6" t="str">
        <f t="array" ref="B313">INDEX('Raw Data Sales'!F313:F1311, MATCH(A313, 'Raw Data Sales'!E313:E1311, 0))</f>
        <v>Kitchen</v>
      </c>
      <c r="C313" s="6">
        <f>SUMIFS('Raw Data Sales'!M313:M1311, 'Raw Data Sales'!E313:E1311,A313)</f>
        <v>97</v>
      </c>
      <c r="D313" s="6">
        <f>SUMIFS('Raw Data Sales'!N313:N1311, 'Raw Data Sales'!E313:E1311, A313)</f>
        <v>1805.38</v>
      </c>
      <c r="E313" s="6">
        <f>AVERAGEIFS('Raw Data Sales'!G313:G1311, 'Raw Data Sales'!E313:E1311, A313)</f>
        <v>605.165</v>
      </c>
      <c r="F313" s="6" t="str">
        <f t="shared" si="1"/>
        <v>Floral Wrap Top</v>
      </c>
    </row>
    <row r="314">
      <c r="A314" s="6" t="str">
        <f>IFERROR(__xludf.DUMMYFUNCTION("""COMPUTED_VALUE"""),"Mini Hand Gesture Drone")</f>
        <v>Mini Hand Gesture Drone</v>
      </c>
      <c r="B314" s="6" t="str">
        <f t="array" ref="B314">INDEX('Raw Data Sales'!F314:F1312, MATCH(A314, 'Raw Data Sales'!E314:E1312, 0))</f>
        <v>Toys</v>
      </c>
      <c r="C314" s="6">
        <f>SUMIFS('Raw Data Sales'!M314:M1312, 'Raw Data Sales'!E314:E1312,A314)</f>
        <v>28</v>
      </c>
      <c r="D314" s="6">
        <f>SUMIFS('Raw Data Sales'!N314:N1312, 'Raw Data Sales'!E314:E1312, A314)</f>
        <v>1530.56</v>
      </c>
      <c r="E314" s="6">
        <f>AVERAGEIFS('Raw Data Sales'!G314:G1312, 'Raw Data Sales'!E314:E1312, A314)</f>
        <v>597.82</v>
      </c>
      <c r="F314" s="6" t="str">
        <f t="shared" si="1"/>
        <v>Floral Wrap Top</v>
      </c>
    </row>
    <row r="315">
      <c r="A315" s="6" t="str">
        <f>IFERROR(__xludf.DUMMYFUNCTION("""COMPUTED_VALUE"""),"Sweet Potato &amp; Kale Hash")</f>
        <v>Sweet Potato &amp; Kale Hash</v>
      </c>
      <c r="B315" s="6" t="str">
        <f t="array" ref="B315">INDEX('Raw Data Sales'!F315:F1313, MATCH(A315, 'Raw Data Sales'!E315:E1313, 0))</f>
        <v>Food - Prepared Foods</v>
      </c>
      <c r="C315" s="6">
        <f>SUMIFS('Raw Data Sales'!M315:M1313, 'Raw Data Sales'!E315:E1313,A315)</f>
        <v>12</v>
      </c>
      <c r="D315" s="6">
        <f>SUMIFS('Raw Data Sales'!N315:N1313, 'Raw Data Sales'!E315:E1313, A315)</f>
        <v>1134.63</v>
      </c>
      <c r="E315" s="6">
        <f>AVERAGEIFS('Raw Data Sales'!G315:G1313, 'Raw Data Sales'!E315:E1313, A315)</f>
        <v>891.08</v>
      </c>
      <c r="F315" s="6" t="str">
        <f t="shared" si="1"/>
        <v>Floral Wrap Top</v>
      </c>
    </row>
    <row r="316">
      <c r="A316" s="6" t="str">
        <f>IFERROR(__xludf.DUMMYFUNCTION("""COMPUTED_VALUE"""),"Car Emergency Kit")</f>
        <v>Car Emergency Kit</v>
      </c>
      <c r="B316" s="6" t="str">
        <f t="array" ref="B316">INDEX('Raw Data Sales'!F316:F1314, MATCH(A316, 'Raw Data Sales'!E316:E1314, 0))</f>
        <v>Automotive</v>
      </c>
      <c r="C316" s="6">
        <f>SUMIFS('Raw Data Sales'!M316:M1314, 'Raw Data Sales'!E316:E1314,A316)</f>
        <v>255</v>
      </c>
      <c r="D316" s="6">
        <f>SUMIFS('Raw Data Sales'!N316:N1314, 'Raw Data Sales'!E316:E1314, A316)</f>
        <v>18630.83</v>
      </c>
      <c r="E316" s="6">
        <f>AVERAGEIFS('Raw Data Sales'!G316:G1314, 'Raw Data Sales'!E316:E1314, A316)</f>
        <v>627.9433333</v>
      </c>
      <c r="F316" s="6" t="str">
        <f t="shared" si="1"/>
        <v>Floral Wrap Top</v>
      </c>
    </row>
    <row r="317">
      <c r="A317" s="6" t="str">
        <f>IFERROR(__xludf.DUMMYFUNCTION("""COMPUTED_VALUE"""),"Reusable Silicone Food Storage Bags")</f>
        <v>Reusable Silicone Food Storage Bags</v>
      </c>
      <c r="B317" s="6" t="str">
        <f t="array" ref="B317">INDEX('Raw Data Sales'!F317:F1315, MATCH(A317, 'Raw Data Sales'!E317:E1315, 0))</f>
        <v>Kitchen</v>
      </c>
      <c r="C317" s="6">
        <f>SUMIFS('Raw Data Sales'!M317:M1315, 'Raw Data Sales'!E317:E1315,A317)</f>
        <v>8</v>
      </c>
      <c r="D317" s="6">
        <f>SUMIFS('Raw Data Sales'!N317:N1315, 'Raw Data Sales'!E317:E1315, A317)</f>
        <v>6698.02</v>
      </c>
      <c r="E317" s="6">
        <f>AVERAGEIFS('Raw Data Sales'!G317:G1315, 'Raw Data Sales'!E317:E1315, A317)</f>
        <v>29.06</v>
      </c>
      <c r="F317" s="6" t="str">
        <f t="shared" si="1"/>
        <v>Floral Wrap Top</v>
      </c>
    </row>
    <row r="318">
      <c r="A318" s="6" t="str">
        <f>IFERROR(__xludf.DUMMYFUNCTION("""COMPUTED_VALUE"""),"Vanilla Bean Greek Yogurt")</f>
        <v>Vanilla Bean Greek Yogurt</v>
      </c>
      <c r="B318" s="6" t="str">
        <f t="array" ref="B318">INDEX('Raw Data Sales'!F318:F1316, MATCH(A318, 'Raw Data Sales'!E318:E1316, 0))</f>
        <v>Food - Dairy</v>
      </c>
      <c r="C318" s="6">
        <f>SUMIFS('Raw Data Sales'!M318:M1316, 'Raw Data Sales'!E318:E1316,A318)</f>
        <v>83</v>
      </c>
      <c r="D318" s="6">
        <f>SUMIFS('Raw Data Sales'!N318:N1316, 'Raw Data Sales'!E318:E1316, A318)</f>
        <v>1786.87</v>
      </c>
      <c r="E318" s="6">
        <f>AVERAGEIFS('Raw Data Sales'!G318:G1316, 'Raw Data Sales'!E318:E1316, A318)</f>
        <v>305.91</v>
      </c>
      <c r="F318" s="6" t="str">
        <f t="shared" si="1"/>
        <v>Floral Wrap Top</v>
      </c>
    </row>
    <row r="319">
      <c r="A319" s="6" t="str">
        <f>IFERROR(__xludf.DUMMYFUNCTION("""COMPUTED_VALUE"""),"Comfortable Jogger Pants")</f>
        <v>Comfortable Jogger Pants</v>
      </c>
      <c r="B319" s="6" t="str">
        <f t="array" ref="B319">INDEX('Raw Data Sales'!F319:F1317, MATCH(A319, 'Raw Data Sales'!E319:E1317, 0))</f>
        <v>Clothing - Bottoms</v>
      </c>
      <c r="C319" s="6">
        <f>SUMIFS('Raw Data Sales'!M319:M1317, 'Raw Data Sales'!E319:E1317,A319)</f>
        <v>40</v>
      </c>
      <c r="D319" s="6">
        <f>SUMIFS('Raw Data Sales'!N319:N1317, 'Raw Data Sales'!E319:E1317, A319)</f>
        <v>5546.65</v>
      </c>
      <c r="E319" s="6">
        <f>AVERAGEIFS('Raw Data Sales'!G319:G1317, 'Raw Data Sales'!E319:E1317, A319)</f>
        <v>157.63</v>
      </c>
      <c r="F319" s="6" t="str">
        <f t="shared" si="1"/>
        <v>Floral Wrap Top</v>
      </c>
    </row>
    <row r="320">
      <c r="A320" s="6" t="str">
        <f>IFERROR(__xludf.DUMMYFUNCTION("""COMPUTED_VALUE"""),"Travel Eye Mask with Ear Plugs")</f>
        <v>Travel Eye Mask with Ear Plugs</v>
      </c>
      <c r="B320" s="6" t="str">
        <f t="array" ref="B320">INDEX('Raw Data Sales'!F320:F1318, MATCH(A320, 'Raw Data Sales'!E320:E1318, 0))</f>
        <v>Travel</v>
      </c>
      <c r="C320" s="6">
        <f>SUMIFS('Raw Data Sales'!M320:M1318, 'Raw Data Sales'!E320:E1318,A320)</f>
        <v>161</v>
      </c>
      <c r="D320" s="6">
        <f>SUMIFS('Raw Data Sales'!N320:N1318, 'Raw Data Sales'!E320:E1318, A320)</f>
        <v>13803.32</v>
      </c>
      <c r="E320" s="6">
        <f>AVERAGEIFS('Raw Data Sales'!G320:G1318, 'Raw Data Sales'!E320:E1318, A320)</f>
        <v>607.8466667</v>
      </c>
      <c r="F320" s="6" t="str">
        <f t="shared" si="1"/>
        <v>Floral Wrap Top</v>
      </c>
    </row>
    <row r="321">
      <c r="A321" s="6" t="str">
        <f>IFERROR(__xludf.DUMMYFUNCTION("""COMPUTED_VALUE"""),"Adjustable Height Standing Desk Converter")</f>
        <v>Adjustable Height Standing Desk Converter</v>
      </c>
      <c r="B321" s="6" t="str">
        <f t="array" ref="B321">INDEX('Raw Data Sales'!F321:F1319, MATCH(A321, 'Raw Data Sales'!E321:E1319, 0))</f>
        <v>Office</v>
      </c>
      <c r="C321" s="6">
        <f>SUMIFS('Raw Data Sales'!M321:M1319, 'Raw Data Sales'!E321:E1319,A321)</f>
        <v>63</v>
      </c>
      <c r="D321" s="6">
        <f>SUMIFS('Raw Data Sales'!N321:N1319, 'Raw Data Sales'!E321:E1319, A321)</f>
        <v>2087.16</v>
      </c>
      <c r="E321" s="6">
        <f>AVERAGEIFS('Raw Data Sales'!G321:G1319, 'Raw Data Sales'!E321:E1319, A321)</f>
        <v>674.26</v>
      </c>
      <c r="F321" s="6" t="str">
        <f t="shared" si="1"/>
        <v>Floral Wrap Top</v>
      </c>
    </row>
    <row r="322">
      <c r="A322" s="6" t="str">
        <f>IFERROR(__xludf.DUMMYFUNCTION("""COMPUTED_VALUE"""),"Personal Security Alarm Keychain")</f>
        <v>Personal Security Alarm Keychain</v>
      </c>
      <c r="B322" s="6" t="str">
        <f t="array" ref="B322">INDEX('Raw Data Sales'!F322:F1320, MATCH(A322, 'Raw Data Sales'!E322:E1320, 0))</f>
        <v>Safety</v>
      </c>
      <c r="C322" s="6">
        <f>SUMIFS('Raw Data Sales'!M322:M1320, 'Raw Data Sales'!E322:E1320,A322)</f>
        <v>103</v>
      </c>
      <c r="D322" s="6">
        <f>SUMIFS('Raw Data Sales'!N322:N1320, 'Raw Data Sales'!E322:E1320, A322)</f>
        <v>13122.3</v>
      </c>
      <c r="E322" s="6">
        <f>AVERAGEIFS('Raw Data Sales'!G322:G1320, 'Raw Data Sales'!E322:E1320, A322)</f>
        <v>381.38</v>
      </c>
      <c r="F322" s="6" t="str">
        <f t="shared" si="1"/>
        <v>Floral Wrap Top</v>
      </c>
    </row>
    <row r="323">
      <c r="A323" s="6" t="str">
        <f>IFERROR(__xludf.DUMMYFUNCTION("""COMPUTED_VALUE"""),"Sliced Turkey Breast")</f>
        <v>Sliced Turkey Breast</v>
      </c>
      <c r="B323" s="6" t="str">
        <f t="array" ref="B323">INDEX('Raw Data Sales'!F323:F1321, MATCH(A323, 'Raw Data Sales'!E323:E1321, 0))</f>
        <v>Food - Deli Meats</v>
      </c>
      <c r="C323" s="6">
        <f>SUMIFS('Raw Data Sales'!M323:M1321, 'Raw Data Sales'!E323:E1321,A323)</f>
        <v>93</v>
      </c>
      <c r="D323" s="6">
        <f>SUMIFS('Raw Data Sales'!N323:N1321, 'Raw Data Sales'!E323:E1321, A323)</f>
        <v>2881.46</v>
      </c>
      <c r="E323" s="6">
        <f>AVERAGEIFS('Raw Data Sales'!G323:G1321, 'Raw Data Sales'!E323:E1321, A323)</f>
        <v>682.04</v>
      </c>
      <c r="F323" s="6" t="str">
        <f t="shared" si="1"/>
        <v>Floral Wrap Top</v>
      </c>
    </row>
    <row r="324">
      <c r="A324" s="6" t="str">
        <f>IFERROR(__xludf.DUMMYFUNCTION("""COMPUTED_VALUE"""),"Graphic Tee")</f>
        <v>Graphic Tee</v>
      </c>
      <c r="B324" s="6" t="str">
        <f t="array" ref="B324">INDEX('Raw Data Sales'!F324:F1322, MATCH(A324, 'Raw Data Sales'!E324:E1322, 0))</f>
        <v>Clothing</v>
      </c>
      <c r="C324" s="6">
        <f>SUMIFS('Raw Data Sales'!M324:M1322, 'Raw Data Sales'!E324:E1322,A324)</f>
        <v>98</v>
      </c>
      <c r="D324" s="6">
        <f>SUMIFS('Raw Data Sales'!N324:N1322, 'Raw Data Sales'!E324:E1322, A324)</f>
        <v>11148.35</v>
      </c>
      <c r="E324" s="6">
        <f>AVERAGEIFS('Raw Data Sales'!G324:G1322, 'Raw Data Sales'!E324:E1322, A324)</f>
        <v>183.185</v>
      </c>
      <c r="F324" s="6" t="str">
        <f t="shared" si="1"/>
        <v>Floral Wrap Top</v>
      </c>
    </row>
    <row r="325">
      <c r="A325" s="6" t="str">
        <f>IFERROR(__xludf.DUMMYFUNCTION("""COMPUTED_VALUE"""),"Chia Seeds")</f>
        <v>Chia Seeds</v>
      </c>
      <c r="B325" s="6" t="str">
        <f t="array" ref="B325">INDEX('Raw Data Sales'!F325:F1323, MATCH(A325, 'Raw Data Sales'!E325:E1323, 0))</f>
        <v>Food - Grains</v>
      </c>
      <c r="C325" s="6">
        <f>SUMIFS('Raw Data Sales'!M325:M1323, 'Raw Data Sales'!E325:E1323,A325)</f>
        <v>23</v>
      </c>
      <c r="D325" s="6">
        <f>SUMIFS('Raw Data Sales'!N325:N1323, 'Raw Data Sales'!E325:E1323, A325)</f>
        <v>8659.33</v>
      </c>
      <c r="E325" s="6">
        <f>AVERAGEIFS('Raw Data Sales'!G325:G1323, 'Raw Data Sales'!E325:E1323, A325)</f>
        <v>49.79</v>
      </c>
      <c r="F325" s="6" t="str">
        <f t="shared" si="1"/>
        <v>Floral Wrap Top</v>
      </c>
    </row>
    <row r="326">
      <c r="A326" s="6" t="str">
        <f>IFERROR(__xludf.DUMMYFUNCTION("""COMPUTED_VALUE"""),"Spinach Pizza Rolls")</f>
        <v>Spinach Pizza Rolls</v>
      </c>
      <c r="B326" s="6" t="str">
        <f t="array" ref="B326">INDEX('Raw Data Sales'!F326:F1324, MATCH(A326, 'Raw Data Sales'!E326:E1324, 0))</f>
        <v>Food - Frozen Foods</v>
      </c>
      <c r="C326" s="6">
        <f>SUMIFS('Raw Data Sales'!M326:M1324, 'Raw Data Sales'!E326:E1324,A326)</f>
        <v>54</v>
      </c>
      <c r="D326" s="6">
        <f>SUMIFS('Raw Data Sales'!N326:N1324, 'Raw Data Sales'!E326:E1324, A326)</f>
        <v>1476.59</v>
      </c>
      <c r="E326" s="6">
        <f>AVERAGEIFS('Raw Data Sales'!G326:G1324, 'Raw Data Sales'!E326:E1324, A326)</f>
        <v>962.53</v>
      </c>
      <c r="F326" s="6" t="str">
        <f t="shared" si="1"/>
        <v>Floral Wrap Top</v>
      </c>
    </row>
    <row r="327">
      <c r="A327" s="6" t="str">
        <f>IFERROR(__xludf.DUMMYFUNCTION("""COMPUTED_VALUE"""),"Almond Flour Pancake Mix")</f>
        <v>Almond Flour Pancake Mix</v>
      </c>
      <c r="B327" s="6" t="str">
        <f t="array" ref="B327">INDEX('Raw Data Sales'!F327:F1325, MATCH(A327, 'Raw Data Sales'!E327:E1325, 0))</f>
        <v>Food - Baking</v>
      </c>
      <c r="C327" s="6">
        <f>SUMIFS('Raw Data Sales'!M327:M1325, 'Raw Data Sales'!E327:E1325,A327)</f>
        <v>83</v>
      </c>
      <c r="D327" s="6">
        <f>SUMIFS('Raw Data Sales'!N327:N1325, 'Raw Data Sales'!E327:E1325, A327)</f>
        <v>6228.86</v>
      </c>
      <c r="E327" s="6">
        <f>AVERAGEIFS('Raw Data Sales'!G327:G1325, 'Raw Data Sales'!E327:E1325, A327)</f>
        <v>139.325</v>
      </c>
      <c r="F327" s="6" t="str">
        <f t="shared" si="1"/>
        <v>Floral Wrap Top</v>
      </c>
    </row>
    <row r="328">
      <c r="A328" s="6" t="str">
        <f>IFERROR(__xludf.DUMMYFUNCTION("""COMPUTED_VALUE"""),"Portable Solar Camp Shower")</f>
        <v>Portable Solar Camp Shower</v>
      </c>
      <c r="B328" s="6" t="str">
        <f t="array" ref="B328">INDEX('Raw Data Sales'!F328:F1326, MATCH(A328, 'Raw Data Sales'!E328:E1326, 0))</f>
        <v>Outdoor</v>
      </c>
      <c r="C328" s="6">
        <f>SUMIFS('Raw Data Sales'!M328:M1326, 'Raw Data Sales'!E328:E1326,A328)</f>
        <v>131</v>
      </c>
      <c r="D328" s="6">
        <f>SUMIFS('Raw Data Sales'!N328:N1326, 'Raw Data Sales'!E328:E1326, A328)</f>
        <v>7004.35</v>
      </c>
      <c r="E328" s="6">
        <f>AVERAGEIFS('Raw Data Sales'!G328:G1326, 'Raw Data Sales'!E328:E1326, A328)</f>
        <v>440.555</v>
      </c>
      <c r="F328" s="6" t="str">
        <f t="shared" si="1"/>
        <v>Floral Wrap Top</v>
      </c>
    </row>
    <row r="329">
      <c r="A329" s="6" t="str">
        <f>IFERROR(__xludf.DUMMYFUNCTION("""COMPUTED_VALUE"""),"Lemon Basil Pasta Sauce")</f>
        <v>Lemon Basil Pasta Sauce</v>
      </c>
      <c r="B329" s="6" t="str">
        <f t="array" ref="B329">INDEX('Raw Data Sales'!F329:F1327, MATCH(A329, 'Raw Data Sales'!E329:E1327, 0))</f>
        <v>Food - Sauces</v>
      </c>
      <c r="C329" s="6">
        <f>SUMIFS('Raw Data Sales'!M329:M1327, 'Raw Data Sales'!E329:E1327,A329)</f>
        <v>103</v>
      </c>
      <c r="D329" s="6">
        <f>SUMIFS('Raw Data Sales'!N329:N1327, 'Raw Data Sales'!E329:E1327, A329)</f>
        <v>10327.38</v>
      </c>
      <c r="E329" s="6">
        <f>AVERAGEIFS('Raw Data Sales'!G329:G1327, 'Raw Data Sales'!E329:E1327, A329)</f>
        <v>128.755</v>
      </c>
      <c r="F329" s="6" t="str">
        <f t="shared" si="1"/>
        <v>Floral Wrap Top</v>
      </c>
    </row>
    <row r="330">
      <c r="A330" s="6" t="str">
        <f>IFERROR(__xludf.DUMMYFUNCTION("""COMPUTED_VALUE"""),"Leek and Potato Soup")</f>
        <v>Leek and Potato Soup</v>
      </c>
      <c r="B330" s="6" t="str">
        <f t="array" ref="B330">INDEX('Raw Data Sales'!F330:F1328, MATCH(A330, 'Raw Data Sales'!E330:E1328, 0))</f>
        <v>Food - Soups</v>
      </c>
      <c r="C330" s="6">
        <f>SUMIFS('Raw Data Sales'!M330:M1328, 'Raw Data Sales'!E330:E1328,A330)</f>
        <v>95</v>
      </c>
      <c r="D330" s="6">
        <f>SUMIFS('Raw Data Sales'!N330:N1328, 'Raw Data Sales'!E330:E1328, A330)</f>
        <v>1294.66</v>
      </c>
      <c r="E330" s="6">
        <f>AVERAGEIFS('Raw Data Sales'!G330:G1328, 'Raw Data Sales'!E330:E1328, A330)</f>
        <v>991.66</v>
      </c>
      <c r="F330" s="6" t="str">
        <f t="shared" si="1"/>
        <v>Floral Wrap Top</v>
      </c>
    </row>
    <row r="331">
      <c r="A331" s="6" t="str">
        <f>IFERROR(__xludf.DUMMYFUNCTION("""COMPUTED_VALUE"""),"Classic Chicken Noodle Soup")</f>
        <v>Classic Chicken Noodle Soup</v>
      </c>
      <c r="B331" s="6" t="str">
        <f t="array" ref="B331">INDEX('Raw Data Sales'!F331:F1329, MATCH(A331, 'Raw Data Sales'!E331:E1329, 0))</f>
        <v>Food - Canned Goods</v>
      </c>
      <c r="C331" s="6">
        <f>SUMIFS('Raw Data Sales'!M331:M1329, 'Raw Data Sales'!E331:E1329,A331)</f>
        <v>81</v>
      </c>
      <c r="D331" s="6">
        <f>SUMIFS('Raw Data Sales'!N331:N1329, 'Raw Data Sales'!E331:E1329, A331)</f>
        <v>7255.39</v>
      </c>
      <c r="E331" s="6">
        <f>AVERAGEIFS('Raw Data Sales'!G331:G1329, 'Raw Data Sales'!E331:E1329, A331)</f>
        <v>352.6</v>
      </c>
      <c r="F331" s="6" t="str">
        <f t="shared" si="1"/>
        <v>Floral Wrap Top</v>
      </c>
    </row>
    <row r="332">
      <c r="A332" s="6" t="str">
        <f>IFERROR(__xludf.DUMMYFUNCTION("""COMPUTED_VALUE"""),"Eco-Friendly Notepad")</f>
        <v>Eco-Friendly Notepad</v>
      </c>
      <c r="B332" s="6" t="str">
        <f t="array" ref="B332">INDEX('Raw Data Sales'!F332:F1330, MATCH(A332, 'Raw Data Sales'!E332:E1330, 0))</f>
        <v>Office</v>
      </c>
      <c r="C332" s="6">
        <f>SUMIFS('Raw Data Sales'!M332:M1330, 'Raw Data Sales'!E332:E1330,A332)</f>
        <v>149</v>
      </c>
      <c r="D332" s="6">
        <f>SUMIFS('Raw Data Sales'!N332:N1330, 'Raw Data Sales'!E332:E1330, A332)</f>
        <v>16645.52</v>
      </c>
      <c r="E332" s="6">
        <f>AVERAGEIFS('Raw Data Sales'!G332:G1330, 'Raw Data Sales'!E332:E1330, A332)</f>
        <v>546.5566667</v>
      </c>
      <c r="F332" s="6" t="str">
        <f t="shared" si="1"/>
        <v>Floral Wrap Top</v>
      </c>
    </row>
    <row r="333">
      <c r="A333" s="6" t="str">
        <f>IFERROR(__xludf.DUMMYFUNCTION("""COMPUTED_VALUE"""),"LED Strip Lights with Remote Control")</f>
        <v>LED Strip Lights with Remote Control</v>
      </c>
      <c r="B333" s="6" t="str">
        <f t="array" ref="B333">INDEX('Raw Data Sales'!F333:F1331, MATCH(A333, 'Raw Data Sales'!E333:E1331, 0))</f>
        <v>Home</v>
      </c>
      <c r="C333" s="6">
        <f>SUMIFS('Raw Data Sales'!M333:M1331, 'Raw Data Sales'!E333:E1331,A333)</f>
        <v>88</v>
      </c>
      <c r="D333" s="6">
        <f>SUMIFS('Raw Data Sales'!N333:N1331, 'Raw Data Sales'!E333:E1331, A333)</f>
        <v>11850.76</v>
      </c>
      <c r="E333" s="6">
        <f>AVERAGEIFS('Raw Data Sales'!G333:G1331, 'Raw Data Sales'!E333:E1331, A333)</f>
        <v>922.01</v>
      </c>
      <c r="F333" s="6" t="str">
        <f t="shared" si="1"/>
        <v>Floral Wrap Top</v>
      </c>
    </row>
    <row r="334">
      <c r="A334" s="6" t="str">
        <f>IFERROR(__xludf.DUMMYFUNCTION("""COMPUTED_VALUE"""),"Silicone Stretch Lids")</f>
        <v>Silicone Stretch Lids</v>
      </c>
      <c r="B334" s="6" t="str">
        <f t="array" ref="B334">INDEX('Raw Data Sales'!F334:F1332, MATCH(A334, 'Raw Data Sales'!E334:E1332, 0))</f>
        <v>Kitchen</v>
      </c>
      <c r="C334" s="6">
        <f>SUMIFS('Raw Data Sales'!M334:M1332, 'Raw Data Sales'!E334:E1332,A334)</f>
        <v>34</v>
      </c>
      <c r="D334" s="6">
        <f>SUMIFS('Raw Data Sales'!N334:N1332, 'Raw Data Sales'!E334:E1332, A334)</f>
        <v>9926.3</v>
      </c>
      <c r="E334" s="6">
        <f>AVERAGEIFS('Raw Data Sales'!G334:G1332, 'Raw Data Sales'!E334:E1332, A334)</f>
        <v>150.68</v>
      </c>
      <c r="F334" s="6" t="str">
        <f t="shared" si="1"/>
        <v>Floral Wrap Top</v>
      </c>
    </row>
    <row r="335">
      <c r="A335" s="6" t="str">
        <f>IFERROR(__xludf.DUMMYFUNCTION("""COMPUTED_VALUE"""),"Interactive Robot Toy")</f>
        <v>Interactive Robot Toy</v>
      </c>
      <c r="B335" s="6" t="str">
        <f t="array" ref="B335">INDEX('Raw Data Sales'!F335:F1333, MATCH(A335, 'Raw Data Sales'!E335:E1333, 0))</f>
        <v>Toys</v>
      </c>
      <c r="C335" s="6">
        <f>SUMIFS('Raw Data Sales'!M335:M1333, 'Raw Data Sales'!E335:E1333,A335)</f>
        <v>140</v>
      </c>
      <c r="D335" s="6">
        <f>SUMIFS('Raw Data Sales'!N335:N1333, 'Raw Data Sales'!E335:E1333, A335)</f>
        <v>15671.3</v>
      </c>
      <c r="E335" s="6">
        <f>AVERAGEIFS('Raw Data Sales'!G335:G1333, 'Raw Data Sales'!E335:E1333, A335)</f>
        <v>597.665</v>
      </c>
      <c r="F335" s="6" t="str">
        <f t="shared" si="1"/>
        <v>Floral Wrap Top</v>
      </c>
    </row>
    <row r="336">
      <c r="A336" s="6" t="str">
        <f>IFERROR(__xludf.DUMMYFUNCTION("""COMPUTED_VALUE"""),"BBQ Jackfruit")</f>
        <v>BBQ Jackfruit</v>
      </c>
      <c r="B336" s="6" t="str">
        <f t="array" ref="B336">INDEX('Raw Data Sales'!F336:F1334, MATCH(A336, 'Raw Data Sales'!E336:E1334, 0))</f>
        <v>Food - Prepared Foods</v>
      </c>
      <c r="C336" s="6">
        <f>SUMIFS('Raw Data Sales'!M336:M1334, 'Raw Data Sales'!E336:E1334,A336)</f>
        <v>88</v>
      </c>
      <c r="D336" s="6">
        <f>SUMIFS('Raw Data Sales'!N336:N1334, 'Raw Data Sales'!E336:E1334, A336)</f>
        <v>1411.77</v>
      </c>
      <c r="E336" s="6">
        <f>AVERAGEIFS('Raw Data Sales'!G336:G1334, 'Raw Data Sales'!E336:E1334, A336)</f>
        <v>324.43</v>
      </c>
      <c r="F336" s="6" t="str">
        <f t="shared" si="1"/>
        <v>Floral Wrap Top</v>
      </c>
    </row>
    <row r="337">
      <c r="A337" s="6" t="str">
        <f>IFERROR(__xludf.DUMMYFUNCTION("""COMPUTED_VALUE"""),"Wireless Smart Plug")</f>
        <v>Wireless Smart Plug</v>
      </c>
      <c r="B337" s="6" t="str">
        <f t="array" ref="B337">INDEX('Raw Data Sales'!F337:F1335, MATCH(A337, 'Raw Data Sales'!E337:E1335, 0))</f>
        <v>Smart Home</v>
      </c>
      <c r="C337" s="6">
        <f>SUMIFS('Raw Data Sales'!M337:M1335, 'Raw Data Sales'!E337:E1335,A337)</f>
        <v>9</v>
      </c>
      <c r="D337" s="6">
        <f>SUMIFS('Raw Data Sales'!N337:N1335, 'Raw Data Sales'!E337:E1335, A337)</f>
        <v>6735.42</v>
      </c>
      <c r="E337" s="6">
        <f>AVERAGEIFS('Raw Data Sales'!G337:G1335, 'Raw Data Sales'!E337:E1335, A337)</f>
        <v>900.09</v>
      </c>
      <c r="F337" s="6" t="str">
        <f t="shared" si="1"/>
        <v>Floral Wrap Top</v>
      </c>
    </row>
    <row r="338">
      <c r="A338" s="6" t="str">
        <f>IFERROR(__xludf.DUMMYFUNCTION("""COMPUTED_VALUE"""),"Herbed Goat Cheese")</f>
        <v>Herbed Goat Cheese</v>
      </c>
      <c r="B338" s="6" t="str">
        <f t="array" ref="B338">INDEX('Raw Data Sales'!F338:F1336, MATCH(A338, 'Raw Data Sales'!E338:E1336, 0))</f>
        <v>Food - Cheese</v>
      </c>
      <c r="C338" s="6">
        <f>SUMIFS('Raw Data Sales'!M338:M1336, 'Raw Data Sales'!E338:E1336,A338)</f>
        <v>42</v>
      </c>
      <c r="D338" s="6">
        <f>SUMIFS('Raw Data Sales'!N338:N1336, 'Raw Data Sales'!E338:E1336, A338)</f>
        <v>2927.14</v>
      </c>
      <c r="E338" s="6">
        <f>AVERAGEIFS('Raw Data Sales'!G338:G1336, 'Raw Data Sales'!E338:E1336, A338)</f>
        <v>85.815</v>
      </c>
      <c r="F338" s="6" t="str">
        <f t="shared" si="1"/>
        <v>Floral Wrap Top</v>
      </c>
    </row>
    <row r="339">
      <c r="A339" s="6" t="str">
        <f>IFERROR(__xludf.DUMMYFUNCTION("""COMPUTED_VALUE"""),"Electric Screwdriver")</f>
        <v>Electric Screwdriver</v>
      </c>
      <c r="B339" s="6" t="str">
        <f t="array" ref="B339">INDEX('Raw Data Sales'!F339:F1337, MATCH(A339, 'Raw Data Sales'!E339:E1337, 0))</f>
        <v>Tools</v>
      </c>
      <c r="C339" s="6">
        <f>SUMIFS('Raw Data Sales'!M339:M1337, 'Raw Data Sales'!E339:E1337,A339)</f>
        <v>97</v>
      </c>
      <c r="D339" s="6">
        <f>SUMIFS('Raw Data Sales'!N339:N1337, 'Raw Data Sales'!E339:E1337, A339)</f>
        <v>15177.4</v>
      </c>
      <c r="E339" s="6">
        <f>AVERAGEIFS('Raw Data Sales'!G339:G1337, 'Raw Data Sales'!E339:E1337, A339)</f>
        <v>548.44</v>
      </c>
      <c r="F339" s="6" t="str">
        <f t="shared" si="1"/>
        <v>Floral Wrap Top</v>
      </c>
    </row>
    <row r="340">
      <c r="A340" s="6" t="str">
        <f>IFERROR(__xludf.DUMMYFUNCTION("""COMPUTED_VALUE"""),"Spicy Thai Chili Sauce")</f>
        <v>Spicy Thai Chili Sauce</v>
      </c>
      <c r="B340" s="6" t="str">
        <f t="array" ref="B340">INDEX('Raw Data Sales'!F340:F1338, MATCH(A340, 'Raw Data Sales'!E340:E1338, 0))</f>
        <v>Food - Sauces</v>
      </c>
      <c r="C340" s="6">
        <f>SUMIFS('Raw Data Sales'!M340:M1338, 'Raw Data Sales'!E340:E1338,A340)</f>
        <v>73</v>
      </c>
      <c r="D340" s="6">
        <f>SUMIFS('Raw Data Sales'!N340:N1338, 'Raw Data Sales'!E340:E1338, A340)</f>
        <v>2977.76</v>
      </c>
      <c r="E340" s="6">
        <f>AVERAGEIFS('Raw Data Sales'!G340:G1338, 'Raw Data Sales'!E340:E1338, A340)</f>
        <v>778.12</v>
      </c>
      <c r="F340" s="6" t="str">
        <f t="shared" si="1"/>
        <v>Floral Wrap Top</v>
      </c>
    </row>
    <row r="341">
      <c r="A341" s="6" t="str">
        <f>IFERROR(__xludf.DUMMYFUNCTION("""COMPUTED_VALUE"""),"Creamy Avocado Dip")</f>
        <v>Creamy Avocado Dip</v>
      </c>
      <c r="B341" s="6" t="str">
        <f t="array" ref="B341">INDEX('Raw Data Sales'!F341:F1339, MATCH(A341, 'Raw Data Sales'!E341:E1339, 0))</f>
        <v>Food - Snacks</v>
      </c>
      <c r="C341" s="6">
        <f>SUMIFS('Raw Data Sales'!M341:M1339, 'Raw Data Sales'!E341:E1339,A341)</f>
        <v>84</v>
      </c>
      <c r="D341" s="6">
        <f>SUMIFS('Raw Data Sales'!N341:N1339, 'Raw Data Sales'!E341:E1339, A341)</f>
        <v>2624.04</v>
      </c>
      <c r="E341" s="6">
        <f>AVERAGEIFS('Raw Data Sales'!G341:G1339, 'Raw Data Sales'!E341:E1339, A341)</f>
        <v>560.97</v>
      </c>
      <c r="F341" s="6" t="str">
        <f t="shared" si="1"/>
        <v>Floral Wrap Top</v>
      </c>
    </row>
    <row r="342">
      <c r="A342" s="6" t="str">
        <f>IFERROR(__xludf.DUMMYFUNCTION("""COMPUTED_VALUE"""),"Frozen Pizza")</f>
        <v>Frozen Pizza</v>
      </c>
      <c r="B342" s="6" t="str">
        <f t="array" ref="B342">INDEX('Raw Data Sales'!F342:F1340, MATCH(A342, 'Raw Data Sales'!E342:E1340, 0))</f>
        <v>Food - Frozen Foods</v>
      </c>
      <c r="C342" s="6">
        <f>SUMIFS('Raw Data Sales'!M342:M1340, 'Raw Data Sales'!E342:E1340,A342)</f>
        <v>105</v>
      </c>
      <c r="D342" s="6">
        <f>SUMIFS('Raw Data Sales'!N342:N1340, 'Raw Data Sales'!E342:E1340, A342)</f>
        <v>7682.79</v>
      </c>
      <c r="E342" s="6">
        <f>AVERAGEIFS('Raw Data Sales'!G342:G1340, 'Raw Data Sales'!E342:E1340, A342)</f>
        <v>161.765</v>
      </c>
      <c r="F342" s="6" t="str">
        <f t="shared" si="1"/>
        <v>Floral Wrap Top</v>
      </c>
    </row>
    <row r="343">
      <c r="A343" s="6" t="str">
        <f>IFERROR(__xludf.DUMMYFUNCTION("""COMPUTED_VALUE"""),"Habanero Hot Sauce")</f>
        <v>Habanero Hot Sauce</v>
      </c>
      <c r="B343" s="6" t="str">
        <f t="array" ref="B343">INDEX('Raw Data Sales'!F343:F1341, MATCH(A343, 'Raw Data Sales'!E343:E1341, 0))</f>
        <v>Food - Condiments</v>
      </c>
      <c r="C343" s="6">
        <f>SUMIFS('Raw Data Sales'!M343:M1341, 'Raw Data Sales'!E343:E1341,A343)</f>
        <v>40</v>
      </c>
      <c r="D343" s="6">
        <f>SUMIFS('Raw Data Sales'!N343:N1341, 'Raw Data Sales'!E343:E1341, A343)</f>
        <v>947.11</v>
      </c>
      <c r="E343" s="6">
        <f>AVERAGEIFS('Raw Data Sales'!G343:G1341, 'Raw Data Sales'!E343:E1341, A343)</f>
        <v>429.09</v>
      </c>
      <c r="F343" s="6" t="str">
        <f t="shared" si="1"/>
        <v>Floral Wrap Top</v>
      </c>
    </row>
    <row r="344">
      <c r="A344" s="6" t="str">
        <f>IFERROR(__xludf.DUMMYFUNCTION("""COMPUTED_VALUE"""),"Adjustable Kneeling Pad")</f>
        <v>Adjustable Kneeling Pad</v>
      </c>
      <c r="B344" s="6" t="str">
        <f t="array" ref="B344">INDEX('Raw Data Sales'!F344:F1342, MATCH(A344, 'Raw Data Sales'!E344:E1342, 0))</f>
        <v>Garden</v>
      </c>
      <c r="C344" s="6">
        <f>SUMIFS('Raw Data Sales'!M344:M1342, 'Raw Data Sales'!E344:E1342,A344)</f>
        <v>83</v>
      </c>
      <c r="D344" s="6">
        <f>SUMIFS('Raw Data Sales'!N344:N1342, 'Raw Data Sales'!E344:E1342, A344)</f>
        <v>7358.19</v>
      </c>
      <c r="E344" s="6">
        <f>AVERAGEIFS('Raw Data Sales'!G344:G1342, 'Raw Data Sales'!E344:E1342, A344)</f>
        <v>69.69</v>
      </c>
      <c r="F344" s="6" t="str">
        <f t="shared" si="1"/>
        <v>Floral Wrap Top</v>
      </c>
    </row>
    <row r="345">
      <c r="A345" s="6" t="str">
        <f>IFERROR(__xludf.DUMMYFUNCTION("""COMPUTED_VALUE"""),"3D Night Light")</f>
        <v>3D Night Light</v>
      </c>
      <c r="B345" s="6" t="str">
        <f t="array" ref="B345">INDEX('Raw Data Sales'!F345:F1343, MATCH(A345, 'Raw Data Sales'!E345:E1343, 0))</f>
        <v>Home</v>
      </c>
      <c r="C345" s="6">
        <f>SUMIFS('Raw Data Sales'!M345:M1343, 'Raw Data Sales'!E345:E1343,A345)</f>
        <v>24</v>
      </c>
      <c r="D345" s="6">
        <f>SUMIFS('Raw Data Sales'!N345:N1343, 'Raw Data Sales'!E345:E1343, A345)</f>
        <v>727.58</v>
      </c>
      <c r="E345" s="6">
        <f>AVERAGEIFS('Raw Data Sales'!G345:G1343, 'Raw Data Sales'!E345:E1343, A345)</f>
        <v>100.8</v>
      </c>
      <c r="F345" s="6" t="str">
        <f t="array" ref="F345">INDEX(A345:A1343, MATCH(MAX(D345:D1343), D345:D1343, 0))</f>
        <v>Floral Wrap Top</v>
      </c>
    </row>
    <row r="346">
      <c r="A346" s="6" t="str">
        <f>IFERROR(__xludf.DUMMYFUNCTION("""COMPUTED_VALUE"""),"Almond Flour Cookies")</f>
        <v>Almond Flour Cookies</v>
      </c>
      <c r="B346" s="6" t="str">
        <f t="array" ref="B346">INDEX('Raw Data Sales'!F346:F1344, MATCH(A346, 'Raw Data Sales'!E346:E1344, 0))</f>
        <v>Food - Bakery</v>
      </c>
      <c r="C346" s="6">
        <f>SUMIFS('Raw Data Sales'!M346:M1344, 'Raw Data Sales'!E346:E1344,A346)</f>
        <v>54</v>
      </c>
      <c r="D346" s="6">
        <f>SUMIFS('Raw Data Sales'!N346:N1344, 'Raw Data Sales'!E346:E1344, A346)</f>
        <v>9821.03</v>
      </c>
      <c r="E346" s="6">
        <f>AVERAGEIFS('Raw Data Sales'!G346:G1344, 'Raw Data Sales'!E346:E1344, A346)</f>
        <v>605.06</v>
      </c>
      <c r="F346" s="6" t="str">
        <f t="shared" ref="F346:F715" si="2">INDEX(A346:A2339, MATCH(MAX(D346:D2339), D346:D2339, 0))</f>
        <v>Floral Wrap Top</v>
      </c>
    </row>
    <row r="347">
      <c r="A347" s="6" t="str">
        <f>IFERROR(__xludf.DUMMYFUNCTION("""COMPUTED_VALUE"""),"Kids' Educational Tablet")</f>
        <v>Kids' Educational Tablet</v>
      </c>
      <c r="B347" s="6" t="str">
        <f t="array" ref="B347">INDEX('Raw Data Sales'!F347:F1345, MATCH(A347, 'Raw Data Sales'!E347:E1345, 0))</f>
        <v>Electronics</v>
      </c>
      <c r="C347" s="6">
        <f>SUMIFS('Raw Data Sales'!M347:M1345, 'Raw Data Sales'!E347:E1345,A347)</f>
        <v>67</v>
      </c>
      <c r="D347" s="6">
        <f>SUMIFS('Raw Data Sales'!N347:N1345, 'Raw Data Sales'!E347:E1345, A347)</f>
        <v>9211.94</v>
      </c>
      <c r="E347" s="6">
        <f>AVERAGEIFS('Raw Data Sales'!G347:G1345, 'Raw Data Sales'!E347:E1345, A347)</f>
        <v>450.1</v>
      </c>
      <c r="F347" s="6" t="str">
        <f t="shared" si="2"/>
        <v>Floral Wrap Top</v>
      </c>
    </row>
    <row r="348">
      <c r="A348" s="6" t="str">
        <f>IFERROR(__xludf.DUMMYFUNCTION("""COMPUTED_VALUE"""),"Fruit &amp; Nut Trail Mix")</f>
        <v>Fruit &amp; Nut Trail Mix</v>
      </c>
      <c r="B348" s="6" t="str">
        <f t="array" ref="B348">INDEX('Raw Data Sales'!F348:F1346, MATCH(A348, 'Raw Data Sales'!E348:E1346, 0))</f>
        <v>Food - Snacks</v>
      </c>
      <c r="C348" s="6">
        <f>SUMIFS('Raw Data Sales'!M348:M1346, 'Raw Data Sales'!E348:E1346,A348)</f>
        <v>39</v>
      </c>
      <c r="D348" s="6">
        <f>SUMIFS('Raw Data Sales'!N348:N1346, 'Raw Data Sales'!E348:E1346, A348)</f>
        <v>7373.2</v>
      </c>
      <c r="E348" s="6">
        <f>AVERAGEIFS('Raw Data Sales'!G348:G1346, 'Raw Data Sales'!E348:E1346, A348)</f>
        <v>88.03</v>
      </c>
      <c r="F348" s="6" t="str">
        <f t="shared" si="2"/>
        <v>Floral Wrap Top</v>
      </c>
    </row>
    <row r="349">
      <c r="A349" s="6" t="str">
        <f>IFERROR(__xludf.DUMMYFUNCTION("""COMPUTED_VALUE"""),"Freestanding Wine Rack")</f>
        <v>Freestanding Wine Rack</v>
      </c>
      <c r="B349" s="6" t="str">
        <f t="array" ref="B349">INDEX('Raw Data Sales'!F349:F1347, MATCH(A349, 'Raw Data Sales'!E349:E1347, 0))</f>
        <v>Home</v>
      </c>
      <c r="C349" s="6">
        <f>SUMIFS('Raw Data Sales'!M349:M1347, 'Raw Data Sales'!E349:E1347,A349)</f>
        <v>94</v>
      </c>
      <c r="D349" s="6">
        <f>SUMIFS('Raw Data Sales'!N349:N1347, 'Raw Data Sales'!E349:E1347, A349)</f>
        <v>4563.7</v>
      </c>
      <c r="E349" s="6">
        <f>AVERAGEIFS('Raw Data Sales'!G349:G1347, 'Raw Data Sales'!E349:E1347, A349)</f>
        <v>79.81</v>
      </c>
      <c r="F349" s="6" t="str">
        <f t="shared" si="2"/>
        <v>Floral Wrap Top</v>
      </c>
    </row>
    <row r="350">
      <c r="A350" s="6" t="str">
        <f>IFERROR(__xludf.DUMMYFUNCTION("""COMPUTED_VALUE"""),"Honey mustard chicken tenders")</f>
        <v>Honey mustard chicken tenders</v>
      </c>
      <c r="B350" s="6" t="str">
        <f t="array" ref="B350">INDEX('Raw Data Sales'!F350:F1348, MATCH(A350, 'Raw Data Sales'!E350:E1348, 0))</f>
        <v>Food - Meat</v>
      </c>
      <c r="C350" s="6">
        <f>SUMIFS('Raw Data Sales'!M350:M1348, 'Raw Data Sales'!E350:E1348,A350)</f>
        <v>58</v>
      </c>
      <c r="D350" s="6">
        <f>SUMIFS('Raw Data Sales'!N350:N1348, 'Raw Data Sales'!E350:E1348, A350)</f>
        <v>6537.7</v>
      </c>
      <c r="E350" s="6">
        <f>AVERAGEIFS('Raw Data Sales'!G350:G1348, 'Raw Data Sales'!E350:E1348, A350)</f>
        <v>313.92</v>
      </c>
      <c r="F350" s="6" t="str">
        <f t="shared" si="2"/>
        <v>Floral Wrap Top</v>
      </c>
    </row>
    <row r="351">
      <c r="A351" s="6" t="str">
        <f>IFERROR(__xludf.DUMMYFUNCTION("""COMPUTED_VALUE"""),"Mini Waffle Maker")</f>
        <v>Mini Waffle Maker</v>
      </c>
      <c r="B351" s="6" t="str">
        <f t="array" ref="B351">INDEX('Raw Data Sales'!F351:F1349, MATCH(A351, 'Raw Data Sales'!E351:E1349, 0))</f>
        <v>Kitchen</v>
      </c>
      <c r="C351" s="6">
        <f>SUMIFS('Raw Data Sales'!M351:M1349, 'Raw Data Sales'!E351:E1349,A351)</f>
        <v>44</v>
      </c>
      <c r="D351" s="6">
        <f>SUMIFS('Raw Data Sales'!N351:N1349, 'Raw Data Sales'!E351:E1349, A351)</f>
        <v>9806.38</v>
      </c>
      <c r="E351" s="6">
        <f>AVERAGEIFS('Raw Data Sales'!G351:G1349, 'Raw Data Sales'!E351:E1349, A351)</f>
        <v>83.78</v>
      </c>
      <c r="F351" s="6" t="str">
        <f t="shared" si="2"/>
        <v>Floral Wrap Top</v>
      </c>
    </row>
    <row r="352">
      <c r="A352" s="6" t="str">
        <f>IFERROR(__xludf.DUMMYFUNCTION("""COMPUTED_VALUE"""),"Baked Falafel")</f>
        <v>Baked Falafel</v>
      </c>
      <c r="B352" s="6" t="str">
        <f t="array" ref="B352">INDEX('Raw Data Sales'!F352:F1350, MATCH(A352, 'Raw Data Sales'!E352:E1350, 0))</f>
        <v>Food - Vegetarian</v>
      </c>
      <c r="C352" s="6">
        <f>SUMIFS('Raw Data Sales'!M352:M1350, 'Raw Data Sales'!E352:E1350,A352)</f>
        <v>77</v>
      </c>
      <c r="D352" s="6">
        <f>SUMIFS('Raw Data Sales'!N352:N1350, 'Raw Data Sales'!E352:E1350, A352)</f>
        <v>4197.41</v>
      </c>
      <c r="E352" s="6">
        <f>AVERAGEIFS('Raw Data Sales'!G352:G1350, 'Raw Data Sales'!E352:E1350, A352)</f>
        <v>692.6</v>
      </c>
      <c r="F352" s="6" t="str">
        <f t="shared" si="2"/>
        <v>Floral Wrap Top</v>
      </c>
    </row>
    <row r="353">
      <c r="A353" s="6" t="str">
        <f>IFERROR(__xludf.DUMMYFUNCTION("""COMPUTED_VALUE"""),"Sliced Bell Peppers")</f>
        <v>Sliced Bell Peppers</v>
      </c>
      <c r="B353" s="6" t="str">
        <f t="array" ref="B353">INDEX('Raw Data Sales'!F353:F1351, MATCH(A353, 'Raw Data Sales'!E353:E1351, 0))</f>
        <v>Food - Fresh Produce</v>
      </c>
      <c r="C353" s="6">
        <f>SUMIFS('Raw Data Sales'!M353:M1351, 'Raw Data Sales'!E353:E1351,A353)</f>
        <v>74</v>
      </c>
      <c r="D353" s="6">
        <f>SUMIFS('Raw Data Sales'!N353:N1351, 'Raw Data Sales'!E353:E1351, A353)</f>
        <v>756.39</v>
      </c>
      <c r="E353" s="6">
        <f>AVERAGEIFS('Raw Data Sales'!G353:G1351, 'Raw Data Sales'!E353:E1351, A353)</f>
        <v>872.34</v>
      </c>
      <c r="F353" s="6" t="str">
        <f t="shared" si="2"/>
        <v>Floral Wrap Top</v>
      </c>
    </row>
    <row r="354">
      <c r="A354" s="6" t="str">
        <f>IFERROR(__xludf.DUMMYFUNCTION("""COMPUTED_VALUE"""),"Maple Glazed Carrots")</f>
        <v>Maple Glazed Carrots</v>
      </c>
      <c r="B354" s="6" t="str">
        <f t="array" ref="B354">INDEX('Raw Data Sales'!F354:F1352, MATCH(A354, 'Raw Data Sales'!E354:E1352, 0))</f>
        <v>Food - Prepared Foods</v>
      </c>
      <c r="C354" s="6">
        <f>SUMIFS('Raw Data Sales'!M354:M1352, 'Raw Data Sales'!E354:E1352,A354)</f>
        <v>63</v>
      </c>
      <c r="D354" s="6">
        <f>SUMIFS('Raw Data Sales'!N354:N1352, 'Raw Data Sales'!E354:E1352, A354)</f>
        <v>4449.81</v>
      </c>
      <c r="E354" s="6">
        <f>AVERAGEIFS('Raw Data Sales'!G354:G1352, 'Raw Data Sales'!E354:E1352, A354)</f>
        <v>466.8</v>
      </c>
      <c r="F354" s="6" t="str">
        <f t="shared" si="2"/>
        <v>Floral Wrap Top</v>
      </c>
    </row>
    <row r="355">
      <c r="A355" s="6" t="str">
        <f>IFERROR(__xludf.DUMMYFUNCTION("""COMPUTED_VALUE"""),"Vegetarian Pizza")</f>
        <v>Vegetarian Pizza</v>
      </c>
      <c r="B355" s="6" t="str">
        <f t="array" ref="B355">INDEX('Raw Data Sales'!F355:F1353, MATCH(A355, 'Raw Data Sales'!E355:E1353, 0))</f>
        <v>Food - Frozen Foods</v>
      </c>
      <c r="C355" s="6">
        <f>SUMIFS('Raw Data Sales'!M355:M1353, 'Raw Data Sales'!E355:E1353,A355)</f>
        <v>147</v>
      </c>
      <c r="D355" s="6">
        <f>SUMIFS('Raw Data Sales'!N355:N1353, 'Raw Data Sales'!E355:E1353, A355)</f>
        <v>14732.15</v>
      </c>
      <c r="E355" s="6">
        <f>AVERAGEIFS('Raw Data Sales'!G355:G1353, 'Raw Data Sales'!E355:E1353, A355)</f>
        <v>962.67</v>
      </c>
      <c r="F355" s="6" t="str">
        <f t="shared" si="2"/>
        <v>Floral Wrap Top</v>
      </c>
    </row>
    <row r="356">
      <c r="A356" s="6" t="str">
        <f>IFERROR(__xludf.DUMMYFUNCTION("""COMPUTED_VALUE"""),"Collapsible Folding Chair")</f>
        <v>Collapsible Folding Chair</v>
      </c>
      <c r="B356" s="6" t="str">
        <f t="array" ref="B356">INDEX('Raw Data Sales'!F356:F1354, MATCH(A356, 'Raw Data Sales'!E356:E1354, 0))</f>
        <v>Outdoor</v>
      </c>
      <c r="C356" s="6">
        <f>SUMIFS('Raw Data Sales'!M356:M1354, 'Raw Data Sales'!E356:E1354,A356)</f>
        <v>66</v>
      </c>
      <c r="D356" s="6">
        <f>SUMIFS('Raw Data Sales'!N356:N1354, 'Raw Data Sales'!E356:E1354, A356)</f>
        <v>15560.1</v>
      </c>
      <c r="E356" s="6">
        <f>AVERAGEIFS('Raw Data Sales'!G356:G1354, 'Raw Data Sales'!E356:E1354, A356)</f>
        <v>362.36</v>
      </c>
      <c r="F356" s="6" t="str">
        <f t="shared" si="2"/>
        <v>Floral Wrap Top</v>
      </c>
    </row>
    <row r="357">
      <c r="A357" s="6" t="str">
        <f>IFERROR(__xludf.DUMMYFUNCTION("""COMPUTED_VALUE"""),"Set of Herb Garden Markers")</f>
        <v>Set of Herb Garden Markers</v>
      </c>
      <c r="B357" s="6" t="str">
        <f t="array" ref="B357">INDEX('Raw Data Sales'!F357:F1355, MATCH(A357, 'Raw Data Sales'!E357:E1355, 0))</f>
        <v>Garden</v>
      </c>
      <c r="C357" s="6">
        <f>SUMIFS('Raw Data Sales'!M357:M1355, 'Raw Data Sales'!E357:E1355,A357)</f>
        <v>14</v>
      </c>
      <c r="D357" s="6">
        <f>SUMIFS('Raw Data Sales'!N357:N1355, 'Raw Data Sales'!E357:E1355, A357)</f>
        <v>4460.3</v>
      </c>
      <c r="E357" s="6">
        <f>AVERAGEIFS('Raw Data Sales'!G357:G1355, 'Raw Data Sales'!E357:E1355, A357)</f>
        <v>718.37</v>
      </c>
      <c r="F357" s="6" t="str">
        <f t="shared" si="2"/>
        <v>Floral Wrap Top</v>
      </c>
    </row>
    <row r="358">
      <c r="A358" s="6" t="str">
        <f>IFERROR(__xludf.DUMMYFUNCTION("""COMPUTED_VALUE"""),"Relaxed Fit Henley Shirt")</f>
        <v>Relaxed Fit Henley Shirt</v>
      </c>
      <c r="B358" s="6" t="str">
        <f t="array" ref="B358">INDEX('Raw Data Sales'!F358:F1356, MATCH(A358, 'Raw Data Sales'!E358:E1356, 0))</f>
        <v>Clothing - Tops</v>
      </c>
      <c r="C358" s="6">
        <f>SUMIFS('Raw Data Sales'!M358:M1356, 'Raw Data Sales'!E358:E1356,A358)</f>
        <v>26</v>
      </c>
      <c r="D358" s="6">
        <f>SUMIFS('Raw Data Sales'!N358:N1356, 'Raw Data Sales'!E358:E1356, A358)</f>
        <v>8193.2</v>
      </c>
      <c r="E358" s="6">
        <f>AVERAGEIFS('Raw Data Sales'!G358:G1356, 'Raw Data Sales'!E358:E1356, A358)</f>
        <v>575.99</v>
      </c>
      <c r="F358" s="6" t="str">
        <f t="shared" si="2"/>
        <v>Floral Wrap Top</v>
      </c>
    </row>
    <row r="359">
      <c r="A359" s="6" t="str">
        <f>IFERROR(__xludf.DUMMYFUNCTION("""COMPUTED_VALUE"""),"Plant-Based Meal Prep Containers")</f>
        <v>Plant-Based Meal Prep Containers</v>
      </c>
      <c r="B359" s="6" t="str">
        <f t="array" ref="B359">INDEX('Raw Data Sales'!F359:F1357, MATCH(A359, 'Raw Data Sales'!E359:E1357, 0))</f>
        <v>Kitchen</v>
      </c>
      <c r="C359" s="6">
        <f>SUMIFS('Raw Data Sales'!M359:M1357, 'Raw Data Sales'!E359:E1357,A359)</f>
        <v>68</v>
      </c>
      <c r="D359" s="6">
        <f>SUMIFS('Raw Data Sales'!N359:N1357, 'Raw Data Sales'!E359:E1357, A359)</f>
        <v>1014.73</v>
      </c>
      <c r="E359" s="6">
        <f>AVERAGEIFS('Raw Data Sales'!G359:G1357, 'Raw Data Sales'!E359:E1357, A359)</f>
        <v>635.06</v>
      </c>
      <c r="F359" s="6" t="str">
        <f t="shared" si="2"/>
        <v>Floral Wrap Top</v>
      </c>
    </row>
    <row r="360">
      <c r="A360" s="6" t="str">
        <f>IFERROR(__xludf.DUMMYFUNCTION("""COMPUTED_VALUE"""),"Pleated Midi Dress")</f>
        <v>Pleated Midi Dress</v>
      </c>
      <c r="B360" s="6" t="str">
        <f t="array" ref="B360">INDEX('Raw Data Sales'!F360:F1358, MATCH(A360, 'Raw Data Sales'!E360:E1358, 0))</f>
        <v>Clothing - Dresses</v>
      </c>
      <c r="C360" s="6">
        <f>SUMIFS('Raw Data Sales'!M360:M1358, 'Raw Data Sales'!E360:E1358,A360)</f>
        <v>7</v>
      </c>
      <c r="D360" s="6">
        <f>SUMIFS('Raw Data Sales'!N360:N1358, 'Raw Data Sales'!E360:E1358, A360)</f>
        <v>3557.27</v>
      </c>
      <c r="E360" s="6">
        <f>AVERAGEIFS('Raw Data Sales'!G360:G1358, 'Raw Data Sales'!E360:E1358, A360)</f>
        <v>21.24</v>
      </c>
      <c r="F360" s="6" t="str">
        <f t="shared" si="2"/>
        <v>Floral Wrap Top</v>
      </c>
    </row>
    <row r="361">
      <c r="A361" s="6" t="str">
        <f>IFERROR(__xludf.DUMMYFUNCTION("""COMPUTED_VALUE"""),"Classic Cheeseburger Mix")</f>
        <v>Classic Cheeseburger Mix</v>
      </c>
      <c r="B361" s="6" t="str">
        <f t="array" ref="B361">INDEX('Raw Data Sales'!F361:F1359, MATCH(A361, 'Raw Data Sales'!E361:E1359, 0))</f>
        <v>Food - Meats</v>
      </c>
      <c r="C361" s="6">
        <f>SUMIFS('Raw Data Sales'!M361:M1359, 'Raw Data Sales'!E361:E1359,A361)</f>
        <v>16</v>
      </c>
      <c r="D361" s="6">
        <f>SUMIFS('Raw Data Sales'!N361:N1359, 'Raw Data Sales'!E361:E1359, A361)</f>
        <v>3765.78</v>
      </c>
      <c r="E361" s="6">
        <f>AVERAGEIFS('Raw Data Sales'!G361:G1359, 'Raw Data Sales'!E361:E1359, A361)</f>
        <v>787.25</v>
      </c>
      <c r="F361" s="6" t="str">
        <f t="shared" si="2"/>
        <v>Floral Wrap Top</v>
      </c>
    </row>
    <row r="362">
      <c r="A362" s="6" t="str">
        <f>IFERROR(__xludf.DUMMYFUNCTION("""COMPUTED_VALUE"""),"Self-Watering Planter")</f>
        <v>Self-Watering Planter</v>
      </c>
      <c r="B362" s="6" t="str">
        <f t="array" ref="B362">INDEX('Raw Data Sales'!F362:F1360, MATCH(A362, 'Raw Data Sales'!E362:E1360, 0))</f>
        <v>Garden</v>
      </c>
      <c r="C362" s="6">
        <f>SUMIFS('Raw Data Sales'!M362:M1360, 'Raw Data Sales'!E362:E1360,A362)</f>
        <v>25</v>
      </c>
      <c r="D362" s="6">
        <f>SUMIFS('Raw Data Sales'!N362:N1360, 'Raw Data Sales'!E362:E1360, A362)</f>
        <v>7364.18</v>
      </c>
      <c r="E362" s="6">
        <f>AVERAGEIFS('Raw Data Sales'!G362:G1360, 'Raw Data Sales'!E362:E1360, A362)</f>
        <v>644.73</v>
      </c>
      <c r="F362" s="6" t="str">
        <f t="shared" si="2"/>
        <v>Floral Wrap Top</v>
      </c>
    </row>
    <row r="363">
      <c r="A363" s="6" t="str">
        <f>IFERROR(__xludf.DUMMYFUNCTION("""COMPUTED_VALUE"""),"Heart-Shaped Baking Molds")</f>
        <v>Heart-Shaped Baking Molds</v>
      </c>
      <c r="B363" s="6" t="str">
        <f t="array" ref="B363">INDEX('Raw Data Sales'!F363:F1361, MATCH(A363, 'Raw Data Sales'!E363:E1361, 0))</f>
        <v>Kitchen</v>
      </c>
      <c r="C363" s="6">
        <f>SUMIFS('Raw Data Sales'!M363:M1361, 'Raw Data Sales'!E363:E1361,A363)</f>
        <v>110</v>
      </c>
      <c r="D363" s="6">
        <f>SUMIFS('Raw Data Sales'!N363:N1361, 'Raw Data Sales'!E363:E1361, A363)</f>
        <v>8384.78</v>
      </c>
      <c r="E363" s="6">
        <f>AVERAGEIFS('Raw Data Sales'!G363:G1361, 'Raw Data Sales'!E363:E1361, A363)</f>
        <v>963.205</v>
      </c>
      <c r="F363" s="6" t="str">
        <f t="shared" si="2"/>
        <v>Floral Wrap Top</v>
      </c>
    </row>
    <row r="364">
      <c r="A364" s="6" t="str">
        <f>IFERROR(__xludf.DUMMYFUNCTION("""COMPUTED_VALUE"""),"Lemon Herb Grilled Chicken")</f>
        <v>Lemon Herb Grilled Chicken</v>
      </c>
      <c r="B364" s="6" t="str">
        <f t="array" ref="B364">INDEX('Raw Data Sales'!F364:F1362, MATCH(A364, 'Raw Data Sales'!E364:E1362, 0))</f>
        <v>Food - Meat</v>
      </c>
      <c r="C364" s="6">
        <f>SUMIFS('Raw Data Sales'!M364:M1362, 'Raw Data Sales'!E364:E1362,A364)</f>
        <v>49</v>
      </c>
      <c r="D364" s="6">
        <f>SUMIFS('Raw Data Sales'!N364:N1362, 'Raw Data Sales'!E364:E1362, A364)</f>
        <v>4565.21</v>
      </c>
      <c r="E364" s="6">
        <f>AVERAGEIFS('Raw Data Sales'!G364:G1362, 'Raw Data Sales'!E364:E1362, A364)</f>
        <v>58.82</v>
      </c>
      <c r="F364" s="6" t="str">
        <f t="shared" si="2"/>
        <v>Floral Wrap Top</v>
      </c>
    </row>
    <row r="365">
      <c r="A365" s="6" t="str">
        <f>IFERROR(__xludf.DUMMYFUNCTION("""COMPUTED_VALUE"""),"Karaoke Microphone")</f>
        <v>Karaoke Microphone</v>
      </c>
      <c r="B365" s="6" t="str">
        <f t="array" ref="B365">INDEX('Raw Data Sales'!F365:F1363, MATCH(A365, 'Raw Data Sales'!E365:E1363, 0))</f>
        <v>Music</v>
      </c>
      <c r="C365" s="6">
        <f>SUMIFS('Raw Data Sales'!M365:M1363, 'Raw Data Sales'!E365:E1363,A365)</f>
        <v>58</v>
      </c>
      <c r="D365" s="6">
        <f>SUMIFS('Raw Data Sales'!N365:N1363, 'Raw Data Sales'!E365:E1363, A365)</f>
        <v>5810.46</v>
      </c>
      <c r="E365" s="6">
        <f>AVERAGEIFS('Raw Data Sales'!G365:G1363, 'Raw Data Sales'!E365:E1363, A365)</f>
        <v>591.63</v>
      </c>
      <c r="F365" s="6" t="str">
        <f t="shared" si="2"/>
        <v>Floral Wrap Top</v>
      </c>
    </row>
    <row r="366">
      <c r="A366" s="6" t="str">
        <f>IFERROR(__xludf.DUMMYFUNCTION("""COMPUTED_VALUE"""),"Grilled Vegetable Medley")</f>
        <v>Grilled Vegetable Medley</v>
      </c>
      <c r="B366" s="6" t="str">
        <f t="array" ref="B366">INDEX('Raw Data Sales'!F366:F1364, MATCH(A366, 'Raw Data Sales'!E366:E1364, 0))</f>
        <v>Food - Vegetables</v>
      </c>
      <c r="C366" s="6">
        <f>SUMIFS('Raw Data Sales'!M366:M1364, 'Raw Data Sales'!E366:E1364,A366)</f>
        <v>93</v>
      </c>
      <c r="D366" s="6">
        <f>SUMIFS('Raw Data Sales'!N366:N1364, 'Raw Data Sales'!E366:E1364, A366)</f>
        <v>3465.81</v>
      </c>
      <c r="E366" s="6">
        <f>AVERAGEIFS('Raw Data Sales'!G366:G1364, 'Raw Data Sales'!E366:E1364, A366)</f>
        <v>816.42</v>
      </c>
      <c r="F366" s="6" t="str">
        <f t="shared" si="2"/>
        <v>Floral Wrap Top</v>
      </c>
    </row>
    <row r="367">
      <c r="A367" s="6" t="str">
        <f>IFERROR(__xludf.DUMMYFUNCTION("""COMPUTED_VALUE"""),"Faux Fur Throw Blanket")</f>
        <v>Faux Fur Throw Blanket</v>
      </c>
      <c r="B367" s="6" t="str">
        <f t="array" ref="B367">INDEX('Raw Data Sales'!F367:F1365, MATCH(A367, 'Raw Data Sales'!E367:E1365, 0))</f>
        <v>Home</v>
      </c>
      <c r="C367" s="6">
        <f>SUMIFS('Raw Data Sales'!M367:M1365, 'Raw Data Sales'!E367:E1365,A367)</f>
        <v>66</v>
      </c>
      <c r="D367" s="6">
        <f>SUMIFS('Raw Data Sales'!N367:N1365, 'Raw Data Sales'!E367:E1365, A367)</f>
        <v>5507.58</v>
      </c>
      <c r="E367" s="6">
        <f>AVERAGEIFS('Raw Data Sales'!G367:G1365, 'Raw Data Sales'!E367:E1365, A367)</f>
        <v>684.305</v>
      </c>
      <c r="F367" s="6" t="str">
        <f t="shared" si="2"/>
        <v>Floral Wrap Top</v>
      </c>
    </row>
    <row r="368">
      <c r="A368" s="6" t="str">
        <f>IFERROR(__xludf.DUMMYFUNCTION("""COMPUTED_VALUE"""),"Honey Sriracha Chicken Bites")</f>
        <v>Honey Sriracha Chicken Bites</v>
      </c>
      <c r="B368" s="6" t="str">
        <f t="array" ref="B368">INDEX('Raw Data Sales'!F368:F1366, MATCH(A368, 'Raw Data Sales'!E368:E1366, 0))</f>
        <v>Food - Frozen Foods</v>
      </c>
      <c r="C368" s="6">
        <f>SUMIFS('Raw Data Sales'!M368:M1366, 'Raw Data Sales'!E368:E1366,A368)</f>
        <v>33</v>
      </c>
      <c r="D368" s="6">
        <f>SUMIFS('Raw Data Sales'!N368:N1366, 'Raw Data Sales'!E368:E1366, A368)</f>
        <v>9224.07</v>
      </c>
      <c r="E368" s="6">
        <f>AVERAGEIFS('Raw Data Sales'!G368:G1366, 'Raw Data Sales'!E368:E1366, A368)</f>
        <v>596.06</v>
      </c>
      <c r="F368" s="6" t="str">
        <f t="shared" si="2"/>
        <v>Floral Wrap Top</v>
      </c>
    </row>
    <row r="369">
      <c r="A369" s="6" t="str">
        <f>IFERROR(__xludf.DUMMYFUNCTION("""COMPUTED_VALUE"""),"Vegetarian Sausage Links")</f>
        <v>Vegetarian Sausage Links</v>
      </c>
      <c r="B369" s="6" t="str">
        <f t="array" ref="B369">INDEX('Raw Data Sales'!F369:F1367, MATCH(A369, 'Raw Data Sales'!E369:E1367, 0))</f>
        <v>Food - Meat Substitutes</v>
      </c>
      <c r="C369" s="6">
        <f>SUMIFS('Raw Data Sales'!M369:M1367, 'Raw Data Sales'!E369:E1367,A369)</f>
        <v>176</v>
      </c>
      <c r="D369" s="6">
        <f>SUMIFS('Raw Data Sales'!N369:N1367, 'Raw Data Sales'!E369:E1367, A369)</f>
        <v>5352.8</v>
      </c>
      <c r="E369" s="6">
        <f>AVERAGEIFS('Raw Data Sales'!G369:G1367, 'Raw Data Sales'!E369:E1367, A369)</f>
        <v>830.4366667</v>
      </c>
      <c r="F369" s="6" t="str">
        <f t="shared" si="2"/>
        <v>Floral Wrap Top</v>
      </c>
    </row>
    <row r="370">
      <c r="A370" s="6" t="str">
        <f>IFERROR(__xludf.DUMMYFUNCTION("""COMPUTED_VALUE"""),"Vegan Protein Powder")</f>
        <v>Vegan Protein Powder</v>
      </c>
      <c r="B370" s="6" t="str">
        <f t="array" ref="B370">INDEX('Raw Data Sales'!F370:F1368, MATCH(A370, 'Raw Data Sales'!E370:E1368, 0))</f>
        <v>Health</v>
      </c>
      <c r="C370" s="6">
        <f>SUMIFS('Raw Data Sales'!M370:M1368, 'Raw Data Sales'!E370:E1368,A370)</f>
        <v>91</v>
      </c>
      <c r="D370" s="6">
        <f>SUMIFS('Raw Data Sales'!N370:N1368, 'Raw Data Sales'!E370:E1368, A370)</f>
        <v>3894.5</v>
      </c>
      <c r="E370" s="6">
        <f>AVERAGEIFS('Raw Data Sales'!G370:G1368, 'Raw Data Sales'!E370:E1368, A370)</f>
        <v>217.67</v>
      </c>
      <c r="F370" s="6" t="str">
        <f t="shared" si="2"/>
        <v>Floral Wrap Top</v>
      </c>
    </row>
    <row r="371">
      <c r="A371" s="6" t="str">
        <f>IFERROR(__xludf.DUMMYFUNCTION("""COMPUTED_VALUE"""),"Digital Photo Frame")</f>
        <v>Digital Photo Frame</v>
      </c>
      <c r="B371" s="6" t="str">
        <f t="array" ref="B371">INDEX('Raw Data Sales'!F371:F1369, MATCH(A371, 'Raw Data Sales'!E371:E1369, 0))</f>
        <v>Home</v>
      </c>
      <c r="C371" s="6">
        <f>SUMIFS('Raw Data Sales'!M371:M1369, 'Raw Data Sales'!E371:E1369,A371)</f>
        <v>98</v>
      </c>
      <c r="D371" s="6">
        <f>SUMIFS('Raw Data Sales'!N371:N1369, 'Raw Data Sales'!E371:E1369, A371)</f>
        <v>5550.27</v>
      </c>
      <c r="E371" s="6">
        <f>AVERAGEIFS('Raw Data Sales'!G371:G1369, 'Raw Data Sales'!E371:E1369, A371)</f>
        <v>475.55</v>
      </c>
      <c r="F371" s="6" t="str">
        <f t="shared" si="2"/>
        <v>Floral Wrap Top</v>
      </c>
    </row>
    <row r="372">
      <c r="A372" s="6" t="str">
        <f>IFERROR(__xludf.DUMMYFUNCTION("""COMPUTED_VALUE"""),"Almond Flour Brownies")</f>
        <v>Almond Flour Brownies</v>
      </c>
      <c r="B372" s="6" t="str">
        <f t="array" ref="B372">INDEX('Raw Data Sales'!F372:F1370, MATCH(A372, 'Raw Data Sales'!E372:E1370, 0))</f>
        <v>Food - Baking</v>
      </c>
      <c r="C372" s="6">
        <f>SUMIFS('Raw Data Sales'!M372:M1370, 'Raw Data Sales'!E372:E1370,A372)</f>
        <v>68</v>
      </c>
      <c r="D372" s="6">
        <f>SUMIFS('Raw Data Sales'!N372:N1370, 'Raw Data Sales'!E372:E1370, A372)</f>
        <v>7981.24</v>
      </c>
      <c r="E372" s="6">
        <f>AVERAGEIFS('Raw Data Sales'!G372:G1370, 'Raw Data Sales'!E372:E1370, A372)</f>
        <v>133.205</v>
      </c>
      <c r="F372" s="6" t="str">
        <f t="shared" si="2"/>
        <v>Floral Wrap Top</v>
      </c>
    </row>
    <row r="373">
      <c r="A373" s="6" t="str">
        <f>IFERROR(__xludf.DUMMYFUNCTION("""COMPUTED_VALUE"""),"Nut Mix")</f>
        <v>Nut Mix</v>
      </c>
      <c r="B373" s="6" t="str">
        <f t="array" ref="B373">INDEX('Raw Data Sales'!F373:F1371, MATCH(A373, 'Raw Data Sales'!E373:E1371, 0))</f>
        <v>Food - Snacks</v>
      </c>
      <c r="C373" s="6">
        <f>SUMIFS('Raw Data Sales'!M373:M1371, 'Raw Data Sales'!E373:E1371,A373)</f>
        <v>9</v>
      </c>
      <c r="D373" s="6">
        <f>SUMIFS('Raw Data Sales'!N373:N1371, 'Raw Data Sales'!E373:E1371, A373)</f>
        <v>3265.34</v>
      </c>
      <c r="E373" s="6">
        <f>AVERAGEIFS('Raw Data Sales'!G373:G1371, 'Raw Data Sales'!E373:E1371, A373)</f>
        <v>776.14</v>
      </c>
      <c r="F373" s="6" t="str">
        <f t="shared" si="2"/>
        <v>Floral Wrap Top</v>
      </c>
    </row>
    <row r="374">
      <c r="A374" s="6" t="str">
        <f>IFERROR(__xludf.DUMMYFUNCTION("""COMPUTED_VALUE"""),"Mini Projector for Smartphones")</f>
        <v>Mini Projector for Smartphones</v>
      </c>
      <c r="B374" s="6" t="str">
        <f t="array" ref="B374">INDEX('Raw Data Sales'!F374:F1372, MATCH(A374, 'Raw Data Sales'!E374:E1372, 0))</f>
        <v>Electronics</v>
      </c>
      <c r="C374" s="6">
        <f>SUMIFS('Raw Data Sales'!M374:M1372, 'Raw Data Sales'!E374:E1372,A374)</f>
        <v>93</v>
      </c>
      <c r="D374" s="6">
        <f>SUMIFS('Raw Data Sales'!N374:N1372, 'Raw Data Sales'!E374:E1372, A374)</f>
        <v>9057.15</v>
      </c>
      <c r="E374" s="6">
        <f>AVERAGEIFS('Raw Data Sales'!G374:G1372, 'Raw Data Sales'!E374:E1372, A374)</f>
        <v>804.4</v>
      </c>
      <c r="F374" s="6" t="str">
        <f t="shared" si="2"/>
        <v>Floral Wrap Top</v>
      </c>
    </row>
    <row r="375">
      <c r="A375" s="6" t="str">
        <f>IFERROR(__xludf.DUMMYFUNCTION("""COMPUTED_VALUE"""),"Garden Tool Belt")</f>
        <v>Garden Tool Belt</v>
      </c>
      <c r="B375" s="6" t="str">
        <f t="array" ref="B375">INDEX('Raw Data Sales'!F375:F1373, MATCH(A375, 'Raw Data Sales'!E375:E1373, 0))</f>
        <v>Garden</v>
      </c>
      <c r="C375" s="6">
        <f>SUMIFS('Raw Data Sales'!M375:M1373, 'Raw Data Sales'!E375:E1373,A375)</f>
        <v>199</v>
      </c>
      <c r="D375" s="6">
        <f>SUMIFS('Raw Data Sales'!N375:N1373, 'Raw Data Sales'!E375:E1373, A375)</f>
        <v>5956.22</v>
      </c>
      <c r="E375" s="6">
        <f>AVERAGEIFS('Raw Data Sales'!G375:G1373, 'Raw Data Sales'!E375:E1373, A375)</f>
        <v>409.21</v>
      </c>
      <c r="F375" s="6" t="str">
        <f t="shared" si="2"/>
        <v>Floral Wrap Top</v>
      </c>
    </row>
    <row r="376">
      <c r="A376" s="6" t="str">
        <f>IFERROR(__xludf.DUMMYFUNCTION("""COMPUTED_VALUE"""),"Pineapple Coconut Yogurt")</f>
        <v>Pineapple Coconut Yogurt</v>
      </c>
      <c r="B376" s="6" t="str">
        <f t="array" ref="B376">INDEX('Raw Data Sales'!F376:F1374, MATCH(A376, 'Raw Data Sales'!E376:E1374, 0))</f>
        <v>Food - Dairy</v>
      </c>
      <c r="C376" s="6">
        <f>SUMIFS('Raw Data Sales'!M376:M1374, 'Raw Data Sales'!E376:E1374,A376)</f>
        <v>114</v>
      </c>
      <c r="D376" s="6">
        <f>SUMIFS('Raw Data Sales'!N376:N1374, 'Raw Data Sales'!E376:E1374, A376)</f>
        <v>14933.15</v>
      </c>
      <c r="E376" s="6">
        <f>AVERAGEIFS('Raw Data Sales'!G376:G1374, 'Raw Data Sales'!E376:E1374, A376)</f>
        <v>918.005</v>
      </c>
      <c r="F376" s="6" t="str">
        <f t="shared" si="2"/>
        <v>Floral Wrap Top</v>
      </c>
    </row>
    <row r="377">
      <c r="A377" s="6" t="str">
        <f>IFERROR(__xludf.DUMMYFUNCTION("""COMPUTED_VALUE"""),"Infrared Space Heater")</f>
        <v>Infrared Space Heater</v>
      </c>
      <c r="B377" s="6" t="str">
        <f t="array" ref="B377">INDEX('Raw Data Sales'!F377:F1375, MATCH(A377, 'Raw Data Sales'!E377:E1375, 0))</f>
        <v>Home Appliances</v>
      </c>
      <c r="C377" s="6">
        <f>SUMIFS('Raw Data Sales'!M377:M1375, 'Raw Data Sales'!E377:E1375,A377)</f>
        <v>24</v>
      </c>
      <c r="D377" s="6">
        <f>SUMIFS('Raw Data Sales'!N377:N1375, 'Raw Data Sales'!E377:E1375, A377)</f>
        <v>4519.62</v>
      </c>
      <c r="E377" s="6">
        <f>AVERAGEIFS('Raw Data Sales'!G377:G1375, 'Raw Data Sales'!E377:E1375, A377)</f>
        <v>130.21</v>
      </c>
      <c r="F377" s="6" t="str">
        <f t="shared" si="2"/>
        <v>Floral Wrap Top</v>
      </c>
    </row>
    <row r="378">
      <c r="A378" s="6" t="str">
        <f>IFERROR(__xludf.DUMMYFUNCTION("""COMPUTED_VALUE"""),"Ceramic Knife Set")</f>
        <v>Ceramic Knife Set</v>
      </c>
      <c r="B378" s="6" t="str">
        <f t="array" ref="B378">INDEX('Raw Data Sales'!F378:F1376, MATCH(A378, 'Raw Data Sales'!E378:E1376, 0))</f>
        <v>Kitchen</v>
      </c>
      <c r="C378" s="6">
        <f>SUMIFS('Raw Data Sales'!M378:M1376, 'Raw Data Sales'!E378:E1376,A378)</f>
        <v>113</v>
      </c>
      <c r="D378" s="6">
        <f>SUMIFS('Raw Data Sales'!N378:N1376, 'Raw Data Sales'!E378:E1376, A378)</f>
        <v>14632.57</v>
      </c>
      <c r="E378" s="6">
        <f>AVERAGEIFS('Raw Data Sales'!G378:G1376, 'Raw Data Sales'!E378:E1376, A378)</f>
        <v>383.265</v>
      </c>
      <c r="F378" s="6" t="str">
        <f t="shared" si="2"/>
        <v>Floral Wrap Top</v>
      </c>
    </row>
    <row r="379">
      <c r="A379" s="6" t="str">
        <f>IFERROR(__xludf.DUMMYFUNCTION("""COMPUTED_VALUE"""),"Raspberry Limeade")</f>
        <v>Raspberry Limeade</v>
      </c>
      <c r="B379" s="6" t="str">
        <f t="array" ref="B379">INDEX('Raw Data Sales'!F379:F1377, MATCH(A379, 'Raw Data Sales'!E379:E1377, 0))</f>
        <v>Food - Beverages</v>
      </c>
      <c r="C379" s="6">
        <f>SUMIFS('Raw Data Sales'!M379:M1377, 'Raw Data Sales'!E379:E1377,A379)</f>
        <v>102</v>
      </c>
      <c r="D379" s="6">
        <f>SUMIFS('Raw Data Sales'!N379:N1377, 'Raw Data Sales'!E379:E1377, A379)</f>
        <v>12497.73</v>
      </c>
      <c r="E379" s="6">
        <f>AVERAGEIFS('Raw Data Sales'!G379:G1377, 'Raw Data Sales'!E379:E1377, A379)</f>
        <v>841.6</v>
      </c>
      <c r="F379" s="6" t="str">
        <f t="shared" si="2"/>
        <v>Floral Wrap Top</v>
      </c>
    </row>
    <row r="380">
      <c r="A380" s="6" t="str">
        <f>IFERROR(__xludf.DUMMYFUNCTION("""COMPUTED_VALUE"""),"Green Tea Matcha Powder")</f>
        <v>Green Tea Matcha Powder</v>
      </c>
      <c r="B380" s="6" t="str">
        <f t="array" ref="B380">INDEX('Raw Data Sales'!F380:F1378, MATCH(A380, 'Raw Data Sales'!E380:E1378, 0))</f>
        <v>Food - Beverages</v>
      </c>
      <c r="C380" s="6">
        <f>SUMIFS('Raw Data Sales'!M380:M1378, 'Raw Data Sales'!E380:E1378,A380)</f>
        <v>71</v>
      </c>
      <c r="D380" s="6">
        <f>SUMIFS('Raw Data Sales'!N380:N1378, 'Raw Data Sales'!E380:E1378, A380)</f>
        <v>4564.71</v>
      </c>
      <c r="E380" s="6">
        <f>AVERAGEIFS('Raw Data Sales'!G380:G1378, 'Raw Data Sales'!E380:E1378, A380)</f>
        <v>779.75</v>
      </c>
      <c r="F380" s="6" t="str">
        <f t="shared" si="2"/>
        <v>Floral Wrap Top</v>
      </c>
    </row>
    <row r="381">
      <c r="A381" s="6" t="str">
        <f>IFERROR(__xludf.DUMMYFUNCTION("""COMPUTED_VALUE"""),"Plant Watering Spikes")</f>
        <v>Plant Watering Spikes</v>
      </c>
      <c r="B381" s="6" t="str">
        <f t="array" ref="B381">INDEX('Raw Data Sales'!F381:F1379, MATCH(A381, 'Raw Data Sales'!E381:E1379, 0))</f>
        <v>Garden</v>
      </c>
      <c r="C381" s="6">
        <f>SUMIFS('Raw Data Sales'!M381:M1379, 'Raw Data Sales'!E381:E1379,A381)</f>
        <v>120</v>
      </c>
      <c r="D381" s="6">
        <f>SUMIFS('Raw Data Sales'!N381:N1379, 'Raw Data Sales'!E381:E1379, A381)</f>
        <v>9401.67</v>
      </c>
      <c r="E381" s="6">
        <f>AVERAGEIFS('Raw Data Sales'!G381:G1379, 'Raw Data Sales'!E381:E1379, A381)</f>
        <v>312.485</v>
      </c>
      <c r="F381" s="6" t="str">
        <f t="shared" si="2"/>
        <v>Floral Wrap Top</v>
      </c>
    </row>
    <row r="382">
      <c r="A382" s="6" t="str">
        <f>IFERROR(__xludf.DUMMYFUNCTION("""COMPUTED_VALUE"""),"Lentil Pasta")</f>
        <v>Lentil Pasta</v>
      </c>
      <c r="B382" s="6" t="str">
        <f t="array" ref="B382">INDEX('Raw Data Sales'!F382:F1380, MATCH(A382, 'Raw Data Sales'!E382:E1380, 0))</f>
        <v>Food - Pasta</v>
      </c>
      <c r="C382" s="6">
        <f>SUMIFS('Raw Data Sales'!M382:M1380, 'Raw Data Sales'!E382:E1380,A382)</f>
        <v>57</v>
      </c>
      <c r="D382" s="6">
        <f>SUMIFS('Raw Data Sales'!N382:N1380, 'Raw Data Sales'!E382:E1380, A382)</f>
        <v>1623.13</v>
      </c>
      <c r="E382" s="6">
        <f>AVERAGEIFS('Raw Data Sales'!G382:G1380, 'Raw Data Sales'!E382:E1380, A382)</f>
        <v>56.9</v>
      </c>
      <c r="F382" s="6" t="str">
        <f t="shared" si="2"/>
        <v>Floral Wrap Top</v>
      </c>
    </row>
    <row r="383">
      <c r="A383" s="6" t="str">
        <f>IFERROR(__xludf.DUMMYFUNCTION("""COMPUTED_VALUE"""),"High-Speed Blender")</f>
        <v>High-Speed Blender</v>
      </c>
      <c r="B383" s="6" t="str">
        <f t="array" ref="B383">INDEX('Raw Data Sales'!F383:F1381, MATCH(A383, 'Raw Data Sales'!E383:E1381, 0))</f>
        <v>Kitchen</v>
      </c>
      <c r="C383" s="6">
        <f>SUMIFS('Raw Data Sales'!M383:M1381, 'Raw Data Sales'!E383:E1381,A383)</f>
        <v>68</v>
      </c>
      <c r="D383" s="6">
        <f>SUMIFS('Raw Data Sales'!N383:N1381, 'Raw Data Sales'!E383:E1381, A383)</f>
        <v>8250.48</v>
      </c>
      <c r="E383" s="6">
        <f>AVERAGEIFS('Raw Data Sales'!G383:G1381, 'Raw Data Sales'!E383:E1381, A383)</f>
        <v>132.325</v>
      </c>
      <c r="F383" s="6" t="str">
        <f t="shared" si="2"/>
        <v>Floral Wrap Top</v>
      </c>
    </row>
    <row r="384">
      <c r="A384" s="6" t="str">
        <f>IFERROR(__xludf.DUMMYFUNCTION("""COMPUTED_VALUE"""),"Teriyaki Tofu Stir-Fry")</f>
        <v>Teriyaki Tofu Stir-Fry</v>
      </c>
      <c r="B384" s="6" t="str">
        <f t="array" ref="B384">INDEX('Raw Data Sales'!F384:F1382, MATCH(A384, 'Raw Data Sales'!E384:E1382, 0))</f>
        <v>Food - Prepared Meals</v>
      </c>
      <c r="C384" s="6">
        <f>SUMIFS('Raw Data Sales'!M384:M1382, 'Raw Data Sales'!E384:E1382,A384)</f>
        <v>74</v>
      </c>
      <c r="D384" s="6">
        <f>SUMIFS('Raw Data Sales'!N384:N1382, 'Raw Data Sales'!E384:E1382, A384)</f>
        <v>6704.76</v>
      </c>
      <c r="E384" s="6">
        <f>AVERAGEIFS('Raw Data Sales'!G384:G1382, 'Raw Data Sales'!E384:E1382, A384)</f>
        <v>274.22</v>
      </c>
      <c r="F384" s="6" t="str">
        <f t="shared" si="2"/>
        <v>Floral Wrap Top</v>
      </c>
    </row>
    <row r="385">
      <c r="A385" s="6" t="str">
        <f>IFERROR(__xludf.DUMMYFUNCTION("""COMPUTED_VALUE"""),"Floral Wrap Top")</f>
        <v>Floral Wrap Top</v>
      </c>
      <c r="B385" s="6" t="str">
        <f t="array" ref="B385">INDEX('Raw Data Sales'!F385:F1383, MATCH(A385, 'Raw Data Sales'!E385:E1383, 0))</f>
        <v>Clothing - Tops</v>
      </c>
      <c r="C385" s="6">
        <f>SUMIFS('Raw Data Sales'!M385:M1383, 'Raw Data Sales'!E385:E1383,A385)</f>
        <v>197</v>
      </c>
      <c r="D385" s="6">
        <f>SUMIFS('Raw Data Sales'!N385:N1383, 'Raw Data Sales'!E385:E1383, A385)</f>
        <v>20607.95</v>
      </c>
      <c r="E385" s="6">
        <f>AVERAGEIFS('Raw Data Sales'!G385:G1383, 'Raw Data Sales'!E385:E1383, A385)</f>
        <v>406.2566667</v>
      </c>
      <c r="F385" s="6" t="str">
        <f t="shared" si="2"/>
        <v>Floral Wrap Top</v>
      </c>
    </row>
    <row r="386">
      <c r="A386" s="6" t="str">
        <f>IFERROR(__xludf.DUMMYFUNCTION("""COMPUTED_VALUE"""),"Patterned Knit Scarf")</f>
        <v>Patterned Knit Scarf</v>
      </c>
      <c r="B386" s="6" t="str">
        <f t="array" ref="B386">INDEX('Raw Data Sales'!F386:F1384, MATCH(A386, 'Raw Data Sales'!E386:E1384, 0))</f>
        <v>Clothing - Accessories</v>
      </c>
      <c r="C386" s="6">
        <f>SUMIFS('Raw Data Sales'!M386:M1384, 'Raw Data Sales'!E386:E1384,A386)</f>
        <v>96</v>
      </c>
      <c r="D386" s="6">
        <f>SUMIFS('Raw Data Sales'!N386:N1384, 'Raw Data Sales'!E386:E1384, A386)</f>
        <v>2368.6</v>
      </c>
      <c r="E386" s="6">
        <f>AVERAGEIFS('Raw Data Sales'!G386:G1384, 'Raw Data Sales'!E386:E1384, A386)</f>
        <v>959.66</v>
      </c>
      <c r="F386" s="6" t="str">
        <f t="shared" si="2"/>
        <v>Zesty Cilantro Lime Dressing</v>
      </c>
    </row>
    <row r="387">
      <c r="A387" s="6" t="str">
        <f>IFERROR(__xludf.DUMMYFUNCTION("""COMPUTED_VALUE"""),"Creamy Garlic Mashed Potatoes")</f>
        <v>Creamy Garlic Mashed Potatoes</v>
      </c>
      <c r="B387" s="6" t="str">
        <f t="array" ref="B387">INDEX('Raw Data Sales'!F387:F1385, MATCH(A387, 'Raw Data Sales'!E387:E1385, 0))</f>
        <v>Food - Sides</v>
      </c>
      <c r="C387" s="6">
        <f>SUMIFS('Raw Data Sales'!M387:M1385, 'Raw Data Sales'!E387:E1385,A387)</f>
        <v>8</v>
      </c>
      <c r="D387" s="6">
        <f>SUMIFS('Raw Data Sales'!N387:N1385, 'Raw Data Sales'!E387:E1385, A387)</f>
        <v>4271.63</v>
      </c>
      <c r="E387" s="6">
        <f>AVERAGEIFS('Raw Data Sales'!G387:G1385, 'Raw Data Sales'!E387:E1385, A387)</f>
        <v>455.84</v>
      </c>
      <c r="F387" s="6" t="str">
        <f t="shared" si="2"/>
        <v>Zesty Cilantro Lime Dressing</v>
      </c>
    </row>
    <row r="388">
      <c r="A388" s="6" t="str">
        <f>IFERROR(__xludf.DUMMYFUNCTION("""COMPUTED_VALUE"""),"Vegetable Fried Rice Mix")</f>
        <v>Vegetable Fried Rice Mix</v>
      </c>
      <c r="B388" s="6" t="str">
        <f t="array" ref="B388">INDEX('Raw Data Sales'!F388:F1386, MATCH(A388, 'Raw Data Sales'!E388:E1386, 0))</f>
        <v>Food - Frozen Food</v>
      </c>
      <c r="C388" s="6">
        <f>SUMIFS('Raw Data Sales'!M388:M1386, 'Raw Data Sales'!E388:E1386,A388)</f>
        <v>62</v>
      </c>
      <c r="D388" s="6">
        <f>SUMIFS('Raw Data Sales'!N388:N1386, 'Raw Data Sales'!E388:E1386, A388)</f>
        <v>16171.89</v>
      </c>
      <c r="E388" s="6">
        <f>AVERAGEIFS('Raw Data Sales'!G388:G1386, 'Raw Data Sales'!E388:E1386, A388)</f>
        <v>776.25</v>
      </c>
      <c r="F388" s="6" t="str">
        <f t="shared" si="2"/>
        <v>Zesty Cilantro Lime Dressing</v>
      </c>
    </row>
    <row r="389">
      <c r="A389" s="6" t="str">
        <f>IFERROR(__xludf.DUMMYFUNCTION("""COMPUTED_VALUE"""),"Waffle Maker")</f>
        <v>Waffle Maker</v>
      </c>
      <c r="B389" s="6" t="str">
        <f t="array" ref="B389">INDEX('Raw Data Sales'!F389:F1387, MATCH(A389, 'Raw Data Sales'!E389:E1387, 0))</f>
        <v>Kitchen</v>
      </c>
      <c r="C389" s="6">
        <f>SUMIFS('Raw Data Sales'!M389:M1387, 'Raw Data Sales'!E389:E1387,A389)</f>
        <v>64</v>
      </c>
      <c r="D389" s="6">
        <f>SUMIFS('Raw Data Sales'!N389:N1387, 'Raw Data Sales'!E389:E1387, A389)</f>
        <v>4108.93</v>
      </c>
      <c r="E389" s="6">
        <f>AVERAGEIFS('Raw Data Sales'!G389:G1387, 'Raw Data Sales'!E389:E1387, A389)</f>
        <v>182.28</v>
      </c>
      <c r="F389" s="6" t="str">
        <f t="shared" si="2"/>
        <v>Zesty Cilantro Lime Dressing</v>
      </c>
    </row>
    <row r="390">
      <c r="A390" s="6" t="str">
        <f>IFERROR(__xludf.DUMMYFUNCTION("""COMPUTED_VALUE"""),"Peas (frozen)")</f>
        <v>Peas (frozen)</v>
      </c>
      <c r="B390" s="6" t="str">
        <f t="array" ref="B390">INDEX('Raw Data Sales'!F390:F1388, MATCH(A390, 'Raw Data Sales'!E390:E1388, 0))</f>
        <v>Food - Frozen Foods</v>
      </c>
      <c r="C390" s="6">
        <f>SUMIFS('Raw Data Sales'!M390:M1388, 'Raw Data Sales'!E390:E1388,A390)</f>
        <v>102</v>
      </c>
      <c r="D390" s="6">
        <f>SUMIFS('Raw Data Sales'!N390:N1388, 'Raw Data Sales'!E390:E1388, A390)</f>
        <v>8631.24</v>
      </c>
      <c r="E390" s="6">
        <f>AVERAGEIFS('Raw Data Sales'!G390:G1388, 'Raw Data Sales'!E390:E1388, A390)</f>
        <v>96.86</v>
      </c>
      <c r="F390" s="6" t="str">
        <f t="shared" si="2"/>
        <v>Zesty Cilantro Lime Dressing</v>
      </c>
    </row>
    <row r="391">
      <c r="A391" s="6" t="str">
        <f>IFERROR(__xludf.DUMMYFUNCTION("""COMPUTED_VALUE"""),"Premium Flashlight")</f>
        <v>Premium Flashlight</v>
      </c>
      <c r="B391" s="6" t="str">
        <f t="array" ref="B391">INDEX('Raw Data Sales'!F391:F1389, MATCH(A391, 'Raw Data Sales'!E391:E1389, 0))</f>
        <v>Outdoor</v>
      </c>
      <c r="C391" s="6">
        <f>SUMIFS('Raw Data Sales'!M391:M1389, 'Raw Data Sales'!E391:E1389,A391)</f>
        <v>163</v>
      </c>
      <c r="D391" s="6">
        <f>SUMIFS('Raw Data Sales'!N391:N1389, 'Raw Data Sales'!E391:E1389, A391)</f>
        <v>13349.95</v>
      </c>
      <c r="E391" s="6">
        <f>AVERAGEIFS('Raw Data Sales'!G391:G1389, 'Raw Data Sales'!E391:E1389, A391)</f>
        <v>440.46</v>
      </c>
      <c r="F391" s="6" t="str">
        <f t="shared" si="2"/>
        <v>Zesty Cilantro Lime Dressing</v>
      </c>
    </row>
    <row r="392">
      <c r="A392" s="6" t="str">
        <f>IFERROR(__xludf.DUMMYFUNCTION("""COMPUTED_VALUE"""),"Portable Hammock Swing")</f>
        <v>Portable Hammock Swing</v>
      </c>
      <c r="B392" s="6" t="str">
        <f t="array" ref="B392">INDEX('Raw Data Sales'!F392:F1390, MATCH(A392, 'Raw Data Sales'!E392:E1390, 0))</f>
        <v>Outdoor</v>
      </c>
      <c r="C392" s="6">
        <f>SUMIFS('Raw Data Sales'!M392:M1390, 'Raw Data Sales'!E392:E1390,A392)</f>
        <v>58</v>
      </c>
      <c r="D392" s="6">
        <f>SUMIFS('Raw Data Sales'!N392:N1390, 'Raw Data Sales'!E392:E1390, A392)</f>
        <v>4494.12</v>
      </c>
      <c r="E392" s="6">
        <f>AVERAGEIFS('Raw Data Sales'!G392:G1390, 'Raw Data Sales'!E392:E1390, A392)</f>
        <v>744.35</v>
      </c>
      <c r="F392" s="6" t="str">
        <f t="shared" si="2"/>
        <v>Zesty Cilantro Lime Dressing</v>
      </c>
    </row>
    <row r="393">
      <c r="A393" s="6" t="str">
        <f>IFERROR(__xludf.DUMMYFUNCTION("""COMPUTED_VALUE"""),"Teriyaki Beef Jerky")</f>
        <v>Teriyaki Beef Jerky</v>
      </c>
      <c r="B393" s="6" t="str">
        <f t="array" ref="B393">INDEX('Raw Data Sales'!F393:F1391, MATCH(A393, 'Raw Data Sales'!E393:E1391, 0))</f>
        <v>Food - Snacks</v>
      </c>
      <c r="C393" s="6">
        <f>SUMIFS('Raw Data Sales'!M393:M1391, 'Raw Data Sales'!E393:E1391,A393)</f>
        <v>86</v>
      </c>
      <c r="D393" s="6">
        <f>SUMIFS('Raw Data Sales'!N393:N1391, 'Raw Data Sales'!E393:E1391, A393)</f>
        <v>3613.78</v>
      </c>
      <c r="E393" s="6">
        <f>AVERAGEIFS('Raw Data Sales'!G393:G1391, 'Raw Data Sales'!E393:E1391, A393)</f>
        <v>823.52</v>
      </c>
      <c r="F393" s="6" t="str">
        <f t="shared" si="2"/>
        <v>Zesty Cilantro Lime Dressing</v>
      </c>
    </row>
    <row r="394">
      <c r="A394" s="6" t="str">
        <f>IFERROR(__xludf.DUMMYFUNCTION("""COMPUTED_VALUE"""),"Organic Black Beans")</f>
        <v>Organic Black Beans</v>
      </c>
      <c r="B394" s="6" t="str">
        <f t="array" ref="B394">INDEX('Raw Data Sales'!F394:F1392, MATCH(A394, 'Raw Data Sales'!E394:E1392, 0))</f>
        <v>Food - Canned Goods</v>
      </c>
      <c r="C394" s="6">
        <f>SUMIFS('Raw Data Sales'!M394:M1392, 'Raw Data Sales'!E394:E1392,A394)</f>
        <v>8</v>
      </c>
      <c r="D394" s="6">
        <f>SUMIFS('Raw Data Sales'!N394:N1392, 'Raw Data Sales'!E394:E1392, A394)</f>
        <v>142.21</v>
      </c>
      <c r="E394" s="6">
        <f>AVERAGEIFS('Raw Data Sales'!G394:G1392, 'Raw Data Sales'!E394:E1392, A394)</f>
        <v>923.12</v>
      </c>
      <c r="F394" s="6" t="str">
        <f t="shared" si="2"/>
        <v>Zesty Cilantro Lime Dressing</v>
      </c>
    </row>
    <row r="395">
      <c r="A395" s="6" t="str">
        <f>IFERROR(__xludf.DUMMYFUNCTION("""COMPUTED_VALUE"""),"Warm Wool Sweater")</f>
        <v>Warm Wool Sweater</v>
      </c>
      <c r="B395" s="6" t="str">
        <f t="array" ref="B395">INDEX('Raw Data Sales'!F395:F1393, MATCH(A395, 'Raw Data Sales'!E395:E1393, 0))</f>
        <v>Clothing - Tops</v>
      </c>
      <c r="C395" s="6">
        <f>SUMIFS('Raw Data Sales'!M395:M1393, 'Raw Data Sales'!E395:E1393,A395)</f>
        <v>38</v>
      </c>
      <c r="D395" s="6">
        <f>SUMIFS('Raw Data Sales'!N395:N1393, 'Raw Data Sales'!E395:E1393, A395)</f>
        <v>9748.73</v>
      </c>
      <c r="E395" s="6">
        <f>AVERAGEIFS('Raw Data Sales'!G395:G1393, 'Raw Data Sales'!E395:E1393, A395)</f>
        <v>512.38</v>
      </c>
      <c r="F395" s="6" t="str">
        <f t="shared" si="2"/>
        <v>Zesty Cilantro Lime Dressing</v>
      </c>
    </row>
    <row r="396">
      <c r="A396" s="6" t="str">
        <f>IFERROR(__xludf.DUMMYFUNCTION("""COMPUTED_VALUE"""),"Magnetic Whiteboard")</f>
        <v>Magnetic Whiteboard</v>
      </c>
      <c r="B396" s="6" t="str">
        <f t="array" ref="B396">INDEX('Raw Data Sales'!F396:F1394, MATCH(A396, 'Raw Data Sales'!E396:E1394, 0))</f>
        <v>Office</v>
      </c>
      <c r="C396" s="6">
        <f>SUMIFS('Raw Data Sales'!M396:M1394, 'Raw Data Sales'!E396:E1394,A396)</f>
        <v>41</v>
      </c>
      <c r="D396" s="6">
        <f>SUMIFS('Raw Data Sales'!N396:N1394, 'Raw Data Sales'!E396:E1394, A396)</f>
        <v>7217.83</v>
      </c>
      <c r="E396" s="6">
        <f>AVERAGEIFS('Raw Data Sales'!G396:G1394, 'Raw Data Sales'!E396:E1394, A396)</f>
        <v>836.95</v>
      </c>
      <c r="F396" s="6" t="str">
        <f t="shared" si="2"/>
        <v>Zesty Cilantro Lime Dressing</v>
      </c>
    </row>
    <row r="397">
      <c r="A397" s="6" t="str">
        <f>IFERROR(__xludf.DUMMYFUNCTION("""COMPUTED_VALUE"""),"Herb Drying Rack")</f>
        <v>Herb Drying Rack</v>
      </c>
      <c r="B397" s="6" t="str">
        <f t="array" ref="B397">INDEX('Raw Data Sales'!F397:F1395, MATCH(A397, 'Raw Data Sales'!E397:E1395, 0))</f>
        <v>Garden</v>
      </c>
      <c r="C397" s="6">
        <f>SUMIFS('Raw Data Sales'!M397:M1395, 'Raw Data Sales'!E397:E1395,A397)</f>
        <v>81</v>
      </c>
      <c r="D397" s="6">
        <f>SUMIFS('Raw Data Sales'!N397:N1395, 'Raw Data Sales'!E397:E1395, A397)</f>
        <v>1534.58</v>
      </c>
      <c r="E397" s="6">
        <f>AVERAGEIFS('Raw Data Sales'!G397:G1395, 'Raw Data Sales'!E397:E1395, A397)</f>
        <v>553.83</v>
      </c>
      <c r="F397" s="6" t="str">
        <f t="shared" si="2"/>
        <v>Zesty Cilantro Lime Dressing</v>
      </c>
    </row>
    <row r="398">
      <c r="A398" s="6" t="str">
        <f>IFERROR(__xludf.DUMMYFUNCTION("""COMPUTED_VALUE"""),"Tomato Paste")</f>
        <v>Tomato Paste</v>
      </c>
      <c r="B398" s="6" t="str">
        <f t="array" ref="B398">INDEX('Raw Data Sales'!F398:F1396, MATCH(A398, 'Raw Data Sales'!E398:E1396, 0))</f>
        <v>Food - Canned Goods</v>
      </c>
      <c r="C398" s="6">
        <f>SUMIFS('Raw Data Sales'!M398:M1396, 'Raw Data Sales'!E398:E1396,A398)</f>
        <v>77</v>
      </c>
      <c r="D398" s="6">
        <f>SUMIFS('Raw Data Sales'!N398:N1396, 'Raw Data Sales'!E398:E1396, A398)</f>
        <v>8578.82</v>
      </c>
      <c r="E398" s="6">
        <f>AVERAGEIFS('Raw Data Sales'!G398:G1396, 'Raw Data Sales'!E398:E1396, A398)</f>
        <v>468.81</v>
      </c>
      <c r="F398" s="6" t="str">
        <f t="shared" si="2"/>
        <v>Zesty Cilantro Lime Dressing</v>
      </c>
    </row>
    <row r="399">
      <c r="A399" s="6" t="str">
        <f>IFERROR(__xludf.DUMMYFUNCTION("""COMPUTED_VALUE"""),"Digital Bullet Journal")</f>
        <v>Digital Bullet Journal</v>
      </c>
      <c r="B399" s="6" t="str">
        <f t="array" ref="B399">INDEX('Raw Data Sales'!F399:F1397, MATCH(A399, 'Raw Data Sales'!E399:E1397, 0))</f>
        <v>Apps</v>
      </c>
      <c r="C399" s="6">
        <f>SUMIFS('Raw Data Sales'!M399:M1397, 'Raw Data Sales'!E399:E1397,A399)</f>
        <v>56</v>
      </c>
      <c r="D399" s="6">
        <f>SUMIFS('Raw Data Sales'!N399:N1397, 'Raw Data Sales'!E399:E1397, A399)</f>
        <v>5812.56</v>
      </c>
      <c r="E399" s="6">
        <f>AVERAGEIFS('Raw Data Sales'!G399:G1397, 'Raw Data Sales'!E399:E1397, A399)</f>
        <v>280.13</v>
      </c>
      <c r="F399" s="6" t="str">
        <f t="shared" si="2"/>
        <v>Zesty Cilantro Lime Dressing</v>
      </c>
    </row>
    <row r="400">
      <c r="A400" s="6" t="str">
        <f>IFERROR(__xludf.DUMMYFUNCTION("""COMPUTED_VALUE"""),"Folding Exercise Bike")</f>
        <v>Folding Exercise Bike</v>
      </c>
      <c r="B400" s="6" t="str">
        <f t="array" ref="B400">INDEX('Raw Data Sales'!F400:F1398, MATCH(A400, 'Raw Data Sales'!E400:E1398, 0))</f>
        <v>Fitness</v>
      </c>
      <c r="C400" s="6">
        <f>SUMIFS('Raw Data Sales'!M400:M1398, 'Raw Data Sales'!E400:E1398,A400)</f>
        <v>8</v>
      </c>
      <c r="D400" s="6">
        <f>SUMIFS('Raw Data Sales'!N400:N1398, 'Raw Data Sales'!E400:E1398, A400)</f>
        <v>2874.93</v>
      </c>
      <c r="E400" s="6">
        <f>AVERAGEIFS('Raw Data Sales'!G400:G1398, 'Raw Data Sales'!E400:E1398, A400)</f>
        <v>123.3</v>
      </c>
      <c r="F400" s="6" t="str">
        <f t="shared" si="2"/>
        <v>Zesty Cilantro Lime Dressing</v>
      </c>
    </row>
    <row r="401">
      <c r="A401" s="6" t="str">
        <f>IFERROR(__xludf.DUMMYFUNCTION("""COMPUTED_VALUE"""),"Dog Walking Waist Pack")</f>
        <v>Dog Walking Waist Pack</v>
      </c>
      <c r="B401" s="6" t="str">
        <f t="array" ref="B401">INDEX('Raw Data Sales'!F401:F1399, MATCH(A401, 'Raw Data Sales'!E401:E1399, 0))</f>
        <v>Pets</v>
      </c>
      <c r="C401" s="6">
        <f>SUMIFS('Raw Data Sales'!M401:M1399, 'Raw Data Sales'!E401:E1399,A401)</f>
        <v>24</v>
      </c>
      <c r="D401" s="6">
        <f>SUMIFS('Raw Data Sales'!N401:N1399, 'Raw Data Sales'!E401:E1399, A401)</f>
        <v>6552.88</v>
      </c>
      <c r="E401" s="6">
        <f>AVERAGEIFS('Raw Data Sales'!G401:G1399, 'Raw Data Sales'!E401:E1399, A401)</f>
        <v>309.95</v>
      </c>
      <c r="F401" s="6" t="str">
        <f t="shared" si="2"/>
        <v>Zesty Cilantro Lime Dressing</v>
      </c>
    </row>
    <row r="402">
      <c r="A402" s="6" t="str">
        <f>IFERROR(__xludf.DUMMYFUNCTION("""COMPUTED_VALUE"""),"Dual Function Electric Skillet")</f>
        <v>Dual Function Electric Skillet</v>
      </c>
      <c r="B402" s="6" t="str">
        <f t="array" ref="B402">INDEX('Raw Data Sales'!F402:F1400, MATCH(A402, 'Raw Data Sales'!E402:E1400, 0))</f>
        <v>Kitchen</v>
      </c>
      <c r="C402" s="6">
        <f>SUMIFS('Raw Data Sales'!M402:M1400, 'Raw Data Sales'!E402:E1400,A402)</f>
        <v>140</v>
      </c>
      <c r="D402" s="6">
        <f>SUMIFS('Raw Data Sales'!N402:N1400, 'Raw Data Sales'!E402:E1400, A402)</f>
        <v>9000.98</v>
      </c>
      <c r="E402" s="6">
        <f>AVERAGEIFS('Raw Data Sales'!G402:G1400, 'Raw Data Sales'!E402:E1400, A402)</f>
        <v>424.9</v>
      </c>
      <c r="F402" s="6" t="str">
        <f t="shared" si="2"/>
        <v>Zesty Cilantro Lime Dressing</v>
      </c>
    </row>
    <row r="403">
      <c r="A403" s="6" t="str">
        <f>IFERROR(__xludf.DUMMYFUNCTION("""COMPUTED_VALUE"""),"Pork Chops")</f>
        <v>Pork Chops</v>
      </c>
      <c r="B403" s="6" t="str">
        <f t="array" ref="B403">INDEX('Raw Data Sales'!F403:F1401, MATCH(A403, 'Raw Data Sales'!E403:E1401, 0))</f>
        <v>Food - Meat</v>
      </c>
      <c r="C403" s="6">
        <f>SUMIFS('Raw Data Sales'!M403:M1401, 'Raw Data Sales'!E403:E1401,A403)</f>
        <v>52</v>
      </c>
      <c r="D403" s="6">
        <f>SUMIFS('Raw Data Sales'!N403:N1401, 'Raw Data Sales'!E403:E1401, A403)</f>
        <v>7896.73</v>
      </c>
      <c r="E403" s="6">
        <f>AVERAGEIFS('Raw Data Sales'!G403:G1401, 'Raw Data Sales'!E403:E1401, A403)</f>
        <v>689.53</v>
      </c>
      <c r="F403" s="6" t="str">
        <f t="shared" si="2"/>
        <v>Zesty Cilantro Lime Dressing</v>
      </c>
    </row>
    <row r="404">
      <c r="A404" s="6" t="str">
        <f>IFERROR(__xludf.DUMMYFUNCTION("""COMPUTED_VALUE"""),"Wireless Charger Stand")</f>
        <v>Wireless Charger Stand</v>
      </c>
      <c r="B404" s="6" t="str">
        <f t="array" ref="B404">INDEX('Raw Data Sales'!F404:F1402, MATCH(A404, 'Raw Data Sales'!E404:E1402, 0))</f>
        <v>Electronics</v>
      </c>
      <c r="C404" s="6">
        <f>SUMIFS('Raw Data Sales'!M404:M1402, 'Raw Data Sales'!E404:E1402,A404)</f>
        <v>83</v>
      </c>
      <c r="D404" s="6">
        <f>SUMIFS('Raw Data Sales'!N404:N1402, 'Raw Data Sales'!E404:E1402, A404)</f>
        <v>4940.81</v>
      </c>
      <c r="E404" s="6">
        <f>AVERAGEIFS('Raw Data Sales'!G404:G1402, 'Raw Data Sales'!E404:E1402, A404)</f>
        <v>37.99</v>
      </c>
      <c r="F404" s="6" t="str">
        <f t="shared" si="2"/>
        <v>Zesty Cilantro Lime Dressing</v>
      </c>
    </row>
    <row r="405">
      <c r="A405" s="6" t="str">
        <f>IFERROR(__xludf.DUMMYFUNCTION("""COMPUTED_VALUE"""),"Puff Pastry")</f>
        <v>Puff Pastry</v>
      </c>
      <c r="B405" s="6" t="str">
        <f t="array" ref="B405">INDEX('Raw Data Sales'!F405:F1403, MATCH(A405, 'Raw Data Sales'!E405:E1403, 0))</f>
        <v>Food - Bakery</v>
      </c>
      <c r="C405" s="6">
        <f>SUMIFS('Raw Data Sales'!M405:M1403, 'Raw Data Sales'!E405:E1403,A405)</f>
        <v>88</v>
      </c>
      <c r="D405" s="6">
        <f>SUMIFS('Raw Data Sales'!N405:N1403, 'Raw Data Sales'!E405:E1403, A405)</f>
        <v>11383.23</v>
      </c>
      <c r="E405" s="6">
        <f>AVERAGEIFS('Raw Data Sales'!G405:G1403, 'Raw Data Sales'!E405:E1403, A405)</f>
        <v>808.145</v>
      </c>
      <c r="F405" s="6" t="str">
        <f t="shared" si="2"/>
        <v>Zesty Cilantro Lime Dressing</v>
      </c>
    </row>
    <row r="406">
      <c r="A406" s="6" t="str">
        <f>IFERROR(__xludf.DUMMYFUNCTION("""COMPUTED_VALUE"""),"Trainers with Mesh Inserts")</f>
        <v>Trainers with Mesh Inserts</v>
      </c>
      <c r="B406" s="6" t="str">
        <f t="array" ref="B406">INDEX('Raw Data Sales'!F406:F1404, MATCH(A406, 'Raw Data Sales'!E406:E1404, 0))</f>
        <v>Clothing - Footwear</v>
      </c>
      <c r="C406" s="6">
        <f>SUMIFS('Raw Data Sales'!M406:M1404, 'Raw Data Sales'!E406:E1404,A406)</f>
        <v>84</v>
      </c>
      <c r="D406" s="6">
        <f>SUMIFS('Raw Data Sales'!N406:N1404, 'Raw Data Sales'!E406:E1404, A406)</f>
        <v>641.61</v>
      </c>
      <c r="E406" s="6">
        <f>AVERAGEIFS('Raw Data Sales'!G406:G1404, 'Raw Data Sales'!E406:E1404, A406)</f>
        <v>579.46</v>
      </c>
      <c r="F406" s="6" t="str">
        <f t="shared" si="2"/>
        <v>Zesty Cilantro Lime Dressing</v>
      </c>
    </row>
    <row r="407">
      <c r="A407" s="6" t="str">
        <f>IFERROR(__xludf.DUMMYFUNCTION("""COMPUTED_VALUE"""),"Mini Electric Kettle")</f>
        <v>Mini Electric Kettle</v>
      </c>
      <c r="B407" s="6" t="str">
        <f t="array" ref="B407">INDEX('Raw Data Sales'!F407:F1405, MATCH(A407, 'Raw Data Sales'!E407:E1405, 0))</f>
        <v>Kitchen</v>
      </c>
      <c r="C407" s="6">
        <f>SUMIFS('Raw Data Sales'!M407:M1405, 'Raw Data Sales'!E407:E1405,A407)</f>
        <v>5</v>
      </c>
      <c r="D407" s="6">
        <f>SUMIFS('Raw Data Sales'!N407:N1405, 'Raw Data Sales'!E407:E1405, A407)</f>
        <v>3002.4</v>
      </c>
      <c r="E407" s="6">
        <f>AVERAGEIFS('Raw Data Sales'!G407:G1405, 'Raw Data Sales'!E407:E1405, A407)</f>
        <v>226.05</v>
      </c>
      <c r="F407" s="6" t="str">
        <f t="shared" si="2"/>
        <v>Zesty Cilantro Lime Dressing</v>
      </c>
    </row>
    <row r="408">
      <c r="A408" s="6" t="str">
        <f>IFERROR(__xludf.DUMMYFUNCTION("""COMPUTED_VALUE"""),"Portable Bluetooth Headphones")</f>
        <v>Portable Bluetooth Headphones</v>
      </c>
      <c r="B408" s="6" t="str">
        <f t="array" ref="B408">INDEX('Raw Data Sales'!F408:F1406, MATCH(A408, 'Raw Data Sales'!E408:E1406, 0))</f>
        <v>Audio</v>
      </c>
      <c r="C408" s="6">
        <f>SUMIFS('Raw Data Sales'!M408:M1406, 'Raw Data Sales'!E408:E1406,A408)</f>
        <v>57</v>
      </c>
      <c r="D408" s="6">
        <f>SUMIFS('Raw Data Sales'!N408:N1406, 'Raw Data Sales'!E408:E1406, A408)</f>
        <v>5911.63</v>
      </c>
      <c r="E408" s="6">
        <f>AVERAGEIFS('Raw Data Sales'!G408:G1406, 'Raw Data Sales'!E408:E1406, A408)</f>
        <v>181.94</v>
      </c>
      <c r="F408" s="6" t="str">
        <f t="shared" si="2"/>
        <v>Zesty Cilantro Lime Dressing</v>
      </c>
    </row>
    <row r="409">
      <c r="A409" s="6" t="str">
        <f>IFERROR(__xludf.DUMMYFUNCTION("""COMPUTED_VALUE"""),"Bluetooth Car Adapter")</f>
        <v>Bluetooth Car Adapter</v>
      </c>
      <c r="B409" s="6" t="str">
        <f t="array" ref="B409">INDEX('Raw Data Sales'!F409:F1407, MATCH(A409, 'Raw Data Sales'!E409:E1407, 0))</f>
        <v>Automotive</v>
      </c>
      <c r="C409" s="6">
        <f>SUMIFS('Raw Data Sales'!M409:M1407, 'Raw Data Sales'!E409:E1407,A409)</f>
        <v>68</v>
      </c>
      <c r="D409" s="6">
        <f>SUMIFS('Raw Data Sales'!N409:N1407, 'Raw Data Sales'!E409:E1407, A409)</f>
        <v>4424.3</v>
      </c>
      <c r="E409" s="6">
        <f>AVERAGEIFS('Raw Data Sales'!G409:G1407, 'Raw Data Sales'!E409:E1407, A409)</f>
        <v>464.57</v>
      </c>
      <c r="F409" s="6" t="str">
        <f t="shared" si="2"/>
        <v>Zesty Cilantro Lime Dressing</v>
      </c>
    </row>
    <row r="410">
      <c r="A410" s="6" t="str">
        <f>IFERROR(__xludf.DUMMYFUNCTION("""COMPUTED_VALUE"""),"Pet First Aid Kit")</f>
        <v>Pet First Aid Kit</v>
      </c>
      <c r="B410" s="6" t="str">
        <f t="array" ref="B410">INDEX('Raw Data Sales'!F410:F1408, MATCH(A410, 'Raw Data Sales'!E410:E1408, 0))</f>
        <v>Pets</v>
      </c>
      <c r="C410" s="6">
        <f>SUMIFS('Raw Data Sales'!M410:M1408, 'Raw Data Sales'!E410:E1408,A410)</f>
        <v>91</v>
      </c>
      <c r="D410" s="6">
        <f>SUMIFS('Raw Data Sales'!N410:N1408, 'Raw Data Sales'!E410:E1408, A410)</f>
        <v>4341.91</v>
      </c>
      <c r="E410" s="6">
        <f>AVERAGEIFS('Raw Data Sales'!G410:G1408, 'Raw Data Sales'!E410:E1408, A410)</f>
        <v>110.33</v>
      </c>
      <c r="F410" s="6" t="str">
        <f t="shared" si="2"/>
        <v>Zesty Cilantro Lime Dressing</v>
      </c>
    </row>
    <row r="411">
      <c r="A411" s="6" t="str">
        <f>IFERROR(__xludf.DUMMYFUNCTION("""COMPUTED_VALUE"""),"Caramel Apple Taffy")</f>
        <v>Caramel Apple Taffy</v>
      </c>
      <c r="B411" s="6" t="str">
        <f t="array" ref="B411">INDEX('Raw Data Sales'!F411:F1409, MATCH(A411, 'Raw Data Sales'!E411:E1409, 0))</f>
        <v>Food - Confectionery</v>
      </c>
      <c r="C411" s="6">
        <f>SUMIFS('Raw Data Sales'!M411:M1409, 'Raw Data Sales'!E411:E1409,A411)</f>
        <v>186</v>
      </c>
      <c r="D411" s="6">
        <f>SUMIFS('Raw Data Sales'!N411:N1409, 'Raw Data Sales'!E411:E1409, A411)</f>
        <v>6725.87</v>
      </c>
      <c r="E411" s="6">
        <f>AVERAGEIFS('Raw Data Sales'!G411:G1409, 'Raw Data Sales'!E411:E1409, A411)</f>
        <v>490.155</v>
      </c>
      <c r="F411" s="6" t="str">
        <f t="shared" si="2"/>
        <v>Zesty Cilantro Lime Dressing</v>
      </c>
    </row>
    <row r="412">
      <c r="A412" s="6" t="str">
        <f>IFERROR(__xludf.DUMMYFUNCTION("""COMPUTED_VALUE"""),"Marinara Sauce")</f>
        <v>Marinara Sauce</v>
      </c>
      <c r="B412" s="6" t="str">
        <f t="array" ref="B412">INDEX('Raw Data Sales'!F412:F1410, MATCH(A412, 'Raw Data Sales'!E412:E1410, 0))</f>
        <v>Food - Condiments</v>
      </c>
      <c r="C412" s="6">
        <f>SUMIFS('Raw Data Sales'!M412:M1410, 'Raw Data Sales'!E412:E1410,A412)</f>
        <v>78</v>
      </c>
      <c r="D412" s="6">
        <f>SUMIFS('Raw Data Sales'!N412:N1410, 'Raw Data Sales'!E412:E1410, A412)</f>
        <v>14541.16</v>
      </c>
      <c r="E412" s="6">
        <f>AVERAGEIFS('Raw Data Sales'!G412:G1410, 'Raw Data Sales'!E412:E1410, A412)</f>
        <v>601.765</v>
      </c>
      <c r="F412" s="6" t="str">
        <f t="shared" si="2"/>
        <v>Zesty Cilantro Lime Dressing</v>
      </c>
    </row>
    <row r="413">
      <c r="A413" s="6" t="str">
        <f>IFERROR(__xludf.DUMMYFUNCTION("""COMPUTED_VALUE"""),"Fitness Mat")</f>
        <v>Fitness Mat</v>
      </c>
      <c r="B413" s="6" t="str">
        <f t="array" ref="B413">INDEX('Raw Data Sales'!F413:F1411, MATCH(A413, 'Raw Data Sales'!E413:E1411, 0))</f>
        <v>Fitness</v>
      </c>
      <c r="C413" s="6">
        <f>SUMIFS('Raw Data Sales'!M413:M1411, 'Raw Data Sales'!E413:E1411,A413)</f>
        <v>27</v>
      </c>
      <c r="D413" s="6">
        <f>SUMIFS('Raw Data Sales'!N413:N1411, 'Raw Data Sales'!E413:E1411, A413)</f>
        <v>5861.37</v>
      </c>
      <c r="E413" s="6">
        <f>AVERAGEIFS('Raw Data Sales'!G413:G1411, 'Raw Data Sales'!E413:E1411, A413)</f>
        <v>509.03</v>
      </c>
      <c r="F413" s="6" t="str">
        <f t="shared" si="2"/>
        <v>Zesty Cilantro Lime Dressing</v>
      </c>
    </row>
    <row r="414">
      <c r="A414" s="6" t="str">
        <f>IFERROR(__xludf.DUMMYFUNCTION("""COMPUTED_VALUE"""),"Almond Joy Snack Bars")</f>
        <v>Almond Joy Snack Bars</v>
      </c>
      <c r="B414" s="6" t="str">
        <f t="array" ref="B414">INDEX('Raw Data Sales'!F414:F1412, MATCH(A414, 'Raw Data Sales'!E414:E1412, 0))</f>
        <v>Food - Snacks</v>
      </c>
      <c r="C414" s="6">
        <f>SUMIFS('Raw Data Sales'!M414:M1412, 'Raw Data Sales'!E414:E1412,A414)</f>
        <v>99</v>
      </c>
      <c r="D414" s="6">
        <f>SUMIFS('Raw Data Sales'!N414:N1412, 'Raw Data Sales'!E414:E1412, A414)</f>
        <v>13589.92</v>
      </c>
      <c r="E414" s="6">
        <f>AVERAGEIFS('Raw Data Sales'!G414:G1412, 'Raw Data Sales'!E414:E1412, A414)</f>
        <v>771.775</v>
      </c>
      <c r="F414" s="6" t="str">
        <f t="shared" si="2"/>
        <v>Zesty Cilantro Lime Dressing</v>
      </c>
    </row>
    <row r="415">
      <c r="A415" s="6" t="str">
        <f>IFERROR(__xludf.DUMMYFUNCTION("""COMPUTED_VALUE"""),"Vegetable Pizza Rolls")</f>
        <v>Vegetable Pizza Rolls</v>
      </c>
      <c r="B415" s="6" t="str">
        <f t="array" ref="B415">INDEX('Raw Data Sales'!F415:F1413, MATCH(A415, 'Raw Data Sales'!E415:E1413, 0))</f>
        <v>Food - Frozen Foods</v>
      </c>
      <c r="C415" s="6">
        <f>SUMIFS('Raw Data Sales'!M415:M1413, 'Raw Data Sales'!E415:E1413,A415)</f>
        <v>37</v>
      </c>
      <c r="D415" s="6">
        <f>SUMIFS('Raw Data Sales'!N415:N1413, 'Raw Data Sales'!E415:E1413, A415)</f>
        <v>1714.33</v>
      </c>
      <c r="E415" s="6">
        <f>AVERAGEIFS('Raw Data Sales'!G415:G1413, 'Raw Data Sales'!E415:E1413, A415)</f>
        <v>226.43</v>
      </c>
      <c r="F415" s="6" t="str">
        <f t="shared" si="2"/>
        <v>Zesty Cilantro Lime Dressing</v>
      </c>
    </row>
    <row r="416">
      <c r="A416" s="6" t="str">
        <f>IFERROR(__xludf.DUMMYFUNCTION("""COMPUTED_VALUE"""),"Chili Lime Seasoning")</f>
        <v>Chili Lime Seasoning</v>
      </c>
      <c r="B416" s="6" t="str">
        <f t="array" ref="B416">INDEX('Raw Data Sales'!F416:F1414, MATCH(A416, 'Raw Data Sales'!E416:E1414, 0))</f>
        <v>Food - Spices</v>
      </c>
      <c r="C416" s="6">
        <f>SUMIFS('Raw Data Sales'!M416:M1414, 'Raw Data Sales'!E416:E1414,A416)</f>
        <v>67</v>
      </c>
      <c r="D416" s="6">
        <f>SUMIFS('Raw Data Sales'!N416:N1414, 'Raw Data Sales'!E416:E1414, A416)</f>
        <v>8069.09</v>
      </c>
      <c r="E416" s="6">
        <f>AVERAGEIFS('Raw Data Sales'!G416:G1414, 'Raw Data Sales'!E416:E1414, A416)</f>
        <v>981.64</v>
      </c>
      <c r="F416" s="6" t="str">
        <f t="shared" si="2"/>
        <v>Zesty Cilantro Lime Dressing</v>
      </c>
    </row>
    <row r="417">
      <c r="A417" s="6" t="str">
        <f>IFERROR(__xludf.DUMMYFUNCTION("""COMPUTED_VALUE"""),"Peach Mango Smoothie")</f>
        <v>Peach Mango Smoothie</v>
      </c>
      <c r="B417" s="6" t="str">
        <f t="array" ref="B417">INDEX('Raw Data Sales'!F417:F1415, MATCH(A417, 'Raw Data Sales'!E417:E1415, 0))</f>
        <v>Food - Beverages</v>
      </c>
      <c r="C417" s="6">
        <f>SUMIFS('Raw Data Sales'!M417:M1415, 'Raw Data Sales'!E417:E1415,A417)</f>
        <v>53</v>
      </c>
      <c r="D417" s="6">
        <f>SUMIFS('Raw Data Sales'!N417:N1415, 'Raw Data Sales'!E417:E1415, A417)</f>
        <v>2300.08</v>
      </c>
      <c r="E417" s="6">
        <f>AVERAGEIFS('Raw Data Sales'!G417:G1415, 'Raw Data Sales'!E417:E1415, A417)</f>
        <v>272.04</v>
      </c>
      <c r="F417" s="6" t="str">
        <f t="shared" si="2"/>
        <v>Zesty Cilantro Lime Dressing</v>
      </c>
    </row>
    <row r="418">
      <c r="A418" s="6" t="str">
        <f>IFERROR(__xludf.DUMMYFUNCTION("""COMPUTED_VALUE"""),"Kids' Activity Book")</f>
        <v>Kids' Activity Book</v>
      </c>
      <c r="B418" s="6" t="str">
        <f t="array" ref="B418">INDEX('Raw Data Sales'!F418:F1416, MATCH(A418, 'Raw Data Sales'!E418:E1416, 0))</f>
        <v>Books</v>
      </c>
      <c r="C418" s="6">
        <f>SUMIFS('Raw Data Sales'!M418:M1416, 'Raw Data Sales'!E418:E1416,A418)</f>
        <v>170</v>
      </c>
      <c r="D418" s="6">
        <f>SUMIFS('Raw Data Sales'!N418:N1416, 'Raw Data Sales'!E418:E1416, A418)</f>
        <v>7354.91</v>
      </c>
      <c r="E418" s="6">
        <f>AVERAGEIFS('Raw Data Sales'!G418:G1416, 'Raw Data Sales'!E418:E1416, A418)</f>
        <v>421.7566667</v>
      </c>
      <c r="F418" s="6" t="str">
        <f t="shared" si="2"/>
        <v>Zesty Cilantro Lime Dressing</v>
      </c>
    </row>
    <row r="419">
      <c r="A419" s="6" t="str">
        <f>IFERROR(__xludf.DUMMYFUNCTION("""COMPUTED_VALUE"""),"High-Pressure Handheld Shower Head")</f>
        <v>High-Pressure Handheld Shower Head</v>
      </c>
      <c r="B419" s="6" t="str">
        <f t="array" ref="B419">INDEX('Raw Data Sales'!F419:F1417, MATCH(A419, 'Raw Data Sales'!E419:E1417, 0))</f>
        <v>Bathroom</v>
      </c>
      <c r="C419" s="6">
        <f>SUMIFS('Raw Data Sales'!M419:M1417, 'Raw Data Sales'!E419:E1417,A419)</f>
        <v>86</v>
      </c>
      <c r="D419" s="6">
        <f>SUMIFS('Raw Data Sales'!N419:N1417, 'Raw Data Sales'!E419:E1417, A419)</f>
        <v>7092.27</v>
      </c>
      <c r="E419" s="6">
        <f>AVERAGEIFS('Raw Data Sales'!G419:G1417, 'Raw Data Sales'!E419:E1417, A419)</f>
        <v>441.38</v>
      </c>
      <c r="F419" s="6" t="str">
        <f t="shared" si="2"/>
        <v>Zesty Cilantro Lime Dressing</v>
      </c>
    </row>
    <row r="420">
      <c r="A420" s="6" t="str">
        <f>IFERROR(__xludf.DUMMYFUNCTION("""COMPUTED_VALUE"""),"Interactive Plush Toy")</f>
        <v>Interactive Plush Toy</v>
      </c>
      <c r="B420" s="6" t="str">
        <f t="array" ref="B420">INDEX('Raw Data Sales'!F420:F1418, MATCH(A420, 'Raw Data Sales'!E420:E1418, 0))</f>
        <v>Toys</v>
      </c>
      <c r="C420" s="6">
        <f>SUMIFS('Raw Data Sales'!M420:M1418, 'Raw Data Sales'!E420:E1418,A420)</f>
        <v>18</v>
      </c>
      <c r="D420" s="6">
        <f>SUMIFS('Raw Data Sales'!N420:N1418, 'Raw Data Sales'!E420:E1418, A420)</f>
        <v>7531.36</v>
      </c>
      <c r="E420" s="6">
        <f>AVERAGEIFS('Raw Data Sales'!G420:G1418, 'Raw Data Sales'!E420:E1418, A420)</f>
        <v>937.61</v>
      </c>
      <c r="F420" s="6" t="str">
        <f t="shared" si="2"/>
        <v>Zesty Cilantro Lime Dressing</v>
      </c>
    </row>
    <row r="421">
      <c r="A421" s="6" t="str">
        <f>IFERROR(__xludf.DUMMYFUNCTION("""COMPUTED_VALUE"""),"Terry Cloth Robe")</f>
        <v>Terry Cloth Robe</v>
      </c>
      <c r="B421" s="6" t="str">
        <f t="array" ref="B421">INDEX('Raw Data Sales'!F421:F1419, MATCH(A421, 'Raw Data Sales'!E421:E1419, 0))</f>
        <v>Clothing - Loungewear</v>
      </c>
      <c r="C421" s="6">
        <f>SUMIFS('Raw Data Sales'!M421:M1419, 'Raw Data Sales'!E421:E1419,A421)</f>
        <v>37</v>
      </c>
      <c r="D421" s="6">
        <f>SUMIFS('Raw Data Sales'!N421:N1419, 'Raw Data Sales'!E421:E1419, A421)</f>
        <v>6037.8</v>
      </c>
      <c r="E421" s="6">
        <f>AVERAGEIFS('Raw Data Sales'!G421:G1419, 'Raw Data Sales'!E421:E1419, A421)</f>
        <v>247.97</v>
      </c>
      <c r="F421" s="6" t="str">
        <f t="shared" si="2"/>
        <v>Zesty Cilantro Lime Dressing</v>
      </c>
    </row>
    <row r="422">
      <c r="A422" s="6" t="str">
        <f>IFERROR(__xludf.DUMMYFUNCTION("""COMPUTED_VALUE"""),"Herb Seasoned Rice")</f>
        <v>Herb Seasoned Rice</v>
      </c>
      <c r="B422" s="6" t="str">
        <f t="array" ref="B422">INDEX('Raw Data Sales'!F422:F1420, MATCH(A422, 'Raw Data Sales'!E422:E1420, 0))</f>
        <v>Food - Sides</v>
      </c>
      <c r="C422" s="6">
        <f>SUMIFS('Raw Data Sales'!M422:M1420, 'Raw Data Sales'!E422:E1420,A422)</f>
        <v>166</v>
      </c>
      <c r="D422" s="6">
        <f>SUMIFS('Raw Data Sales'!N422:N1420, 'Raw Data Sales'!E422:E1420, A422)</f>
        <v>16876.04</v>
      </c>
      <c r="E422" s="6">
        <f>AVERAGEIFS('Raw Data Sales'!G422:G1420, 'Raw Data Sales'!E422:E1420, A422)</f>
        <v>554.55</v>
      </c>
      <c r="F422" s="6" t="str">
        <f t="shared" si="2"/>
        <v>Zesty Cilantro Lime Dressing</v>
      </c>
    </row>
    <row r="423">
      <c r="A423" s="6" t="str">
        <f>IFERROR(__xludf.DUMMYFUNCTION("""COMPUTED_VALUE"""),"Rice Pudding")</f>
        <v>Rice Pudding</v>
      </c>
      <c r="B423" s="6" t="str">
        <f t="array" ref="B423">INDEX('Raw Data Sales'!F423:F1421, MATCH(A423, 'Raw Data Sales'!E423:E1421, 0))</f>
        <v>Food - Desserts</v>
      </c>
      <c r="C423" s="6">
        <f>SUMIFS('Raw Data Sales'!M423:M1421, 'Raw Data Sales'!E423:E1421,A423)</f>
        <v>175</v>
      </c>
      <c r="D423" s="6">
        <f>SUMIFS('Raw Data Sales'!N423:N1421, 'Raw Data Sales'!E423:E1421, A423)</f>
        <v>1102.42</v>
      </c>
      <c r="E423" s="6">
        <f>AVERAGEIFS('Raw Data Sales'!G423:G1421, 'Raw Data Sales'!E423:E1421, A423)</f>
        <v>231.95</v>
      </c>
      <c r="F423" s="6" t="str">
        <f t="shared" si="2"/>
        <v>Zesty Cilantro Lime Dressing</v>
      </c>
    </row>
    <row r="424">
      <c r="A424" s="6" t="str">
        <f>IFERROR(__xludf.DUMMYFUNCTION("""COMPUTED_VALUE"""),"Portable Solar Generator")</f>
        <v>Portable Solar Generator</v>
      </c>
      <c r="B424" s="6" t="str">
        <f t="array" ref="B424">INDEX('Raw Data Sales'!F424:F1422, MATCH(A424, 'Raw Data Sales'!E424:E1422, 0))</f>
        <v>Outdoor</v>
      </c>
      <c r="C424" s="6">
        <f>SUMIFS('Raw Data Sales'!M424:M1422, 'Raw Data Sales'!E424:E1422,A424)</f>
        <v>45</v>
      </c>
      <c r="D424" s="6">
        <f>SUMIFS('Raw Data Sales'!N424:N1422, 'Raw Data Sales'!E424:E1422, A424)</f>
        <v>9881.61</v>
      </c>
      <c r="E424" s="6">
        <f>AVERAGEIFS('Raw Data Sales'!G424:G1422, 'Raw Data Sales'!E424:E1422, A424)</f>
        <v>72.32</v>
      </c>
      <c r="F424" s="6" t="str">
        <f t="shared" si="2"/>
        <v>Zesty Cilantro Lime Dressing</v>
      </c>
    </row>
    <row r="425">
      <c r="A425" s="6" t="str">
        <f>IFERROR(__xludf.DUMMYFUNCTION("""COMPUTED_VALUE"""),"Durable Hiking Boots")</f>
        <v>Durable Hiking Boots</v>
      </c>
      <c r="B425" s="6" t="str">
        <f t="array" ref="B425">INDEX('Raw Data Sales'!F425:F1423, MATCH(A425, 'Raw Data Sales'!E425:E1423, 0))</f>
        <v>Footwear</v>
      </c>
      <c r="C425" s="6">
        <f>SUMIFS('Raw Data Sales'!M425:M1423, 'Raw Data Sales'!E425:E1423,A425)</f>
        <v>76</v>
      </c>
      <c r="D425" s="6">
        <f>SUMIFS('Raw Data Sales'!N425:N1423, 'Raw Data Sales'!E425:E1423, A425)</f>
        <v>3976.62</v>
      </c>
      <c r="E425" s="6">
        <f>AVERAGEIFS('Raw Data Sales'!G425:G1423, 'Raw Data Sales'!E425:E1423, A425)</f>
        <v>675.94</v>
      </c>
      <c r="F425" s="6" t="str">
        <f t="shared" si="2"/>
        <v>Zesty Cilantro Lime Dressing</v>
      </c>
    </row>
    <row r="426">
      <c r="A426" s="6" t="str">
        <f>IFERROR(__xludf.DUMMYFUNCTION("""COMPUTED_VALUE"""),"Smartphone Tripod")</f>
        <v>Smartphone Tripod</v>
      </c>
      <c r="B426" s="6" t="str">
        <f t="array" ref="B426">INDEX('Raw Data Sales'!F426:F1424, MATCH(A426, 'Raw Data Sales'!E426:E1424, 0))</f>
        <v>Photography</v>
      </c>
      <c r="C426" s="6">
        <f>SUMIFS('Raw Data Sales'!M426:M1424, 'Raw Data Sales'!E426:E1424,A426)</f>
        <v>58</v>
      </c>
      <c r="D426" s="6">
        <f>SUMIFS('Raw Data Sales'!N426:N1424, 'Raw Data Sales'!E426:E1424, A426)</f>
        <v>6771.16</v>
      </c>
      <c r="E426" s="6">
        <f>AVERAGEIFS('Raw Data Sales'!G426:G1424, 'Raw Data Sales'!E426:E1424, A426)</f>
        <v>826.31</v>
      </c>
      <c r="F426" s="6" t="str">
        <f t="shared" si="2"/>
        <v>Zesty Cilantro Lime Dressing</v>
      </c>
    </row>
    <row r="427">
      <c r="A427" s="6" t="str">
        <f>IFERROR(__xludf.DUMMYFUNCTION("""COMPUTED_VALUE"""),"Fire Roasted Salsa")</f>
        <v>Fire Roasted Salsa</v>
      </c>
      <c r="B427" s="6" t="str">
        <f t="array" ref="B427">INDEX('Raw Data Sales'!F427:F1425, MATCH(A427, 'Raw Data Sales'!E427:E1425, 0))</f>
        <v>Food - Condiments</v>
      </c>
      <c r="C427" s="6">
        <f>SUMIFS('Raw Data Sales'!M427:M1425, 'Raw Data Sales'!E427:E1425,A427)</f>
        <v>23</v>
      </c>
      <c r="D427" s="6">
        <f>SUMIFS('Raw Data Sales'!N427:N1425, 'Raw Data Sales'!E427:E1425, A427)</f>
        <v>7915.93</v>
      </c>
      <c r="E427" s="6">
        <f>AVERAGEIFS('Raw Data Sales'!G427:G1425, 'Raw Data Sales'!E427:E1425, A427)</f>
        <v>404.01</v>
      </c>
      <c r="F427" s="6" t="str">
        <f t="shared" si="2"/>
        <v>Zesty Cilantro Lime Dressing</v>
      </c>
    </row>
    <row r="428">
      <c r="A428" s="6" t="str">
        <f>IFERROR(__xludf.DUMMYFUNCTION("""COMPUTED_VALUE"""),"Fitness Balance Ball")</f>
        <v>Fitness Balance Ball</v>
      </c>
      <c r="B428" s="6" t="str">
        <f t="array" ref="B428">INDEX('Raw Data Sales'!F428:F1426, MATCH(A428, 'Raw Data Sales'!E428:E1426, 0))</f>
        <v>Fitness</v>
      </c>
      <c r="C428" s="6">
        <f>SUMIFS('Raw Data Sales'!M428:M1426, 'Raw Data Sales'!E428:E1426,A428)</f>
        <v>54</v>
      </c>
      <c r="D428" s="6">
        <f>SUMIFS('Raw Data Sales'!N428:N1426, 'Raw Data Sales'!E428:E1426, A428)</f>
        <v>6720.67</v>
      </c>
      <c r="E428" s="6">
        <f>AVERAGEIFS('Raw Data Sales'!G428:G1426, 'Raw Data Sales'!E428:E1426, A428)</f>
        <v>876.8</v>
      </c>
      <c r="F428" s="6" t="str">
        <f t="shared" si="2"/>
        <v>Zesty Cilantro Lime Dressing</v>
      </c>
    </row>
    <row r="429">
      <c r="A429" s="6" t="str">
        <f>IFERROR(__xludf.DUMMYFUNCTION("""COMPUTED_VALUE"""),"Baby Monitor")</f>
        <v>Baby Monitor</v>
      </c>
      <c r="B429" s="6" t="str">
        <f t="array" ref="B429">INDEX('Raw Data Sales'!F429:F1427, MATCH(A429, 'Raw Data Sales'!E429:E1427, 0))</f>
        <v>Baby</v>
      </c>
      <c r="C429" s="6">
        <f>SUMIFS('Raw Data Sales'!M429:M1427, 'Raw Data Sales'!E429:E1427,A429)</f>
        <v>23</v>
      </c>
      <c r="D429" s="6">
        <f>SUMIFS('Raw Data Sales'!N429:N1427, 'Raw Data Sales'!E429:E1427, A429)</f>
        <v>6162.78</v>
      </c>
      <c r="E429" s="6">
        <f>AVERAGEIFS('Raw Data Sales'!G429:G1427, 'Raw Data Sales'!E429:E1427, A429)</f>
        <v>580.31</v>
      </c>
      <c r="F429" s="6" t="str">
        <f t="shared" si="2"/>
        <v>Zesty Cilantro Lime Dressing</v>
      </c>
    </row>
    <row r="430">
      <c r="A430" s="6" t="str">
        <f>IFERROR(__xludf.DUMMYFUNCTION("""COMPUTED_VALUE"""),"LED Strip Light Kit")</f>
        <v>LED Strip Light Kit</v>
      </c>
      <c r="B430" s="6" t="str">
        <f t="array" ref="B430">INDEX('Raw Data Sales'!F430:F1428, MATCH(A430, 'Raw Data Sales'!E430:E1428, 0))</f>
        <v>Home</v>
      </c>
      <c r="C430" s="6">
        <f>SUMIFS('Raw Data Sales'!M430:M1428, 'Raw Data Sales'!E430:E1428,A430)</f>
        <v>93</v>
      </c>
      <c r="D430" s="6">
        <f>SUMIFS('Raw Data Sales'!N430:N1428, 'Raw Data Sales'!E430:E1428, A430)</f>
        <v>5311.46</v>
      </c>
      <c r="E430" s="6">
        <f>AVERAGEIFS('Raw Data Sales'!G430:G1428, 'Raw Data Sales'!E430:E1428, A430)</f>
        <v>377.84</v>
      </c>
      <c r="F430" s="6" t="str">
        <f t="shared" si="2"/>
        <v>Zesty Cilantro Lime Dressing</v>
      </c>
    </row>
    <row r="431">
      <c r="A431" s="6" t="str">
        <f>IFERROR(__xludf.DUMMYFUNCTION("""COMPUTED_VALUE"""),"Wireless Car Charger")</f>
        <v>Wireless Car Charger</v>
      </c>
      <c r="B431" s="6" t="str">
        <f t="array" ref="B431">INDEX('Raw Data Sales'!F431:F1429, MATCH(A431, 'Raw Data Sales'!E431:E1429, 0))</f>
        <v>Automotive</v>
      </c>
      <c r="C431" s="6">
        <f>SUMIFS('Raw Data Sales'!M431:M1429, 'Raw Data Sales'!E431:E1429,A431)</f>
        <v>44</v>
      </c>
      <c r="D431" s="6">
        <f>SUMIFS('Raw Data Sales'!N431:N1429, 'Raw Data Sales'!E431:E1429, A431)</f>
        <v>2455.42</v>
      </c>
      <c r="E431" s="6">
        <f>AVERAGEIFS('Raw Data Sales'!G431:G1429, 'Raw Data Sales'!E431:E1429, A431)</f>
        <v>213.15</v>
      </c>
      <c r="F431" s="6" t="str">
        <f t="shared" si="2"/>
        <v>Zesty Cilantro Lime Dressing</v>
      </c>
    </row>
    <row r="432">
      <c r="A432" s="6" t="str">
        <f>IFERROR(__xludf.DUMMYFUNCTION("""COMPUTED_VALUE"""),"Magnetic Curtain Tiebacks")</f>
        <v>Magnetic Curtain Tiebacks</v>
      </c>
      <c r="B432" s="6" t="str">
        <f t="array" ref="B432">INDEX('Raw Data Sales'!F432:F1430, MATCH(A432, 'Raw Data Sales'!E432:E1430, 0))</f>
        <v>Home</v>
      </c>
      <c r="C432" s="6">
        <f>SUMIFS('Raw Data Sales'!M432:M1430, 'Raw Data Sales'!E432:E1430,A432)</f>
        <v>10</v>
      </c>
      <c r="D432" s="6">
        <f>SUMIFS('Raw Data Sales'!N432:N1430, 'Raw Data Sales'!E432:E1430, A432)</f>
        <v>4616.71</v>
      </c>
      <c r="E432" s="6">
        <f>AVERAGEIFS('Raw Data Sales'!G432:G1430, 'Raw Data Sales'!E432:E1430, A432)</f>
        <v>675.5</v>
      </c>
      <c r="F432" s="6" t="str">
        <f t="shared" si="2"/>
        <v>Zesty Cilantro Lime Dressing</v>
      </c>
    </row>
    <row r="433">
      <c r="A433" s="6" t="str">
        <f>IFERROR(__xludf.DUMMYFUNCTION("""COMPUTED_VALUE"""),"Peanut Butter")</f>
        <v>Peanut Butter</v>
      </c>
      <c r="B433" s="6" t="str">
        <f t="array" ref="B433">INDEX('Raw Data Sales'!F433:F1431, MATCH(A433, 'Raw Data Sales'!E433:E1431, 0))</f>
        <v>Food - Condiments</v>
      </c>
      <c r="C433" s="6">
        <f>SUMIFS('Raw Data Sales'!M433:M1431, 'Raw Data Sales'!E433:E1431,A433)</f>
        <v>82</v>
      </c>
      <c r="D433" s="6">
        <f>SUMIFS('Raw Data Sales'!N433:N1431, 'Raw Data Sales'!E433:E1431, A433)</f>
        <v>1608.36</v>
      </c>
      <c r="E433" s="6">
        <f>AVERAGEIFS('Raw Data Sales'!G433:G1431, 'Raw Data Sales'!E433:E1431, A433)</f>
        <v>25.66</v>
      </c>
      <c r="F433" s="6" t="str">
        <f t="shared" si="2"/>
        <v>Zesty Cilantro Lime Dressing</v>
      </c>
    </row>
    <row r="434">
      <c r="A434" s="6" t="str">
        <f>IFERROR(__xludf.DUMMYFUNCTION("""COMPUTED_VALUE"""),"Maple Oatmeal")</f>
        <v>Maple Oatmeal</v>
      </c>
      <c r="B434" s="6" t="str">
        <f t="array" ref="B434">INDEX('Raw Data Sales'!F434:F1432, MATCH(A434, 'Raw Data Sales'!E434:E1432, 0))</f>
        <v>Food - Breakfast</v>
      </c>
      <c r="C434" s="6">
        <f>SUMIFS('Raw Data Sales'!M434:M1432, 'Raw Data Sales'!E434:E1432,A434)</f>
        <v>51</v>
      </c>
      <c r="D434" s="6">
        <f>SUMIFS('Raw Data Sales'!N434:N1432, 'Raw Data Sales'!E434:E1432, A434)</f>
        <v>5412.12</v>
      </c>
      <c r="E434" s="6">
        <f>AVERAGEIFS('Raw Data Sales'!G434:G1432, 'Raw Data Sales'!E434:E1432, A434)</f>
        <v>936.81</v>
      </c>
      <c r="F434" s="6" t="str">
        <f t="shared" si="2"/>
        <v>Zesty Cilantro Lime Dressing</v>
      </c>
    </row>
    <row r="435">
      <c r="A435" s="6" t="str">
        <f>IFERROR(__xludf.DUMMYFUNCTION("""COMPUTED_VALUE"""),"Caribbean Jerk Marinade")</f>
        <v>Caribbean Jerk Marinade</v>
      </c>
      <c r="B435" s="6" t="str">
        <f t="array" ref="B435">INDEX('Raw Data Sales'!F435:F1433, MATCH(A435, 'Raw Data Sales'!E435:E1433, 0))</f>
        <v>Food - Marinades</v>
      </c>
      <c r="C435" s="6">
        <f>SUMIFS('Raw Data Sales'!M435:M1433, 'Raw Data Sales'!E435:E1433,A435)</f>
        <v>42</v>
      </c>
      <c r="D435" s="6">
        <f>SUMIFS('Raw Data Sales'!N435:N1433, 'Raw Data Sales'!E435:E1433, A435)</f>
        <v>945.21</v>
      </c>
      <c r="E435" s="6">
        <f>AVERAGEIFS('Raw Data Sales'!G435:G1433, 'Raw Data Sales'!E435:E1433, A435)</f>
        <v>546.49</v>
      </c>
      <c r="F435" s="6" t="str">
        <f t="shared" si="2"/>
        <v>Zesty Cilantro Lime Dressing</v>
      </c>
    </row>
    <row r="436">
      <c r="A436" s="6" t="str">
        <f>IFERROR(__xludf.DUMMYFUNCTION("""COMPUTED_VALUE"""),"Basmati Rice")</f>
        <v>Basmati Rice</v>
      </c>
      <c r="B436" s="6" t="str">
        <f t="array" ref="B436">INDEX('Raw Data Sales'!F436:F1434, MATCH(A436, 'Raw Data Sales'!E436:E1434, 0))</f>
        <v>Food - Grains</v>
      </c>
      <c r="C436" s="6">
        <f>SUMIFS('Raw Data Sales'!M436:M1434, 'Raw Data Sales'!E436:E1434,A436)</f>
        <v>91</v>
      </c>
      <c r="D436" s="6">
        <f>SUMIFS('Raw Data Sales'!N436:N1434, 'Raw Data Sales'!E436:E1434, A436)</f>
        <v>8100.07</v>
      </c>
      <c r="E436" s="6">
        <f>AVERAGEIFS('Raw Data Sales'!G436:G1434, 'Raw Data Sales'!E436:E1434, A436)</f>
        <v>227.28</v>
      </c>
      <c r="F436" s="6" t="str">
        <f t="shared" si="2"/>
        <v>Zesty Cilantro Lime Dressing</v>
      </c>
    </row>
    <row r="437">
      <c r="A437" s="6" t="str">
        <f>IFERROR(__xludf.DUMMYFUNCTION("""COMPUTED_VALUE"""),"Travel Yoga Mat")</f>
        <v>Travel Yoga Mat</v>
      </c>
      <c r="B437" s="6" t="str">
        <f t="array" ref="B437">INDEX('Raw Data Sales'!F437:F1435, MATCH(A437, 'Raw Data Sales'!E437:E1435, 0))</f>
        <v>Fitness</v>
      </c>
      <c r="C437" s="6">
        <f>SUMIFS('Raw Data Sales'!M437:M1435, 'Raw Data Sales'!E437:E1435,A437)</f>
        <v>62</v>
      </c>
      <c r="D437" s="6">
        <f>SUMIFS('Raw Data Sales'!N437:N1435, 'Raw Data Sales'!E437:E1435, A437)</f>
        <v>8116.81</v>
      </c>
      <c r="E437" s="6">
        <f>AVERAGEIFS('Raw Data Sales'!G437:G1435, 'Raw Data Sales'!E437:E1435, A437)</f>
        <v>703.32</v>
      </c>
      <c r="F437" s="6" t="str">
        <f t="shared" si="2"/>
        <v>Zesty Cilantro Lime Dressing</v>
      </c>
    </row>
    <row r="438">
      <c r="A438" s="6" t="str">
        <f>IFERROR(__xludf.DUMMYFUNCTION("""COMPUTED_VALUE"""),"Balsamic Salad Dressing")</f>
        <v>Balsamic Salad Dressing</v>
      </c>
      <c r="B438" s="6" t="str">
        <f t="array" ref="B438">INDEX('Raw Data Sales'!F438:F1436, MATCH(A438, 'Raw Data Sales'!E438:E1436, 0))</f>
        <v>Food - Deli</v>
      </c>
      <c r="C438" s="6">
        <f>SUMIFS('Raw Data Sales'!M438:M1436, 'Raw Data Sales'!E438:E1436,A438)</f>
        <v>25</v>
      </c>
      <c r="D438" s="6">
        <f>SUMIFS('Raw Data Sales'!N438:N1436, 'Raw Data Sales'!E438:E1436, A438)</f>
        <v>6386.09</v>
      </c>
      <c r="E438" s="6">
        <f>AVERAGEIFS('Raw Data Sales'!G438:G1436, 'Raw Data Sales'!E438:E1436, A438)</f>
        <v>87.61</v>
      </c>
      <c r="F438" s="6" t="str">
        <f t="shared" si="2"/>
        <v>Zesty Cilantro Lime Dressing</v>
      </c>
    </row>
    <row r="439">
      <c r="A439" s="6" t="str">
        <f>IFERROR(__xludf.DUMMYFUNCTION("""COMPUTED_VALUE"""),"Gardening Gloves with Claws")</f>
        <v>Gardening Gloves with Claws</v>
      </c>
      <c r="B439" s="6" t="str">
        <f t="array" ref="B439">INDEX('Raw Data Sales'!F439:F1437, MATCH(A439, 'Raw Data Sales'!E439:E1437, 0))</f>
        <v>Garden</v>
      </c>
      <c r="C439" s="6">
        <f>SUMIFS('Raw Data Sales'!M439:M1437, 'Raw Data Sales'!E439:E1437,A439)</f>
        <v>41</v>
      </c>
      <c r="D439" s="6">
        <f>SUMIFS('Raw Data Sales'!N439:N1437, 'Raw Data Sales'!E439:E1437, A439)</f>
        <v>15959</v>
      </c>
      <c r="E439" s="6">
        <f>AVERAGEIFS('Raw Data Sales'!G439:G1437, 'Raw Data Sales'!E439:E1437, A439)</f>
        <v>447.655</v>
      </c>
      <c r="F439" s="6" t="str">
        <f t="shared" si="2"/>
        <v>Zesty Cilantro Lime Dressing</v>
      </c>
    </row>
    <row r="440">
      <c r="A440" s="6" t="str">
        <f>IFERROR(__xludf.DUMMYFUNCTION("""COMPUTED_VALUE"""),"Handcrafted Wooden Coasters")</f>
        <v>Handcrafted Wooden Coasters</v>
      </c>
      <c r="B440" s="6" t="str">
        <f t="array" ref="B440">INDEX('Raw Data Sales'!F440:F1438, MATCH(A440, 'Raw Data Sales'!E440:E1438, 0))</f>
        <v>Home</v>
      </c>
      <c r="C440" s="6">
        <f>SUMIFS('Raw Data Sales'!M440:M1438, 'Raw Data Sales'!E440:E1438,A440)</f>
        <v>49</v>
      </c>
      <c r="D440" s="6">
        <f>SUMIFS('Raw Data Sales'!N440:N1438, 'Raw Data Sales'!E440:E1438, A440)</f>
        <v>8913.41</v>
      </c>
      <c r="E440" s="6">
        <f>AVERAGEIFS('Raw Data Sales'!G440:G1438, 'Raw Data Sales'!E440:E1438, A440)</f>
        <v>694.67</v>
      </c>
      <c r="F440" s="6" t="str">
        <f t="shared" si="2"/>
        <v>Zesty Cilantro Lime Dressing</v>
      </c>
    </row>
    <row r="441">
      <c r="A441" s="6" t="str">
        <f>IFERROR(__xludf.DUMMYFUNCTION("""COMPUTED_VALUE"""),"Chia Seed Pudding Mix")</f>
        <v>Chia Seed Pudding Mix</v>
      </c>
      <c r="B441" s="6" t="str">
        <f t="array" ref="B441">INDEX('Raw Data Sales'!F441:F1439, MATCH(A441, 'Raw Data Sales'!E441:E1439, 0))</f>
        <v>Food - Breakfast</v>
      </c>
      <c r="C441" s="6">
        <f>SUMIFS('Raw Data Sales'!M441:M1439, 'Raw Data Sales'!E441:E1439,A441)</f>
        <v>157</v>
      </c>
      <c r="D441" s="6">
        <f>SUMIFS('Raw Data Sales'!N441:N1439, 'Raw Data Sales'!E441:E1439, A441)</f>
        <v>6344.99</v>
      </c>
      <c r="E441" s="6">
        <f>AVERAGEIFS('Raw Data Sales'!G441:G1439, 'Raw Data Sales'!E441:E1439, A441)</f>
        <v>546.02</v>
      </c>
      <c r="F441" s="6" t="str">
        <f t="shared" si="2"/>
        <v>Zesty Cilantro Lime Dressing</v>
      </c>
    </row>
    <row r="442">
      <c r="A442" s="6" t="str">
        <f>IFERROR(__xludf.DUMMYFUNCTION("""COMPUTED_VALUE"""),"Coconut Milk Yogurt")</f>
        <v>Coconut Milk Yogurt</v>
      </c>
      <c r="B442" s="6" t="str">
        <f t="array" ref="B442">INDEX('Raw Data Sales'!F442:F1440, MATCH(A442, 'Raw Data Sales'!E442:E1440, 0))</f>
        <v>Food - Dairy Alternatives</v>
      </c>
      <c r="C442" s="6">
        <f>SUMIFS('Raw Data Sales'!M442:M1440, 'Raw Data Sales'!E442:E1440,A442)</f>
        <v>100</v>
      </c>
      <c r="D442" s="6">
        <f>SUMIFS('Raw Data Sales'!N442:N1440, 'Raw Data Sales'!E442:E1440, A442)</f>
        <v>2033.97</v>
      </c>
      <c r="E442" s="6">
        <f>AVERAGEIFS('Raw Data Sales'!G442:G1440, 'Raw Data Sales'!E442:E1440, A442)</f>
        <v>62.71</v>
      </c>
      <c r="F442" s="6" t="str">
        <f t="shared" si="2"/>
        <v>Zesty Cilantro Lime Dressing</v>
      </c>
    </row>
    <row r="443">
      <c r="A443" s="6" t="str">
        <f>IFERROR(__xludf.DUMMYFUNCTION("""COMPUTED_VALUE"""),"Mini Fondue Set")</f>
        <v>Mini Fondue Set</v>
      </c>
      <c r="B443" s="6" t="str">
        <f t="array" ref="B443">INDEX('Raw Data Sales'!F443:F1441, MATCH(A443, 'Raw Data Sales'!E443:E1441, 0))</f>
        <v>Kitchen</v>
      </c>
      <c r="C443" s="6">
        <f>SUMIFS('Raw Data Sales'!M443:M1441, 'Raw Data Sales'!E443:E1441,A443)</f>
        <v>129</v>
      </c>
      <c r="D443" s="6">
        <f>SUMIFS('Raw Data Sales'!N443:N1441, 'Raw Data Sales'!E443:E1441, A443)</f>
        <v>9477.07</v>
      </c>
      <c r="E443" s="6">
        <f>AVERAGEIFS('Raw Data Sales'!G443:G1441, 'Raw Data Sales'!E443:E1441, A443)</f>
        <v>750.235</v>
      </c>
      <c r="F443" s="6" t="str">
        <f t="shared" si="2"/>
        <v>Zesty Cilantro Lime Dressing</v>
      </c>
    </row>
    <row r="444">
      <c r="A444" s="6" t="str">
        <f>IFERROR(__xludf.DUMMYFUNCTION("""COMPUTED_VALUE"""),"Cinnamon Sugar Tortilla Chips")</f>
        <v>Cinnamon Sugar Tortilla Chips</v>
      </c>
      <c r="B444" s="6" t="str">
        <f t="array" ref="B444">INDEX('Raw Data Sales'!F444:F1442, MATCH(A444, 'Raw Data Sales'!E444:E1442, 0))</f>
        <v>Food - Snacks</v>
      </c>
      <c r="C444" s="6">
        <f>SUMIFS('Raw Data Sales'!M444:M1442, 'Raw Data Sales'!E444:E1442,A444)</f>
        <v>179</v>
      </c>
      <c r="D444" s="6">
        <f>SUMIFS('Raw Data Sales'!N444:N1442, 'Raw Data Sales'!E444:E1442, A444)</f>
        <v>9535.29</v>
      </c>
      <c r="E444" s="6">
        <f>AVERAGEIFS('Raw Data Sales'!G444:G1442, 'Raw Data Sales'!E444:E1442, A444)</f>
        <v>79.145</v>
      </c>
      <c r="F444" s="6" t="str">
        <f t="shared" si="2"/>
        <v>Zesty Cilantro Lime Dressing</v>
      </c>
    </row>
    <row r="445">
      <c r="A445" s="6" t="str">
        <f>IFERROR(__xludf.DUMMYFUNCTION("""COMPUTED_VALUE"""),"Honey Ginger Tea")</f>
        <v>Honey Ginger Tea</v>
      </c>
      <c r="B445" s="6" t="str">
        <f t="array" ref="B445">INDEX('Raw Data Sales'!F445:F1443, MATCH(A445, 'Raw Data Sales'!E445:E1443, 0))</f>
        <v>Food - Beverages</v>
      </c>
      <c r="C445" s="6">
        <f>SUMIFS('Raw Data Sales'!M445:M1443, 'Raw Data Sales'!E445:E1443,A445)</f>
        <v>87</v>
      </c>
      <c r="D445" s="6">
        <f>SUMIFS('Raw Data Sales'!N445:N1443, 'Raw Data Sales'!E445:E1443, A445)</f>
        <v>8247.36</v>
      </c>
      <c r="E445" s="6">
        <f>AVERAGEIFS('Raw Data Sales'!G445:G1443, 'Raw Data Sales'!E445:E1443, A445)</f>
        <v>704.325</v>
      </c>
      <c r="F445" s="6" t="str">
        <f t="shared" si="2"/>
        <v>Zesty Cilantro Lime Dressing</v>
      </c>
    </row>
    <row r="446">
      <c r="A446" s="6" t="str">
        <f>IFERROR(__xludf.DUMMYFUNCTION("""COMPUTED_VALUE"""),"Garlic Parmesan Roasted Potatoes")</f>
        <v>Garlic Parmesan Roasted Potatoes</v>
      </c>
      <c r="B446" s="6" t="str">
        <f t="array" ref="B446">INDEX('Raw Data Sales'!F446:F1444, MATCH(A446, 'Raw Data Sales'!E446:E1444, 0))</f>
        <v>Food - Sides</v>
      </c>
      <c r="C446" s="6">
        <f>SUMIFS('Raw Data Sales'!M446:M1444, 'Raw Data Sales'!E446:E1444,A446)</f>
        <v>194</v>
      </c>
      <c r="D446" s="6">
        <f>SUMIFS('Raw Data Sales'!N446:N1444, 'Raw Data Sales'!E446:E1444, A446)</f>
        <v>12584.56</v>
      </c>
      <c r="E446" s="6">
        <f>AVERAGEIFS('Raw Data Sales'!G446:G1444, 'Raw Data Sales'!E446:E1444, A446)</f>
        <v>221.4666667</v>
      </c>
      <c r="F446" s="6" t="str">
        <f t="shared" si="2"/>
        <v>Zesty Cilantro Lime Dressing</v>
      </c>
    </row>
    <row r="447">
      <c r="A447" s="6" t="str">
        <f>IFERROR(__xludf.DUMMYFUNCTION("""COMPUTED_VALUE"""),"Blueberry Chia Jam")</f>
        <v>Blueberry Chia Jam</v>
      </c>
      <c r="B447" s="6" t="str">
        <f t="array" ref="B447">INDEX('Raw Data Sales'!F447:F1445, MATCH(A447, 'Raw Data Sales'!E447:E1445, 0))</f>
        <v>Food - Spreads</v>
      </c>
      <c r="C447" s="6">
        <f>SUMIFS('Raw Data Sales'!M447:M1445, 'Raw Data Sales'!E447:E1445,A447)</f>
        <v>86</v>
      </c>
      <c r="D447" s="6">
        <f>SUMIFS('Raw Data Sales'!N447:N1445, 'Raw Data Sales'!E447:E1445, A447)</f>
        <v>2093.45</v>
      </c>
      <c r="E447" s="6">
        <f>AVERAGEIFS('Raw Data Sales'!G447:G1445, 'Raw Data Sales'!E447:E1445, A447)</f>
        <v>563.49</v>
      </c>
      <c r="F447" s="6" t="str">
        <f t="shared" si="2"/>
        <v>Zesty Cilantro Lime Dressing</v>
      </c>
    </row>
    <row r="448">
      <c r="A448" s="6" t="str">
        <f>IFERROR(__xludf.DUMMYFUNCTION("""COMPUTED_VALUE"""),"Multi-Port USB Hub")</f>
        <v>Multi-Port USB Hub</v>
      </c>
      <c r="B448" s="6" t="str">
        <f t="array" ref="B448">INDEX('Raw Data Sales'!F448:F1446, MATCH(A448, 'Raw Data Sales'!E448:E1446, 0))</f>
        <v>Electronics</v>
      </c>
      <c r="C448" s="6">
        <f>SUMIFS('Raw Data Sales'!M448:M1446, 'Raw Data Sales'!E448:E1446,A448)</f>
        <v>113</v>
      </c>
      <c r="D448" s="6">
        <f>SUMIFS('Raw Data Sales'!N448:N1446, 'Raw Data Sales'!E448:E1446, A448)</f>
        <v>16043.11</v>
      </c>
      <c r="E448" s="6">
        <f>AVERAGEIFS('Raw Data Sales'!G448:G1446, 'Raw Data Sales'!E448:E1446, A448)</f>
        <v>351.635</v>
      </c>
      <c r="F448" s="6" t="str">
        <f t="shared" si="2"/>
        <v>Zesty Cilantro Lime Dressing</v>
      </c>
    </row>
    <row r="449">
      <c r="A449" s="6" t="str">
        <f>IFERROR(__xludf.DUMMYFUNCTION("""COMPUTED_VALUE"""),"Mixed Berry Smoothie Pack")</f>
        <v>Mixed Berry Smoothie Pack</v>
      </c>
      <c r="B449" s="6" t="str">
        <f t="array" ref="B449">INDEX('Raw Data Sales'!F449:F1447, MATCH(A449, 'Raw Data Sales'!E449:E1447, 0))</f>
        <v>Food - Frozen Food</v>
      </c>
      <c r="C449" s="6">
        <f>SUMIFS('Raw Data Sales'!M449:M1447, 'Raw Data Sales'!E449:E1447,A449)</f>
        <v>72</v>
      </c>
      <c r="D449" s="6">
        <f>SUMIFS('Raw Data Sales'!N449:N1447, 'Raw Data Sales'!E449:E1447, A449)</f>
        <v>14600.54</v>
      </c>
      <c r="E449" s="6">
        <f>AVERAGEIFS('Raw Data Sales'!G449:G1447, 'Raw Data Sales'!E449:E1447, A449)</f>
        <v>400.325</v>
      </c>
      <c r="F449" s="6" t="str">
        <f t="shared" si="2"/>
        <v>Zesty Cilantro Lime Dressing</v>
      </c>
    </row>
    <row r="450">
      <c r="A450" s="6" t="str">
        <f>IFERROR(__xludf.DUMMYFUNCTION("""COMPUTED_VALUE"""),"Veggie Chips Variety Pack")</f>
        <v>Veggie Chips Variety Pack</v>
      </c>
      <c r="B450" s="6" t="str">
        <f t="array" ref="B450">INDEX('Raw Data Sales'!F450:F1448, MATCH(A450, 'Raw Data Sales'!E450:E1448, 0))</f>
        <v>Food - Snacks</v>
      </c>
      <c r="C450" s="6">
        <f>SUMIFS('Raw Data Sales'!M450:M1448, 'Raw Data Sales'!E450:E1448,A450)</f>
        <v>2</v>
      </c>
      <c r="D450" s="6">
        <f>SUMIFS('Raw Data Sales'!N450:N1448, 'Raw Data Sales'!E450:E1448, A450)</f>
        <v>893.11</v>
      </c>
      <c r="E450" s="6">
        <f>AVERAGEIFS('Raw Data Sales'!G450:G1448, 'Raw Data Sales'!E450:E1448, A450)</f>
        <v>79.01</v>
      </c>
      <c r="F450" s="6" t="str">
        <f t="shared" si="2"/>
        <v>Zesty Cilantro Lime Dressing</v>
      </c>
    </row>
    <row r="451">
      <c r="A451" s="6" t="str">
        <f>IFERROR(__xludf.DUMMYFUNCTION("""COMPUTED_VALUE"""),"DIY Lip Balm Making Kit")</f>
        <v>DIY Lip Balm Making Kit</v>
      </c>
      <c r="B451" s="6" t="str">
        <f t="array" ref="B451">INDEX('Raw Data Sales'!F451:F1449, MATCH(A451, 'Raw Data Sales'!E451:E1449, 0))</f>
        <v>Crafts</v>
      </c>
      <c r="C451" s="6">
        <f>SUMIFS('Raw Data Sales'!M451:M1449, 'Raw Data Sales'!E451:E1449,A451)</f>
        <v>5</v>
      </c>
      <c r="D451" s="6">
        <f>SUMIFS('Raw Data Sales'!N451:N1449, 'Raw Data Sales'!E451:E1449, A451)</f>
        <v>3080.63</v>
      </c>
      <c r="E451" s="6">
        <f>AVERAGEIFS('Raw Data Sales'!G451:G1449, 'Raw Data Sales'!E451:E1449, A451)</f>
        <v>987.79</v>
      </c>
      <c r="F451" s="6" t="str">
        <f t="shared" si="2"/>
        <v>Zesty Cilantro Lime Dressing</v>
      </c>
    </row>
    <row r="452">
      <c r="A452" s="6" t="str">
        <f>IFERROR(__xludf.DUMMYFUNCTION("""COMPUTED_VALUE"""),"Handheld Shower Head")</f>
        <v>Handheld Shower Head</v>
      </c>
      <c r="B452" s="6" t="str">
        <f t="array" ref="B452">INDEX('Raw Data Sales'!F452:F1450, MATCH(A452, 'Raw Data Sales'!E452:E1450, 0))</f>
        <v>Bathroom</v>
      </c>
      <c r="C452" s="6">
        <f>SUMIFS('Raw Data Sales'!M452:M1450, 'Raw Data Sales'!E452:E1450,A452)</f>
        <v>93</v>
      </c>
      <c r="D452" s="6">
        <f>SUMIFS('Raw Data Sales'!N452:N1450, 'Raw Data Sales'!E452:E1450, A452)</f>
        <v>8422.24</v>
      </c>
      <c r="E452" s="6">
        <f>AVERAGEIFS('Raw Data Sales'!G452:G1450, 'Raw Data Sales'!E452:E1450, A452)</f>
        <v>602.42</v>
      </c>
      <c r="F452" s="6" t="str">
        <f t="shared" si="2"/>
        <v>Zesty Cilantro Lime Dressing</v>
      </c>
    </row>
    <row r="453">
      <c r="A453" s="6" t="str">
        <f>IFERROR(__xludf.DUMMYFUNCTION("""COMPUTED_VALUE"""),"Organic Lentil Soup")</f>
        <v>Organic Lentil Soup</v>
      </c>
      <c r="B453" s="6" t="str">
        <f t="array" ref="B453">INDEX('Raw Data Sales'!F453:F1451, MATCH(A453, 'Raw Data Sales'!E453:E1451, 0))</f>
        <v>Food - Soups</v>
      </c>
      <c r="C453" s="6">
        <f>SUMIFS('Raw Data Sales'!M453:M1451, 'Raw Data Sales'!E453:E1451,A453)</f>
        <v>75</v>
      </c>
      <c r="D453" s="6">
        <f>SUMIFS('Raw Data Sales'!N453:N1451, 'Raw Data Sales'!E453:E1451, A453)</f>
        <v>1446.95</v>
      </c>
      <c r="E453" s="6">
        <f>AVERAGEIFS('Raw Data Sales'!G453:G1451, 'Raw Data Sales'!E453:E1451, A453)</f>
        <v>749.48</v>
      </c>
      <c r="F453" s="6" t="str">
        <f t="shared" si="2"/>
        <v>Zesty Cilantro Lime Dressing</v>
      </c>
    </row>
    <row r="454">
      <c r="A454" s="6" t="str">
        <f>IFERROR(__xludf.DUMMYFUNCTION("""COMPUTED_VALUE"""),"Cocoa Powder")</f>
        <v>Cocoa Powder</v>
      </c>
      <c r="B454" s="6" t="str">
        <f t="array" ref="B454">INDEX('Raw Data Sales'!F454:F1452, MATCH(A454, 'Raw Data Sales'!E454:E1452, 0))</f>
        <v>Food - Baking</v>
      </c>
      <c r="C454" s="6">
        <f>SUMIFS('Raw Data Sales'!M454:M1452, 'Raw Data Sales'!E454:E1452,A454)</f>
        <v>89</v>
      </c>
      <c r="D454" s="6">
        <f>SUMIFS('Raw Data Sales'!N454:N1452, 'Raw Data Sales'!E454:E1452, A454)</f>
        <v>6881.97</v>
      </c>
      <c r="E454" s="6">
        <f>AVERAGEIFS('Raw Data Sales'!G454:G1452, 'Raw Data Sales'!E454:E1452, A454)</f>
        <v>954.19</v>
      </c>
      <c r="F454" s="6" t="str">
        <f t="shared" si="2"/>
        <v>Zesty Cilantro Lime Dressing</v>
      </c>
    </row>
    <row r="455">
      <c r="A455" s="6" t="str">
        <f>IFERROR(__xludf.DUMMYFUNCTION("""COMPUTED_VALUE"""),"Pet Food Storage Container")</f>
        <v>Pet Food Storage Container</v>
      </c>
      <c r="B455" s="6" t="str">
        <f t="array" ref="B455">INDEX('Raw Data Sales'!F455:F1453, MATCH(A455, 'Raw Data Sales'!E455:E1453, 0))</f>
        <v>Pets</v>
      </c>
      <c r="C455" s="6">
        <f>SUMIFS('Raw Data Sales'!M455:M1453, 'Raw Data Sales'!E455:E1453,A455)</f>
        <v>6</v>
      </c>
      <c r="D455" s="6">
        <f>SUMIFS('Raw Data Sales'!N455:N1453, 'Raw Data Sales'!E455:E1453, A455)</f>
        <v>2827.05</v>
      </c>
      <c r="E455" s="6">
        <f>AVERAGEIFS('Raw Data Sales'!G455:G1453, 'Raw Data Sales'!E455:E1453, A455)</f>
        <v>474.97</v>
      </c>
      <c r="F455" s="6" t="str">
        <f t="shared" si="2"/>
        <v>Zesty Cilantro Lime Dressing</v>
      </c>
    </row>
    <row r="456">
      <c r="A456" s="6" t="str">
        <f>IFERROR(__xludf.DUMMYFUNCTION("""COMPUTED_VALUE"""),"Sweet Cherry Tomatoes")</f>
        <v>Sweet Cherry Tomatoes</v>
      </c>
      <c r="B456" s="6" t="str">
        <f t="array" ref="B456">INDEX('Raw Data Sales'!F456:F1454, MATCH(A456, 'Raw Data Sales'!E456:E1454, 0))</f>
        <v>Food - Produce</v>
      </c>
      <c r="C456" s="6">
        <f>SUMIFS('Raw Data Sales'!M456:M1454, 'Raw Data Sales'!E456:E1454,A456)</f>
        <v>25</v>
      </c>
      <c r="D456" s="6">
        <f>SUMIFS('Raw Data Sales'!N456:N1454, 'Raw Data Sales'!E456:E1454, A456)</f>
        <v>6688.85</v>
      </c>
      <c r="E456" s="6">
        <f>AVERAGEIFS('Raw Data Sales'!G456:G1454, 'Raw Data Sales'!E456:E1454, A456)</f>
        <v>44.29</v>
      </c>
      <c r="F456" s="6" t="str">
        <f t="shared" si="2"/>
        <v>Zesty Cilantro Lime Dressing</v>
      </c>
    </row>
    <row r="457">
      <c r="A457" s="6" t="str">
        <f>IFERROR(__xludf.DUMMYFUNCTION("""COMPUTED_VALUE"""),"Cranberry Pecan Granola")</f>
        <v>Cranberry Pecan Granola</v>
      </c>
      <c r="B457" s="6" t="str">
        <f t="array" ref="B457">INDEX('Raw Data Sales'!F457:F1455, MATCH(A457, 'Raw Data Sales'!E457:E1455, 0))</f>
        <v>Food - Breakfast Foods</v>
      </c>
      <c r="C457" s="6">
        <f>SUMIFS('Raw Data Sales'!M457:M1455, 'Raw Data Sales'!E457:E1455,A457)</f>
        <v>79</v>
      </c>
      <c r="D457" s="6">
        <f>SUMIFS('Raw Data Sales'!N457:N1455, 'Raw Data Sales'!E457:E1455, A457)</f>
        <v>29.31</v>
      </c>
      <c r="E457" s="6">
        <f>AVERAGEIFS('Raw Data Sales'!G457:G1455, 'Raw Data Sales'!E457:E1455, A457)</f>
        <v>623.2</v>
      </c>
      <c r="F457" s="6" t="str">
        <f t="shared" si="2"/>
        <v>Zesty Cilantro Lime Dressing</v>
      </c>
    </row>
    <row r="458">
      <c r="A458" s="6" t="str">
        <f>IFERROR(__xludf.DUMMYFUNCTION("""COMPUTED_VALUE"""),"Instant Read Meat Thermometer")</f>
        <v>Instant Read Meat Thermometer</v>
      </c>
      <c r="B458" s="6" t="str">
        <f t="array" ref="B458">INDEX('Raw Data Sales'!F458:F1456, MATCH(A458, 'Raw Data Sales'!E458:E1456, 0))</f>
        <v>Kitchen</v>
      </c>
      <c r="C458" s="6">
        <f>SUMIFS('Raw Data Sales'!M458:M1456, 'Raw Data Sales'!E458:E1456,A458)</f>
        <v>100</v>
      </c>
      <c r="D458" s="6">
        <f>SUMIFS('Raw Data Sales'!N458:N1456, 'Raw Data Sales'!E458:E1456, A458)</f>
        <v>4720.58</v>
      </c>
      <c r="E458" s="6">
        <f>AVERAGEIFS('Raw Data Sales'!G458:G1456, 'Raw Data Sales'!E458:E1456, A458)</f>
        <v>683.7</v>
      </c>
      <c r="F458" s="6" t="str">
        <f t="shared" si="2"/>
        <v>Zesty Cilantro Lime Dressing</v>
      </c>
    </row>
    <row r="459">
      <c r="A459" s="6" t="str">
        <f>IFERROR(__xludf.DUMMYFUNCTION("""COMPUTED_VALUE"""),"Adjustable Window Blind")</f>
        <v>Adjustable Window Blind</v>
      </c>
      <c r="B459" s="6" t="str">
        <f t="array" ref="B459">INDEX('Raw Data Sales'!F459:F1457, MATCH(A459, 'Raw Data Sales'!E459:E1457, 0))</f>
        <v>Home</v>
      </c>
      <c r="C459" s="6">
        <f>SUMIFS('Raw Data Sales'!M459:M1457, 'Raw Data Sales'!E459:E1457,A459)</f>
        <v>116</v>
      </c>
      <c r="D459" s="6">
        <f>SUMIFS('Raw Data Sales'!N459:N1457, 'Raw Data Sales'!E459:E1457, A459)</f>
        <v>7972.88</v>
      </c>
      <c r="E459" s="6">
        <f>AVERAGEIFS('Raw Data Sales'!G459:G1457, 'Raw Data Sales'!E459:E1457, A459)</f>
        <v>556.71</v>
      </c>
      <c r="F459" s="6" t="str">
        <f t="shared" si="2"/>
        <v>Zesty Cilantro Lime Dressing</v>
      </c>
    </row>
    <row r="460">
      <c r="A460" s="6" t="str">
        <f>IFERROR(__xludf.DUMMYFUNCTION("""COMPUTED_VALUE"""),"Garlic Breadsticks")</f>
        <v>Garlic Breadsticks</v>
      </c>
      <c r="B460" s="6" t="str">
        <f t="array" ref="B460">INDEX('Raw Data Sales'!F460:F1458, MATCH(A460, 'Raw Data Sales'!E460:E1458, 0))</f>
        <v>Food - Sides</v>
      </c>
      <c r="C460" s="6">
        <f>SUMIFS('Raw Data Sales'!M460:M1458, 'Raw Data Sales'!E460:E1458,A460)</f>
        <v>84</v>
      </c>
      <c r="D460" s="6">
        <f>SUMIFS('Raw Data Sales'!N460:N1458, 'Raw Data Sales'!E460:E1458, A460)</f>
        <v>1317.65</v>
      </c>
      <c r="E460" s="6">
        <f>AVERAGEIFS('Raw Data Sales'!G460:G1458, 'Raw Data Sales'!E460:E1458, A460)</f>
        <v>702.79</v>
      </c>
      <c r="F460" s="6" t="str">
        <f t="shared" si="2"/>
        <v>Zesty Cilantro Lime Dressing</v>
      </c>
    </row>
    <row r="461">
      <c r="A461" s="6" t="str">
        <f>IFERROR(__xludf.DUMMYFUNCTION("""COMPUTED_VALUE"""),"Maple Cinnamon Granola")</f>
        <v>Maple Cinnamon Granola</v>
      </c>
      <c r="B461" s="6" t="str">
        <f t="array" ref="B461">INDEX('Raw Data Sales'!F461:F1459, MATCH(A461, 'Raw Data Sales'!E461:E1459, 0))</f>
        <v>Food - Cereals</v>
      </c>
      <c r="C461" s="6">
        <f>SUMIFS('Raw Data Sales'!M461:M1459, 'Raw Data Sales'!E461:E1459,A461)</f>
        <v>53</v>
      </c>
      <c r="D461" s="6">
        <f>SUMIFS('Raw Data Sales'!N461:N1459, 'Raw Data Sales'!E461:E1459, A461)</f>
        <v>5476.38</v>
      </c>
      <c r="E461" s="6">
        <f>AVERAGEIFS('Raw Data Sales'!G461:G1459, 'Raw Data Sales'!E461:E1459, A461)</f>
        <v>822</v>
      </c>
      <c r="F461" s="6" t="str">
        <f t="shared" si="2"/>
        <v>Zesty Cilantro Lime Dressing</v>
      </c>
    </row>
    <row r="462">
      <c r="A462" s="6" t="str">
        <f>IFERROR(__xludf.DUMMYFUNCTION("""COMPUTED_VALUE"""),"Almond Joy Protein Bars")</f>
        <v>Almond Joy Protein Bars</v>
      </c>
      <c r="B462" s="6" t="str">
        <f t="array" ref="B462">INDEX('Raw Data Sales'!F462:F1460, MATCH(A462, 'Raw Data Sales'!E462:E1460, 0))</f>
        <v>Food - Snacks</v>
      </c>
      <c r="C462" s="6">
        <f>SUMIFS('Raw Data Sales'!M462:M1460, 'Raw Data Sales'!E462:E1460,A462)</f>
        <v>54</v>
      </c>
      <c r="D462" s="6">
        <f>SUMIFS('Raw Data Sales'!N462:N1460, 'Raw Data Sales'!E462:E1460, A462)</f>
        <v>9628.42</v>
      </c>
      <c r="E462" s="6">
        <f>AVERAGEIFS('Raw Data Sales'!G462:G1460, 'Raw Data Sales'!E462:E1460, A462)</f>
        <v>563.09</v>
      </c>
      <c r="F462" s="6" t="str">
        <f t="shared" si="2"/>
        <v>Zesty Cilantro Lime Dressing</v>
      </c>
    </row>
    <row r="463">
      <c r="A463" s="6" t="str">
        <f>IFERROR(__xludf.DUMMYFUNCTION("""COMPUTED_VALUE"""),"Yoga Wheel")</f>
        <v>Yoga Wheel</v>
      </c>
      <c r="B463" s="6" t="str">
        <f t="array" ref="B463">INDEX('Raw Data Sales'!F463:F1461, MATCH(A463, 'Raw Data Sales'!E463:E1461, 0))</f>
        <v>Fitness</v>
      </c>
      <c r="C463" s="6">
        <f>SUMIFS('Raw Data Sales'!M463:M1461, 'Raw Data Sales'!E463:E1461,A463)</f>
        <v>30</v>
      </c>
      <c r="D463" s="6">
        <f>SUMIFS('Raw Data Sales'!N463:N1461, 'Raw Data Sales'!E463:E1461, A463)</f>
        <v>6822.01</v>
      </c>
      <c r="E463" s="6">
        <f>AVERAGEIFS('Raw Data Sales'!G463:G1461, 'Raw Data Sales'!E463:E1461, A463)</f>
        <v>929.31</v>
      </c>
      <c r="F463" s="6" t="str">
        <f t="shared" si="2"/>
        <v>Zesty Cilantro Lime Dressing</v>
      </c>
    </row>
    <row r="464">
      <c r="A464" s="6" t="str">
        <f>IFERROR(__xludf.DUMMYFUNCTION("""COMPUTED_VALUE"""),"Cheesy Cauliflower Bake")</f>
        <v>Cheesy Cauliflower Bake</v>
      </c>
      <c r="B464" s="6" t="str">
        <f t="array" ref="B464">INDEX('Raw Data Sales'!F464:F1462, MATCH(A464, 'Raw Data Sales'!E464:E1462, 0))</f>
        <v>Food - Frozen Vegetables</v>
      </c>
      <c r="C464" s="6">
        <f>SUMIFS('Raw Data Sales'!M464:M1462, 'Raw Data Sales'!E464:E1462,A464)</f>
        <v>85</v>
      </c>
      <c r="D464" s="6">
        <f>SUMIFS('Raw Data Sales'!N464:N1462, 'Raw Data Sales'!E464:E1462, A464)</f>
        <v>9089.4</v>
      </c>
      <c r="E464" s="6">
        <f>AVERAGEIFS('Raw Data Sales'!G464:G1462, 'Raw Data Sales'!E464:E1462, A464)</f>
        <v>911.85</v>
      </c>
      <c r="F464" s="6" t="str">
        <f t="shared" si="2"/>
        <v>Zesty Cilantro Lime Dressing</v>
      </c>
    </row>
    <row r="465">
      <c r="A465" s="6" t="str">
        <f>IFERROR(__xludf.DUMMYFUNCTION("""COMPUTED_VALUE"""),"Noise-Canceling Earbuds")</f>
        <v>Noise-Canceling Earbuds</v>
      </c>
      <c r="B465" s="6" t="str">
        <f t="array" ref="B465">INDEX('Raw Data Sales'!F465:F1463, MATCH(A465, 'Raw Data Sales'!E465:E1463, 0))</f>
        <v>Audio</v>
      </c>
      <c r="C465" s="6">
        <f>SUMIFS('Raw Data Sales'!M465:M1463, 'Raw Data Sales'!E465:E1463,A465)</f>
        <v>100</v>
      </c>
      <c r="D465" s="6">
        <f>SUMIFS('Raw Data Sales'!N465:N1463, 'Raw Data Sales'!E465:E1463, A465)</f>
        <v>5270.47</v>
      </c>
      <c r="E465" s="6">
        <f>AVERAGEIFS('Raw Data Sales'!G465:G1463, 'Raw Data Sales'!E465:E1463, A465)</f>
        <v>858.1</v>
      </c>
      <c r="F465" s="6" t="str">
        <f t="shared" si="2"/>
        <v>Zesty Cilantro Lime Dressing</v>
      </c>
    </row>
    <row r="466">
      <c r="A466" s="6" t="str">
        <f>IFERROR(__xludf.DUMMYFUNCTION("""COMPUTED_VALUE"""),"Miso Dressing")</f>
        <v>Miso Dressing</v>
      </c>
      <c r="B466" s="6" t="str">
        <f t="array" ref="B466">INDEX('Raw Data Sales'!F466:F1464, MATCH(A466, 'Raw Data Sales'!E466:E1464, 0))</f>
        <v>Food - Dressings</v>
      </c>
      <c r="C466" s="6">
        <f>SUMIFS('Raw Data Sales'!M466:M1464, 'Raw Data Sales'!E466:E1464,A466)</f>
        <v>90</v>
      </c>
      <c r="D466" s="6">
        <f>SUMIFS('Raw Data Sales'!N466:N1464, 'Raw Data Sales'!E466:E1464, A466)</f>
        <v>11578.23</v>
      </c>
      <c r="E466" s="6">
        <f>AVERAGEIFS('Raw Data Sales'!G466:G1464, 'Raw Data Sales'!E466:E1464, A466)</f>
        <v>374.16</v>
      </c>
      <c r="F466" s="6" t="str">
        <f t="shared" si="2"/>
        <v>Zesty Cilantro Lime Dressing</v>
      </c>
    </row>
    <row r="467">
      <c r="A467" s="6" t="str">
        <f>IFERROR(__xludf.DUMMYFUNCTION("""COMPUTED_VALUE"""),"Stainless Steel Cutlery Set")</f>
        <v>Stainless Steel Cutlery Set</v>
      </c>
      <c r="B467" s="6" t="str">
        <f t="array" ref="B467">INDEX('Raw Data Sales'!F467:F1465, MATCH(A467, 'Raw Data Sales'!E467:E1465, 0))</f>
        <v>Kitchen</v>
      </c>
      <c r="C467" s="6">
        <f>SUMIFS('Raw Data Sales'!M467:M1465, 'Raw Data Sales'!E467:E1465,A467)</f>
        <v>126</v>
      </c>
      <c r="D467" s="6">
        <f>SUMIFS('Raw Data Sales'!N467:N1465, 'Raw Data Sales'!E467:E1465, A467)</f>
        <v>13267.11</v>
      </c>
      <c r="E467" s="6">
        <f>AVERAGEIFS('Raw Data Sales'!G467:G1465, 'Raw Data Sales'!E467:E1465, A467)</f>
        <v>330.31</v>
      </c>
      <c r="F467" s="6" t="str">
        <f t="shared" si="2"/>
        <v>Zesty Cilantro Lime Dressing</v>
      </c>
    </row>
    <row r="468">
      <c r="A468" s="6" t="str">
        <f>IFERROR(__xludf.DUMMYFUNCTION("""COMPUTED_VALUE"""),"Satin Slip Dress")</f>
        <v>Satin Slip Dress</v>
      </c>
      <c r="B468" s="6" t="str">
        <f t="array" ref="B468">INDEX('Raw Data Sales'!F468:F1466, MATCH(A468, 'Raw Data Sales'!E468:E1466, 0))</f>
        <v>Clothing - Dresses</v>
      </c>
      <c r="C468" s="6">
        <f>SUMIFS('Raw Data Sales'!M468:M1466, 'Raw Data Sales'!E468:E1466,A468)</f>
        <v>53</v>
      </c>
      <c r="D468" s="6">
        <f>SUMIFS('Raw Data Sales'!N468:N1466, 'Raw Data Sales'!E468:E1466, A468)</f>
        <v>6300.19</v>
      </c>
      <c r="E468" s="6">
        <f>AVERAGEIFS('Raw Data Sales'!G468:G1466, 'Raw Data Sales'!E468:E1466, A468)</f>
        <v>267.95</v>
      </c>
      <c r="F468" s="6" t="str">
        <f t="shared" si="2"/>
        <v>Zesty Cilantro Lime Dressing</v>
      </c>
    </row>
    <row r="469">
      <c r="A469" s="6" t="str">
        <f>IFERROR(__xludf.DUMMYFUNCTION("""COMPUTED_VALUE"""),"Bock Beer Mustard")</f>
        <v>Bock Beer Mustard</v>
      </c>
      <c r="B469" s="6" t="str">
        <f t="array" ref="B469">INDEX('Raw Data Sales'!F469:F1467, MATCH(A469, 'Raw Data Sales'!E469:E1467, 0))</f>
        <v>Food - Condiments</v>
      </c>
      <c r="C469" s="6">
        <f>SUMIFS('Raw Data Sales'!M469:M1467, 'Raw Data Sales'!E469:E1467,A469)</f>
        <v>86</v>
      </c>
      <c r="D469" s="6">
        <f>SUMIFS('Raw Data Sales'!N469:N1467, 'Raw Data Sales'!E469:E1467, A469)</f>
        <v>7000.09</v>
      </c>
      <c r="E469" s="6">
        <f>AVERAGEIFS('Raw Data Sales'!G469:G1467, 'Raw Data Sales'!E469:E1467, A469)</f>
        <v>835.18</v>
      </c>
      <c r="F469" s="6" t="str">
        <f t="shared" si="2"/>
        <v>Zesty Cilantro Lime Dressing</v>
      </c>
    </row>
    <row r="470">
      <c r="A470" s="6" t="str">
        <f>IFERROR(__xludf.DUMMYFUNCTION("""COMPUTED_VALUE"""),"Mango Chili Salsa")</f>
        <v>Mango Chili Salsa</v>
      </c>
      <c r="B470" s="6" t="str">
        <f t="array" ref="B470">INDEX('Raw Data Sales'!F470:F1468, MATCH(A470, 'Raw Data Sales'!E470:E1468, 0))</f>
        <v>Food - Condiments</v>
      </c>
      <c r="C470" s="6">
        <f>SUMIFS('Raw Data Sales'!M470:M1468, 'Raw Data Sales'!E470:E1468,A470)</f>
        <v>71</v>
      </c>
      <c r="D470" s="6">
        <f>SUMIFS('Raw Data Sales'!N470:N1468, 'Raw Data Sales'!E470:E1468, A470)</f>
        <v>6252.49</v>
      </c>
      <c r="E470" s="6">
        <f>AVERAGEIFS('Raw Data Sales'!G470:G1468, 'Raw Data Sales'!E470:E1468, A470)</f>
        <v>459.42</v>
      </c>
      <c r="F470" s="6" t="str">
        <f t="shared" si="2"/>
        <v>Zesty Cilantro Lime Dressing</v>
      </c>
    </row>
    <row r="471">
      <c r="A471" s="6" t="str">
        <f>IFERROR(__xludf.DUMMYFUNCTION("""COMPUTED_VALUE"""),"Mechanical Keyboard")</f>
        <v>Mechanical Keyboard</v>
      </c>
      <c r="B471" s="6" t="str">
        <f t="array" ref="B471">INDEX('Raw Data Sales'!F471:F1469, MATCH(A471, 'Raw Data Sales'!E471:E1469, 0))</f>
        <v>Computers</v>
      </c>
      <c r="C471" s="6">
        <f>SUMIFS('Raw Data Sales'!M471:M1469, 'Raw Data Sales'!E471:E1469,A471)</f>
        <v>125</v>
      </c>
      <c r="D471" s="6">
        <f>SUMIFS('Raw Data Sales'!N471:N1469, 'Raw Data Sales'!E471:E1469, A471)</f>
        <v>10287.29</v>
      </c>
      <c r="E471" s="6">
        <f>AVERAGEIFS('Raw Data Sales'!G471:G1469, 'Raw Data Sales'!E471:E1469, A471)</f>
        <v>759.06</v>
      </c>
      <c r="F471" s="6" t="str">
        <f t="shared" si="2"/>
        <v>Zesty Cilantro Lime Dressing</v>
      </c>
    </row>
    <row r="472">
      <c r="A472" s="6" t="str">
        <f>IFERROR(__xludf.DUMMYFUNCTION("""COMPUTED_VALUE"""),"Portable Folding Picnic Table")</f>
        <v>Portable Folding Picnic Table</v>
      </c>
      <c r="B472" s="6" t="str">
        <f t="array" ref="B472">INDEX('Raw Data Sales'!F472:F1470, MATCH(A472, 'Raw Data Sales'!E472:E1470, 0))</f>
        <v>Outdoor</v>
      </c>
      <c r="C472" s="6">
        <f>SUMIFS('Raw Data Sales'!M472:M1470, 'Raw Data Sales'!E472:E1470,A472)</f>
        <v>97</v>
      </c>
      <c r="D472" s="6">
        <f>SUMIFS('Raw Data Sales'!N472:N1470, 'Raw Data Sales'!E472:E1470, A472)</f>
        <v>1561.11</v>
      </c>
      <c r="E472" s="6">
        <f>AVERAGEIFS('Raw Data Sales'!G472:G1470, 'Raw Data Sales'!E472:E1470, A472)</f>
        <v>783.74</v>
      </c>
      <c r="F472" s="6" t="str">
        <f t="shared" si="2"/>
        <v>Zesty Cilantro Lime Dressing</v>
      </c>
    </row>
    <row r="473">
      <c r="A473" s="6" t="str">
        <f>IFERROR(__xludf.DUMMYFUNCTION("""COMPUTED_VALUE"""),"Ergonomic Gaming Chair")</f>
        <v>Ergonomic Gaming Chair</v>
      </c>
      <c r="B473" s="6" t="str">
        <f t="array" ref="B473">INDEX('Raw Data Sales'!F473:F1471, MATCH(A473, 'Raw Data Sales'!E473:E1471, 0))</f>
        <v>Gaming</v>
      </c>
      <c r="C473" s="6">
        <f>SUMIFS('Raw Data Sales'!M473:M1471, 'Raw Data Sales'!E473:E1471,A473)</f>
        <v>43</v>
      </c>
      <c r="D473" s="6">
        <f>SUMIFS('Raw Data Sales'!N473:N1471, 'Raw Data Sales'!E473:E1471, A473)</f>
        <v>6470.9</v>
      </c>
      <c r="E473" s="6">
        <f>AVERAGEIFS('Raw Data Sales'!G473:G1471, 'Raw Data Sales'!E473:E1471, A473)</f>
        <v>804.405</v>
      </c>
      <c r="F473" s="6" t="str">
        <f t="shared" si="2"/>
        <v>Zesty Cilantro Lime Dressing</v>
      </c>
    </row>
    <row r="474">
      <c r="A474" s="6" t="str">
        <f>IFERROR(__xludf.DUMMYFUNCTION("""COMPUTED_VALUE"""),"Water Bottle")</f>
        <v>Water Bottle</v>
      </c>
      <c r="B474" s="6" t="str">
        <f t="array" ref="B474">INDEX('Raw Data Sales'!F474:F1472, MATCH(A474, 'Raw Data Sales'!E474:E1472, 0))</f>
        <v>Fitness</v>
      </c>
      <c r="C474" s="6">
        <f>SUMIFS('Raw Data Sales'!M474:M1472, 'Raw Data Sales'!E474:E1472,A474)</f>
        <v>99</v>
      </c>
      <c r="D474" s="6">
        <f>SUMIFS('Raw Data Sales'!N474:N1472, 'Raw Data Sales'!E474:E1472, A474)</f>
        <v>6180.28</v>
      </c>
      <c r="E474" s="6">
        <f>AVERAGEIFS('Raw Data Sales'!G474:G1472, 'Raw Data Sales'!E474:E1472, A474)</f>
        <v>67.16</v>
      </c>
      <c r="F474" s="6" t="str">
        <f t="shared" si="2"/>
        <v>Zesty Cilantro Lime Dressing</v>
      </c>
    </row>
    <row r="475">
      <c r="A475" s="6" t="str">
        <f>IFERROR(__xludf.DUMMYFUNCTION("""COMPUTED_VALUE"""),"Coffee Subscription Service")</f>
        <v>Coffee Subscription Service</v>
      </c>
      <c r="B475" s="6" t="str">
        <f t="array" ref="B475">INDEX('Raw Data Sales'!F475:F1473, MATCH(A475, 'Raw Data Sales'!E475:E1473, 0))</f>
        <v>Food</v>
      </c>
      <c r="C475" s="6">
        <f>SUMIFS('Raw Data Sales'!M475:M1473, 'Raw Data Sales'!E475:E1473,A475)</f>
        <v>99</v>
      </c>
      <c r="D475" s="6">
        <f>SUMIFS('Raw Data Sales'!N475:N1473, 'Raw Data Sales'!E475:E1473, A475)</f>
        <v>8997.44</v>
      </c>
      <c r="E475" s="6">
        <f>AVERAGEIFS('Raw Data Sales'!G475:G1473, 'Raw Data Sales'!E475:E1473, A475)</f>
        <v>93.625</v>
      </c>
      <c r="F475" s="6" t="str">
        <f t="shared" si="2"/>
        <v>Zesty Cilantro Lime Dressing</v>
      </c>
    </row>
    <row r="476">
      <c r="A476" s="6" t="str">
        <f>IFERROR(__xludf.DUMMYFUNCTION("""COMPUTED_VALUE"""),"Banana Peanut Butter Smoothie")</f>
        <v>Banana Peanut Butter Smoothie</v>
      </c>
      <c r="B476" s="6" t="str">
        <f t="array" ref="B476">INDEX('Raw Data Sales'!F476:F1474, MATCH(A476, 'Raw Data Sales'!E476:E1474, 0))</f>
        <v>Food - Frozen Foods</v>
      </c>
      <c r="C476" s="6">
        <f>SUMIFS('Raw Data Sales'!M476:M1474, 'Raw Data Sales'!E476:E1474,A476)</f>
        <v>109</v>
      </c>
      <c r="D476" s="6">
        <f>SUMIFS('Raw Data Sales'!N476:N1474, 'Raw Data Sales'!E476:E1474, A476)</f>
        <v>10088.62</v>
      </c>
      <c r="E476" s="6">
        <f>AVERAGEIFS('Raw Data Sales'!G476:G1474, 'Raw Data Sales'!E476:E1474, A476)</f>
        <v>379.87</v>
      </c>
      <c r="F476" s="6" t="str">
        <f t="shared" si="2"/>
        <v>Zesty Cilantro Lime Dressing</v>
      </c>
    </row>
    <row r="477">
      <c r="A477" s="6" t="str">
        <f>IFERROR(__xludf.DUMMYFUNCTION("""COMPUTED_VALUE"""),"Insulated Coffee Mug")</f>
        <v>Insulated Coffee Mug</v>
      </c>
      <c r="B477" s="6" t="str">
        <f t="array" ref="B477">INDEX('Raw Data Sales'!F477:F1475, MATCH(A477, 'Raw Data Sales'!E477:E1475, 0))</f>
        <v>Kitchen</v>
      </c>
      <c r="C477" s="6">
        <f>SUMIFS('Raw Data Sales'!M477:M1475, 'Raw Data Sales'!E477:E1475,A477)</f>
        <v>50</v>
      </c>
      <c r="D477" s="6">
        <f>SUMIFS('Raw Data Sales'!N477:N1475, 'Raw Data Sales'!E477:E1475, A477)</f>
        <v>1525.62</v>
      </c>
      <c r="E477" s="6">
        <f>AVERAGEIFS('Raw Data Sales'!G477:G1475, 'Raw Data Sales'!E477:E1475, A477)</f>
        <v>177.86</v>
      </c>
      <c r="F477" s="6" t="str">
        <f t="shared" si="2"/>
        <v>Zesty Cilantro Lime Dressing</v>
      </c>
    </row>
    <row r="478">
      <c r="A478" s="6" t="str">
        <f>IFERROR(__xludf.DUMMYFUNCTION("""COMPUTED_VALUE"""),"Toy Building Set")</f>
        <v>Toy Building Set</v>
      </c>
      <c r="B478" s="6" t="str">
        <f t="array" ref="B478">INDEX('Raw Data Sales'!F478:F1476, MATCH(A478, 'Raw Data Sales'!E478:E1476, 0))</f>
        <v>Toys</v>
      </c>
      <c r="C478" s="6">
        <f>SUMIFS('Raw Data Sales'!M478:M1476, 'Raw Data Sales'!E478:E1476,A478)</f>
        <v>120</v>
      </c>
      <c r="D478" s="6">
        <f>SUMIFS('Raw Data Sales'!N478:N1476, 'Raw Data Sales'!E478:E1476, A478)</f>
        <v>10785.08</v>
      </c>
      <c r="E478" s="6">
        <f>AVERAGEIFS('Raw Data Sales'!G478:G1476, 'Raw Data Sales'!E478:E1476, A478)</f>
        <v>494.495</v>
      </c>
      <c r="F478" s="6" t="str">
        <f t="shared" si="2"/>
        <v>Zesty Cilantro Lime Dressing</v>
      </c>
    </row>
    <row r="479">
      <c r="A479" s="6" t="str">
        <f>IFERROR(__xludf.DUMMYFUNCTION("""COMPUTED_VALUE"""),"Smart Scale")</f>
        <v>Smart Scale</v>
      </c>
      <c r="B479" s="6" t="str">
        <f t="array" ref="B479">INDEX('Raw Data Sales'!F479:F1477, MATCH(A479, 'Raw Data Sales'!E479:E1477, 0))</f>
        <v>Health</v>
      </c>
      <c r="C479" s="6">
        <f>SUMIFS('Raw Data Sales'!M479:M1477, 'Raw Data Sales'!E479:E1477,A479)</f>
        <v>161</v>
      </c>
      <c r="D479" s="6">
        <f>SUMIFS('Raw Data Sales'!N479:N1477, 'Raw Data Sales'!E479:E1477, A479)</f>
        <v>4219.45</v>
      </c>
      <c r="E479" s="6">
        <f>AVERAGEIFS('Raw Data Sales'!G479:G1477, 'Raw Data Sales'!E479:E1477, A479)</f>
        <v>352.74</v>
      </c>
      <c r="F479" s="6" t="str">
        <f t="shared" si="2"/>
        <v>Zesty Cilantro Lime Dressing</v>
      </c>
    </row>
    <row r="480">
      <c r="A480" s="6" t="str">
        <f>IFERROR(__xludf.DUMMYFUNCTION("""COMPUTED_VALUE"""),"Coconut Milk Ice Cream")</f>
        <v>Coconut Milk Ice Cream</v>
      </c>
      <c r="B480" s="6" t="str">
        <f t="array" ref="B480">INDEX('Raw Data Sales'!F480:F1478, MATCH(A480, 'Raw Data Sales'!E480:E1478, 0))</f>
        <v>Food - Frozen Desserts</v>
      </c>
      <c r="C480" s="6">
        <f>SUMIFS('Raw Data Sales'!M480:M1478, 'Raw Data Sales'!E480:E1478,A480)</f>
        <v>62</v>
      </c>
      <c r="D480" s="6">
        <f>SUMIFS('Raw Data Sales'!N480:N1478, 'Raw Data Sales'!E480:E1478, A480)</f>
        <v>868.07</v>
      </c>
      <c r="E480" s="6">
        <f>AVERAGEIFS('Raw Data Sales'!G480:G1478, 'Raw Data Sales'!E480:E1478, A480)</f>
        <v>252.59</v>
      </c>
      <c r="F480" s="6" t="str">
        <f t="shared" si="2"/>
        <v>Zesty Cilantro Lime Dressing</v>
      </c>
    </row>
    <row r="481">
      <c r="A481" s="6" t="str">
        <f>IFERROR(__xludf.DUMMYFUNCTION("""COMPUTED_VALUE"""),"Digital Wireless Camera")</f>
        <v>Digital Wireless Camera</v>
      </c>
      <c r="B481" s="6" t="str">
        <f t="array" ref="B481">INDEX('Raw Data Sales'!F481:F1479, MATCH(A481, 'Raw Data Sales'!E481:E1479, 0))</f>
        <v>Home Security</v>
      </c>
      <c r="C481" s="6">
        <f>SUMIFS('Raw Data Sales'!M481:M1479, 'Raw Data Sales'!E481:E1479,A481)</f>
        <v>45</v>
      </c>
      <c r="D481" s="6">
        <f>SUMIFS('Raw Data Sales'!N481:N1479, 'Raw Data Sales'!E481:E1479, A481)</f>
        <v>1947.54</v>
      </c>
      <c r="E481" s="6">
        <f>AVERAGEIFS('Raw Data Sales'!G481:G1479, 'Raw Data Sales'!E481:E1479, A481)</f>
        <v>240.78</v>
      </c>
      <c r="F481" s="6" t="str">
        <f t="shared" si="2"/>
        <v>Zesty Cilantro Lime Dressing</v>
      </c>
    </row>
    <row r="482">
      <c r="A482" s="6" t="str">
        <f>IFERROR(__xludf.DUMMYFUNCTION("""COMPUTED_VALUE"""),"Classic Leather Wallet")</f>
        <v>Classic Leather Wallet</v>
      </c>
      <c r="B482" s="6" t="str">
        <f t="array" ref="B482">INDEX('Raw Data Sales'!F482:F1480, MATCH(A482, 'Raw Data Sales'!E482:E1480, 0))</f>
        <v>Clothing - Accessories</v>
      </c>
      <c r="C482" s="6">
        <f>SUMIFS('Raw Data Sales'!M482:M1480, 'Raw Data Sales'!E482:E1480,A482)</f>
        <v>23</v>
      </c>
      <c r="D482" s="6">
        <f>SUMIFS('Raw Data Sales'!N482:N1480, 'Raw Data Sales'!E482:E1480, A482)</f>
        <v>7807.18</v>
      </c>
      <c r="E482" s="6">
        <f>AVERAGEIFS('Raw Data Sales'!G482:G1480, 'Raw Data Sales'!E482:E1480, A482)</f>
        <v>211.01</v>
      </c>
      <c r="F482" s="6" t="str">
        <f t="shared" si="2"/>
        <v>Zesty Cilantro Lime Dressing</v>
      </c>
    </row>
    <row r="483">
      <c r="A483" s="6" t="str">
        <f>IFERROR(__xludf.DUMMYFUNCTION("""COMPUTED_VALUE"""),"Organic Coconut Flakes")</f>
        <v>Organic Coconut Flakes</v>
      </c>
      <c r="B483" s="6" t="str">
        <f t="array" ref="B483">INDEX('Raw Data Sales'!F483:F1481, MATCH(A483, 'Raw Data Sales'!E483:E1481, 0))</f>
        <v>Food - Baking</v>
      </c>
      <c r="C483" s="6">
        <f>SUMIFS('Raw Data Sales'!M483:M1481, 'Raw Data Sales'!E483:E1481,A483)</f>
        <v>86</v>
      </c>
      <c r="D483" s="6">
        <f>SUMIFS('Raw Data Sales'!N483:N1481, 'Raw Data Sales'!E483:E1481, A483)</f>
        <v>8815.84</v>
      </c>
      <c r="E483" s="6">
        <f>AVERAGEIFS('Raw Data Sales'!G483:G1481, 'Raw Data Sales'!E483:E1481, A483)</f>
        <v>658.89</v>
      </c>
      <c r="F483" s="6" t="str">
        <f t="shared" si="2"/>
        <v>Zesty Cilantro Lime Dressing</v>
      </c>
    </row>
    <row r="484">
      <c r="A484" s="6" t="str">
        <f>IFERROR(__xludf.DUMMYFUNCTION("""COMPUTED_VALUE"""),"Reusable Food Storage Bags")</f>
        <v>Reusable Food Storage Bags</v>
      </c>
      <c r="B484" s="6" t="str">
        <f t="array" ref="B484">INDEX('Raw Data Sales'!F484:F1482, MATCH(A484, 'Raw Data Sales'!E484:E1482, 0))</f>
        <v>Kitchen</v>
      </c>
      <c r="C484" s="6">
        <f>SUMIFS('Raw Data Sales'!M484:M1482, 'Raw Data Sales'!E484:E1482,A484)</f>
        <v>27</v>
      </c>
      <c r="D484" s="6">
        <f>SUMIFS('Raw Data Sales'!N484:N1482, 'Raw Data Sales'!E484:E1482, A484)</f>
        <v>3564.55</v>
      </c>
      <c r="E484" s="6">
        <f>AVERAGEIFS('Raw Data Sales'!G484:G1482, 'Raw Data Sales'!E484:E1482, A484)</f>
        <v>932.59</v>
      </c>
      <c r="F484" s="6" t="str">
        <f t="shared" si="2"/>
        <v>Zesty Cilantro Lime Dressing</v>
      </c>
    </row>
    <row r="485">
      <c r="A485" s="6" t="str">
        <f>IFERROR(__xludf.DUMMYFUNCTION("""COMPUTED_VALUE"""),"Slim Fit Chinos")</f>
        <v>Slim Fit Chinos</v>
      </c>
      <c r="B485" s="6" t="str">
        <f t="array" ref="B485">INDEX('Raw Data Sales'!F485:F1483, MATCH(A485, 'Raw Data Sales'!E485:E1483, 0))</f>
        <v>Clothing - Pants</v>
      </c>
      <c r="C485" s="6">
        <f>SUMIFS('Raw Data Sales'!M485:M1483, 'Raw Data Sales'!E485:E1483,A485)</f>
        <v>96</v>
      </c>
      <c r="D485" s="6">
        <f>SUMIFS('Raw Data Sales'!N485:N1483, 'Raw Data Sales'!E485:E1483, A485)</f>
        <v>6780.81</v>
      </c>
      <c r="E485" s="6">
        <f>AVERAGEIFS('Raw Data Sales'!G485:G1483, 'Raw Data Sales'!E485:E1483, A485)</f>
        <v>963.56</v>
      </c>
      <c r="F485" s="6" t="str">
        <f t="shared" si="2"/>
        <v>Zesty Cilantro Lime Dressing</v>
      </c>
    </row>
    <row r="486">
      <c r="A486" s="6" t="str">
        <f>IFERROR(__xludf.DUMMYFUNCTION("""COMPUTED_VALUE"""),"Magic Color-Changing Mug")</f>
        <v>Magic Color-Changing Mug</v>
      </c>
      <c r="B486" s="6" t="str">
        <f t="array" ref="B486">INDEX('Raw Data Sales'!F486:F1484, MATCH(A486, 'Raw Data Sales'!E486:E1484, 0))</f>
        <v>Kitchen</v>
      </c>
      <c r="C486" s="6">
        <f>SUMIFS('Raw Data Sales'!M486:M1484, 'Raw Data Sales'!E486:E1484,A486)</f>
        <v>88</v>
      </c>
      <c r="D486" s="6">
        <f>SUMIFS('Raw Data Sales'!N486:N1484, 'Raw Data Sales'!E486:E1484, A486)</f>
        <v>5971.36</v>
      </c>
      <c r="E486" s="6">
        <f>AVERAGEIFS('Raw Data Sales'!G486:G1484, 'Raw Data Sales'!E486:E1484, A486)</f>
        <v>548.29</v>
      </c>
      <c r="F486" s="6" t="str">
        <f t="shared" si="2"/>
        <v>Zesty Cilantro Lime Dressing</v>
      </c>
    </row>
    <row r="487">
      <c r="A487" s="6" t="str">
        <f>IFERROR(__xludf.DUMMYFUNCTION("""COMPUTED_VALUE"""),"Vegetable Broth")</f>
        <v>Vegetable Broth</v>
      </c>
      <c r="B487" s="6" t="str">
        <f t="array" ref="B487">INDEX('Raw Data Sales'!F487:F1485, MATCH(A487, 'Raw Data Sales'!E487:E1485, 0))</f>
        <v>Food - Canned Goods</v>
      </c>
      <c r="C487" s="6">
        <f>SUMIFS('Raw Data Sales'!M487:M1485, 'Raw Data Sales'!E487:E1485,A487)</f>
        <v>66</v>
      </c>
      <c r="D487" s="6">
        <f>SUMIFS('Raw Data Sales'!N487:N1485, 'Raw Data Sales'!E487:E1485, A487)</f>
        <v>1442.17</v>
      </c>
      <c r="E487" s="6">
        <f>AVERAGEIFS('Raw Data Sales'!G487:G1485, 'Raw Data Sales'!E487:E1485, A487)</f>
        <v>168.66</v>
      </c>
      <c r="F487" s="6" t="str">
        <f t="shared" si="2"/>
        <v>Zesty Cilantro Lime Dressing</v>
      </c>
    </row>
    <row r="488">
      <c r="A488" s="6" t="str">
        <f>IFERROR(__xludf.DUMMYFUNCTION("""COMPUTED_VALUE"""),"Incense Holder")</f>
        <v>Incense Holder</v>
      </c>
      <c r="B488" s="6" t="str">
        <f t="array" ref="B488">INDEX('Raw Data Sales'!F488:F1486, MATCH(A488, 'Raw Data Sales'!E488:E1486, 0))</f>
        <v>Home</v>
      </c>
      <c r="C488" s="6">
        <f>SUMIFS('Raw Data Sales'!M488:M1486, 'Raw Data Sales'!E488:E1486,A488)</f>
        <v>131</v>
      </c>
      <c r="D488" s="6">
        <f>SUMIFS('Raw Data Sales'!N488:N1486, 'Raw Data Sales'!E488:E1486, A488)</f>
        <v>16798.69</v>
      </c>
      <c r="E488" s="6">
        <f>AVERAGEIFS('Raw Data Sales'!G488:G1486, 'Raw Data Sales'!E488:E1486, A488)</f>
        <v>691.005</v>
      </c>
      <c r="F488" s="6" t="str">
        <f t="shared" si="2"/>
        <v>Zesty Cilantro Lime Dressing</v>
      </c>
    </row>
    <row r="489">
      <c r="A489" s="6" t="str">
        <f>IFERROR(__xludf.DUMMYFUNCTION("""COMPUTED_VALUE"""),"Homestyle Beef Stew")</f>
        <v>Homestyle Beef Stew</v>
      </c>
      <c r="B489" s="6" t="str">
        <f t="array" ref="B489">INDEX('Raw Data Sales'!F489:F1487, MATCH(A489, 'Raw Data Sales'!E489:E1487, 0))</f>
        <v>Food - Canned Soups</v>
      </c>
      <c r="C489" s="6">
        <f>SUMIFS('Raw Data Sales'!M489:M1487, 'Raw Data Sales'!E489:E1487,A489)</f>
        <v>45</v>
      </c>
      <c r="D489" s="6">
        <f>SUMIFS('Raw Data Sales'!N489:N1487, 'Raw Data Sales'!E489:E1487, A489)</f>
        <v>6357.75</v>
      </c>
      <c r="E489" s="6">
        <f>AVERAGEIFS('Raw Data Sales'!G489:G1487, 'Raw Data Sales'!E489:E1487, A489)</f>
        <v>35.92</v>
      </c>
      <c r="F489" s="6" t="str">
        <f t="shared" si="2"/>
        <v>Zesty Cilantro Lime Dressing</v>
      </c>
    </row>
    <row r="490">
      <c r="A490" s="6" t="str">
        <f>IFERROR(__xludf.DUMMYFUNCTION("""COMPUTED_VALUE"""),"Spicy Chicken Wings")</f>
        <v>Spicy Chicken Wings</v>
      </c>
      <c r="B490" s="6" t="str">
        <f t="array" ref="B490">INDEX('Raw Data Sales'!F490:F1488, MATCH(A490, 'Raw Data Sales'!E490:E1488, 0))</f>
        <v>Food - Meat</v>
      </c>
      <c r="C490" s="6">
        <f>SUMIFS('Raw Data Sales'!M490:M1488, 'Raw Data Sales'!E490:E1488,A490)</f>
        <v>25</v>
      </c>
      <c r="D490" s="6">
        <f>SUMIFS('Raw Data Sales'!N490:N1488, 'Raw Data Sales'!E490:E1488, A490)</f>
        <v>2904.11</v>
      </c>
      <c r="E490" s="6">
        <f>AVERAGEIFS('Raw Data Sales'!G490:G1488, 'Raw Data Sales'!E490:E1488, A490)</f>
        <v>930.3</v>
      </c>
      <c r="F490" s="6" t="str">
        <f t="shared" si="2"/>
        <v>Zesty Cilantro Lime Dressing</v>
      </c>
    </row>
    <row r="491">
      <c r="A491" s="6" t="str">
        <f>IFERROR(__xludf.DUMMYFUNCTION("""COMPUTED_VALUE"""),"Pet Bed with Removable Cover")</f>
        <v>Pet Bed with Removable Cover</v>
      </c>
      <c r="B491" s="6" t="str">
        <f t="array" ref="B491">INDEX('Raw Data Sales'!F491:F1489, MATCH(A491, 'Raw Data Sales'!E491:E1489, 0))</f>
        <v>Pets</v>
      </c>
      <c r="C491" s="6">
        <f>SUMIFS('Raw Data Sales'!M491:M1489, 'Raw Data Sales'!E491:E1489,A491)</f>
        <v>79</v>
      </c>
      <c r="D491" s="6">
        <f>SUMIFS('Raw Data Sales'!N491:N1489, 'Raw Data Sales'!E491:E1489, A491)</f>
        <v>17447.17</v>
      </c>
      <c r="E491" s="6">
        <f>AVERAGEIFS('Raw Data Sales'!G491:G1489, 'Raw Data Sales'!E491:E1489, A491)</f>
        <v>200.47</v>
      </c>
      <c r="F491" s="6" t="str">
        <f t="shared" si="2"/>
        <v>Zesty Cilantro Lime Dressing</v>
      </c>
    </row>
    <row r="492">
      <c r="A492" s="6" t="str">
        <f>IFERROR(__xludf.DUMMYFUNCTION("""COMPUTED_VALUE"""),"Ceramic Cookware Set")</f>
        <v>Ceramic Cookware Set</v>
      </c>
      <c r="B492" s="6" t="str">
        <f t="array" ref="B492">INDEX('Raw Data Sales'!F492:F1490, MATCH(A492, 'Raw Data Sales'!E492:E1490, 0))</f>
        <v>Kitchen</v>
      </c>
      <c r="C492" s="6">
        <f>SUMIFS('Raw Data Sales'!M492:M1490, 'Raw Data Sales'!E492:E1490,A492)</f>
        <v>10</v>
      </c>
      <c r="D492" s="6">
        <f>SUMIFS('Raw Data Sales'!N492:N1490, 'Raw Data Sales'!E492:E1490, A492)</f>
        <v>9521.13</v>
      </c>
      <c r="E492" s="6">
        <f>AVERAGEIFS('Raw Data Sales'!G492:G1490, 'Raw Data Sales'!E492:E1490, A492)</f>
        <v>509.64</v>
      </c>
      <c r="F492" s="6" t="str">
        <f t="shared" si="2"/>
        <v>Zesty Cilantro Lime Dressing</v>
      </c>
    </row>
    <row r="493">
      <c r="A493" s="6" t="str">
        <f>IFERROR(__xludf.DUMMYFUNCTION("""COMPUTED_VALUE"""),"Maple Almond Butter")</f>
        <v>Maple Almond Butter</v>
      </c>
      <c r="B493" s="6" t="str">
        <f t="array" ref="B493">INDEX('Raw Data Sales'!F493:F1491, MATCH(A493, 'Raw Data Sales'!E493:E1491, 0))</f>
        <v>Food - Nut Butters</v>
      </c>
      <c r="C493" s="6">
        <f>SUMIFS('Raw Data Sales'!M493:M1491, 'Raw Data Sales'!E493:E1491,A493)</f>
        <v>85</v>
      </c>
      <c r="D493" s="6">
        <f>SUMIFS('Raw Data Sales'!N493:N1491, 'Raw Data Sales'!E493:E1491, A493)</f>
        <v>4369.73</v>
      </c>
      <c r="E493" s="6">
        <f>AVERAGEIFS('Raw Data Sales'!G493:G1491, 'Raw Data Sales'!E493:E1491, A493)</f>
        <v>946.75</v>
      </c>
      <c r="F493" s="6" t="str">
        <f t="shared" si="2"/>
        <v>Zesty Cilantro Lime Dressing</v>
      </c>
    </row>
    <row r="494">
      <c r="A494" s="6" t="str">
        <f>IFERROR(__xludf.DUMMYFUNCTION("""COMPUTED_VALUE"""),"Honey Almond Granola Bars")</f>
        <v>Honey Almond Granola Bars</v>
      </c>
      <c r="B494" s="6" t="str">
        <f t="array" ref="B494">INDEX('Raw Data Sales'!F494:F1492, MATCH(A494, 'Raw Data Sales'!E494:E1492, 0))</f>
        <v>Food - Snacks</v>
      </c>
      <c r="C494" s="6">
        <f>SUMIFS('Raw Data Sales'!M494:M1492, 'Raw Data Sales'!E494:E1492,A494)</f>
        <v>1</v>
      </c>
      <c r="D494" s="6">
        <f>SUMIFS('Raw Data Sales'!N494:N1492, 'Raw Data Sales'!E494:E1492, A494)</f>
        <v>6052.16</v>
      </c>
      <c r="E494" s="6">
        <f>AVERAGEIFS('Raw Data Sales'!G494:G1492, 'Raw Data Sales'!E494:E1492, A494)</f>
        <v>69.7</v>
      </c>
      <c r="F494" s="6" t="str">
        <f t="shared" si="2"/>
        <v>Zesty Cilantro Lime Dressing</v>
      </c>
    </row>
    <row r="495">
      <c r="A495" s="6" t="str">
        <f>IFERROR(__xludf.DUMMYFUNCTION("""COMPUTED_VALUE"""),"Instant Camera")</f>
        <v>Instant Camera</v>
      </c>
      <c r="B495" s="6" t="str">
        <f t="array" ref="B495">INDEX('Raw Data Sales'!F495:F1493, MATCH(A495, 'Raw Data Sales'!E495:E1493, 0))</f>
        <v>Photography</v>
      </c>
      <c r="C495" s="6">
        <f>SUMIFS('Raw Data Sales'!M495:M1493, 'Raw Data Sales'!E495:E1493,A495)</f>
        <v>92</v>
      </c>
      <c r="D495" s="6">
        <f>SUMIFS('Raw Data Sales'!N495:N1493, 'Raw Data Sales'!E495:E1493, A495)</f>
        <v>5598.12</v>
      </c>
      <c r="E495" s="6">
        <f>AVERAGEIFS('Raw Data Sales'!G495:G1493, 'Raw Data Sales'!E495:E1493, A495)</f>
        <v>741.07</v>
      </c>
      <c r="F495" s="6" t="str">
        <f t="shared" si="2"/>
        <v>Zesty Cilantro Lime Dressing</v>
      </c>
    </row>
    <row r="496">
      <c r="A496" s="6" t="str">
        <f>IFERROR(__xludf.DUMMYFUNCTION("""COMPUTED_VALUE"""),"Chipotle Sauce")</f>
        <v>Chipotle Sauce</v>
      </c>
      <c r="B496" s="6" t="str">
        <f t="array" ref="B496">INDEX('Raw Data Sales'!F496:F1494, MATCH(A496, 'Raw Data Sales'!E496:E1494, 0))</f>
        <v>Food - Condiments</v>
      </c>
      <c r="C496" s="6">
        <f>SUMIFS('Raw Data Sales'!M496:M1494, 'Raw Data Sales'!E496:E1494,A496)</f>
        <v>25</v>
      </c>
      <c r="D496" s="6">
        <f>SUMIFS('Raw Data Sales'!N496:N1494, 'Raw Data Sales'!E496:E1494, A496)</f>
        <v>499.04</v>
      </c>
      <c r="E496" s="6">
        <f>AVERAGEIFS('Raw Data Sales'!G496:G1494, 'Raw Data Sales'!E496:E1494, A496)</f>
        <v>760.3</v>
      </c>
      <c r="F496" s="6" t="str">
        <f t="shared" si="2"/>
        <v>Zesty Cilantro Lime Dressing</v>
      </c>
    </row>
    <row r="497">
      <c r="A497" s="6" t="str">
        <f>IFERROR(__xludf.DUMMYFUNCTION("""COMPUTED_VALUE"""),"Stuffed Bell Peppers")</f>
        <v>Stuffed Bell Peppers</v>
      </c>
      <c r="B497" s="6" t="str">
        <f t="array" ref="B497">INDEX('Raw Data Sales'!F497:F1495, MATCH(A497, 'Raw Data Sales'!E497:E1495, 0))</f>
        <v>Food - Frozen Meals</v>
      </c>
      <c r="C497" s="6">
        <f>SUMIFS('Raw Data Sales'!M497:M1495, 'Raw Data Sales'!E497:E1495,A497)</f>
        <v>29</v>
      </c>
      <c r="D497" s="6">
        <f>SUMIFS('Raw Data Sales'!N497:N1495, 'Raw Data Sales'!E497:E1495, A497)</f>
        <v>751.99</v>
      </c>
      <c r="E497" s="6">
        <f>AVERAGEIFS('Raw Data Sales'!G497:G1495, 'Raw Data Sales'!E497:E1495, A497)</f>
        <v>178.71</v>
      </c>
      <c r="F497" s="6" t="str">
        <f t="shared" si="2"/>
        <v>Zesty Cilantro Lime Dressing</v>
      </c>
    </row>
    <row r="498">
      <c r="A498" s="6" t="str">
        <f>IFERROR(__xludf.DUMMYFUNCTION("""COMPUTED_VALUE"""),"Ground Turkey")</f>
        <v>Ground Turkey</v>
      </c>
      <c r="B498" s="6" t="str">
        <f t="array" ref="B498">INDEX('Raw Data Sales'!F498:F1496, MATCH(A498, 'Raw Data Sales'!E498:E1496, 0))</f>
        <v>Food - Meat</v>
      </c>
      <c r="C498" s="6">
        <f>SUMIFS('Raw Data Sales'!M498:M1496, 'Raw Data Sales'!E498:E1496,A498)</f>
        <v>93</v>
      </c>
      <c r="D498" s="6">
        <f>SUMIFS('Raw Data Sales'!N498:N1496, 'Raw Data Sales'!E498:E1496, A498)</f>
        <v>5539.9</v>
      </c>
      <c r="E498" s="6">
        <f>AVERAGEIFS('Raw Data Sales'!G498:G1496, 'Raw Data Sales'!E498:E1496, A498)</f>
        <v>587.41</v>
      </c>
      <c r="F498" s="6" t="str">
        <f t="shared" si="2"/>
        <v>Zesty Cilantro Lime Dressing</v>
      </c>
    </row>
    <row r="499">
      <c r="A499" s="6" t="str">
        <f>IFERROR(__xludf.DUMMYFUNCTION("""COMPUTED_VALUE"""),"Air Fryer Oven")</f>
        <v>Air Fryer Oven</v>
      </c>
      <c r="B499" s="6" t="str">
        <f t="array" ref="B499">INDEX('Raw Data Sales'!F499:F1497, MATCH(A499, 'Raw Data Sales'!E499:E1497, 0))</f>
        <v>Kitchen</v>
      </c>
      <c r="C499" s="6">
        <f>SUMIFS('Raw Data Sales'!M499:M1497, 'Raw Data Sales'!E499:E1497,A499)</f>
        <v>35</v>
      </c>
      <c r="D499" s="6">
        <f>SUMIFS('Raw Data Sales'!N499:N1497, 'Raw Data Sales'!E499:E1497, A499)</f>
        <v>9114.16</v>
      </c>
      <c r="E499" s="6">
        <f>AVERAGEIFS('Raw Data Sales'!G499:G1497, 'Raw Data Sales'!E499:E1497, A499)</f>
        <v>933.34</v>
      </c>
      <c r="F499" s="6" t="str">
        <f t="shared" si="2"/>
        <v>Zesty Cilantro Lime Dressing</v>
      </c>
    </row>
    <row r="500">
      <c r="A500" s="6" t="str">
        <f>IFERROR(__xludf.DUMMYFUNCTION("""COMPUTED_VALUE"""),"Fruit and Nut Bars")</f>
        <v>Fruit and Nut Bars</v>
      </c>
      <c r="B500" s="6" t="str">
        <f t="array" ref="B500">INDEX('Raw Data Sales'!F500:F1498, MATCH(A500, 'Raw Data Sales'!E500:E1498, 0))</f>
        <v>Food - Snacks</v>
      </c>
      <c r="C500" s="6">
        <f>SUMIFS('Raw Data Sales'!M500:M1498, 'Raw Data Sales'!E500:E1498,A500)</f>
        <v>71</v>
      </c>
      <c r="D500" s="6">
        <f>SUMIFS('Raw Data Sales'!N500:N1498, 'Raw Data Sales'!E500:E1498, A500)</f>
        <v>6160.55</v>
      </c>
      <c r="E500" s="6">
        <f>AVERAGEIFS('Raw Data Sales'!G500:G1498, 'Raw Data Sales'!E500:E1498, A500)</f>
        <v>727.69</v>
      </c>
      <c r="F500" s="6" t="str">
        <f t="shared" si="2"/>
        <v>Zesty Cilantro Lime Dressing</v>
      </c>
    </row>
    <row r="501">
      <c r="A501" s="6" t="str">
        <f>IFERROR(__xludf.DUMMYFUNCTION("""COMPUTED_VALUE"""),"Italian Breadsticks")</f>
        <v>Italian Breadsticks</v>
      </c>
      <c r="B501" s="6" t="str">
        <f t="array" ref="B501">INDEX('Raw Data Sales'!F501:F1499, MATCH(A501, 'Raw Data Sales'!E501:E1499, 0))</f>
        <v>Food - Bakery</v>
      </c>
      <c r="C501" s="6">
        <f>SUMIFS('Raw Data Sales'!M501:M1499, 'Raw Data Sales'!E501:E1499,A501)</f>
        <v>33</v>
      </c>
      <c r="D501" s="6">
        <f>SUMIFS('Raw Data Sales'!N501:N1499, 'Raw Data Sales'!E501:E1499, A501)</f>
        <v>8782.43</v>
      </c>
      <c r="E501" s="6">
        <f>AVERAGEIFS('Raw Data Sales'!G501:G1499, 'Raw Data Sales'!E501:E1499, A501)</f>
        <v>147.14</v>
      </c>
      <c r="F501" s="6" t="str">
        <f t="shared" si="2"/>
        <v>Zesty Cilantro Lime Dressing</v>
      </c>
    </row>
    <row r="502">
      <c r="A502" s="6" t="str">
        <f>IFERROR(__xludf.DUMMYFUNCTION("""COMPUTED_VALUE"""),"Herbal Tea Sampler Box")</f>
        <v>Herbal Tea Sampler Box</v>
      </c>
      <c r="B502" s="6" t="str">
        <f t="array" ref="B502">INDEX('Raw Data Sales'!F502:F1500, MATCH(A502, 'Raw Data Sales'!E502:E1500, 0))</f>
        <v>Food</v>
      </c>
      <c r="C502" s="6">
        <f>SUMIFS('Raw Data Sales'!M502:M1500, 'Raw Data Sales'!E502:E1500,A502)</f>
        <v>91</v>
      </c>
      <c r="D502" s="6">
        <f>SUMIFS('Raw Data Sales'!N502:N1500, 'Raw Data Sales'!E502:E1500, A502)</f>
        <v>6277.76</v>
      </c>
      <c r="E502" s="6">
        <f>AVERAGEIFS('Raw Data Sales'!G502:G1500, 'Raw Data Sales'!E502:E1500, A502)</f>
        <v>474.44</v>
      </c>
      <c r="F502" s="6" t="str">
        <f t="shared" si="2"/>
        <v>Zesty Cilantro Lime Dressing</v>
      </c>
    </row>
    <row r="503">
      <c r="A503" s="6" t="str">
        <f>IFERROR(__xludf.DUMMYFUNCTION("""COMPUTED_VALUE"""),"Roasted Garlic Butter")</f>
        <v>Roasted Garlic Butter</v>
      </c>
      <c r="B503" s="6" t="str">
        <f t="array" ref="B503">INDEX('Raw Data Sales'!F503:F1501, MATCH(A503, 'Raw Data Sales'!E503:E1501, 0))</f>
        <v>Food - Condiments</v>
      </c>
      <c r="C503" s="6">
        <f>SUMIFS('Raw Data Sales'!M503:M1501, 'Raw Data Sales'!E503:E1501,A503)</f>
        <v>58</v>
      </c>
      <c r="D503" s="6">
        <f>SUMIFS('Raw Data Sales'!N503:N1501, 'Raw Data Sales'!E503:E1501, A503)</f>
        <v>1882.91</v>
      </c>
      <c r="E503" s="6">
        <f>AVERAGEIFS('Raw Data Sales'!G503:G1501, 'Raw Data Sales'!E503:E1501, A503)</f>
        <v>679.95</v>
      </c>
      <c r="F503" s="6" t="str">
        <f t="shared" si="2"/>
        <v>Zesty Cilantro Lime Dressing</v>
      </c>
    </row>
    <row r="504">
      <c r="A504" s="6" t="str">
        <f>IFERROR(__xludf.DUMMYFUNCTION("""COMPUTED_VALUE"""),"Organic Vanilla Bean Ice Cream")</f>
        <v>Organic Vanilla Bean Ice Cream</v>
      </c>
      <c r="B504" s="6" t="str">
        <f t="array" ref="B504">INDEX('Raw Data Sales'!F504:F1502, MATCH(A504, 'Raw Data Sales'!E504:E1502, 0))</f>
        <v>Food - Frozen Desserts</v>
      </c>
      <c r="C504" s="6">
        <f>SUMIFS('Raw Data Sales'!M504:M1502, 'Raw Data Sales'!E504:E1502,A504)</f>
        <v>94</v>
      </c>
      <c r="D504" s="6">
        <f>SUMIFS('Raw Data Sales'!N504:N1502, 'Raw Data Sales'!E504:E1502, A504)</f>
        <v>6843.59</v>
      </c>
      <c r="E504" s="6">
        <f>AVERAGEIFS('Raw Data Sales'!G504:G1502, 'Raw Data Sales'!E504:E1502, A504)</f>
        <v>352.9</v>
      </c>
      <c r="F504" s="6" t="str">
        <f t="shared" si="2"/>
        <v>Zesty Cilantro Lime Dressing</v>
      </c>
    </row>
    <row r="505">
      <c r="A505" s="6" t="str">
        <f>IFERROR(__xludf.DUMMYFUNCTION("""COMPUTED_VALUE"""),"Travel Pillow with Memory Foam")</f>
        <v>Travel Pillow with Memory Foam</v>
      </c>
      <c r="B505" s="6" t="str">
        <f t="array" ref="B505">INDEX('Raw Data Sales'!F505:F1503, MATCH(A505, 'Raw Data Sales'!E505:E1503, 0))</f>
        <v>Travel</v>
      </c>
      <c r="C505" s="6">
        <f>SUMIFS('Raw Data Sales'!M505:M1503, 'Raw Data Sales'!E505:E1503,A505)</f>
        <v>82</v>
      </c>
      <c r="D505" s="6">
        <f>SUMIFS('Raw Data Sales'!N505:N1503, 'Raw Data Sales'!E505:E1503, A505)</f>
        <v>8007.17</v>
      </c>
      <c r="E505" s="6">
        <f>AVERAGEIFS('Raw Data Sales'!G505:G1503, 'Raw Data Sales'!E505:E1503, A505)</f>
        <v>101.08</v>
      </c>
      <c r="F505" s="6" t="str">
        <f t="shared" si="2"/>
        <v>Zesty Cilantro Lime Dressing</v>
      </c>
    </row>
    <row r="506">
      <c r="A506" s="6" t="str">
        <f>IFERROR(__xludf.DUMMYFUNCTION("""COMPUTED_VALUE"""),"Ramen Noodle Soup Cups")</f>
        <v>Ramen Noodle Soup Cups</v>
      </c>
      <c r="B506" s="6" t="str">
        <f t="array" ref="B506">INDEX('Raw Data Sales'!F506:F1504, MATCH(A506, 'Raw Data Sales'!E506:E1504, 0))</f>
        <v>Food - Prepared Meals</v>
      </c>
      <c r="C506" s="6">
        <f>SUMIFS('Raw Data Sales'!M506:M1504, 'Raw Data Sales'!E506:E1504,A506)</f>
        <v>65</v>
      </c>
      <c r="D506" s="6">
        <f>SUMIFS('Raw Data Sales'!N506:N1504, 'Raw Data Sales'!E506:E1504, A506)</f>
        <v>5159.43</v>
      </c>
      <c r="E506" s="6">
        <f>AVERAGEIFS('Raw Data Sales'!G506:G1504, 'Raw Data Sales'!E506:E1504, A506)</f>
        <v>396.22</v>
      </c>
      <c r="F506" s="6" t="str">
        <f t="shared" si="2"/>
        <v>Zesty Cilantro Lime Dressing</v>
      </c>
    </row>
    <row r="507">
      <c r="A507" s="6" t="str">
        <f>IFERROR(__xludf.DUMMYFUNCTION("""COMPUTED_VALUE"""),"Chili Beans (canned)")</f>
        <v>Chili Beans (canned)</v>
      </c>
      <c r="B507" s="6" t="str">
        <f t="array" ref="B507">INDEX('Raw Data Sales'!F507:F1505, MATCH(A507, 'Raw Data Sales'!E507:E1505, 0))</f>
        <v>Food - Canned Goods</v>
      </c>
      <c r="C507" s="6">
        <f>SUMIFS('Raw Data Sales'!M507:M1505, 'Raw Data Sales'!E507:E1505,A507)</f>
        <v>14</v>
      </c>
      <c r="D507" s="6">
        <f>SUMIFS('Raw Data Sales'!N507:N1505, 'Raw Data Sales'!E507:E1505, A507)</f>
        <v>4955.57</v>
      </c>
      <c r="E507" s="6">
        <f>AVERAGEIFS('Raw Data Sales'!G507:G1505, 'Raw Data Sales'!E507:E1505, A507)</f>
        <v>494.86</v>
      </c>
      <c r="F507" s="6" t="str">
        <f t="shared" si="2"/>
        <v>Zesty Cilantro Lime Dressing</v>
      </c>
    </row>
    <row r="508">
      <c r="A508" s="6" t="str">
        <f>IFERROR(__xludf.DUMMYFUNCTION("""COMPUTED_VALUE"""),"Cinnamon Rolls")</f>
        <v>Cinnamon Rolls</v>
      </c>
      <c r="B508" s="6" t="str">
        <f t="array" ref="B508">INDEX('Raw Data Sales'!F508:F1506, MATCH(A508, 'Raw Data Sales'!E508:E1506, 0))</f>
        <v>Food - Bakery</v>
      </c>
      <c r="C508" s="6">
        <f>SUMIFS('Raw Data Sales'!M508:M1506, 'Raw Data Sales'!E508:E1506,A508)</f>
        <v>97</v>
      </c>
      <c r="D508" s="6">
        <f>SUMIFS('Raw Data Sales'!N508:N1506, 'Raw Data Sales'!E508:E1506, A508)</f>
        <v>8570.91</v>
      </c>
      <c r="E508" s="6">
        <f>AVERAGEIFS('Raw Data Sales'!G508:G1506, 'Raw Data Sales'!E508:E1506, A508)</f>
        <v>690.94</v>
      </c>
      <c r="F508" s="6" t="str">
        <f t="shared" si="2"/>
        <v>Zesty Cilantro Lime Dressing</v>
      </c>
    </row>
    <row r="509">
      <c r="A509" s="6" t="str">
        <f>IFERROR(__xludf.DUMMYFUNCTION("""COMPUTED_VALUE"""),"Pet Hair Vacuum Cleaner Attachment")</f>
        <v>Pet Hair Vacuum Cleaner Attachment</v>
      </c>
      <c r="B509" s="6" t="str">
        <f t="array" ref="B509">INDEX('Raw Data Sales'!F509:F1507, MATCH(A509, 'Raw Data Sales'!E509:E1507, 0))</f>
        <v>Pets</v>
      </c>
      <c r="C509" s="6">
        <f>SUMIFS('Raw Data Sales'!M509:M1507, 'Raw Data Sales'!E509:E1507,A509)</f>
        <v>16</v>
      </c>
      <c r="D509" s="6">
        <f>SUMIFS('Raw Data Sales'!N509:N1507, 'Raw Data Sales'!E509:E1507, A509)</f>
        <v>2409.49</v>
      </c>
      <c r="E509" s="6">
        <f>AVERAGEIFS('Raw Data Sales'!G509:G1507, 'Raw Data Sales'!E509:E1507, A509)</f>
        <v>120.9</v>
      </c>
      <c r="F509" s="6" t="str">
        <f t="shared" si="2"/>
        <v>Zesty Cilantro Lime Dressing</v>
      </c>
    </row>
    <row r="510">
      <c r="A510" s="6" t="str">
        <f>IFERROR(__xludf.DUMMYFUNCTION("""COMPUTED_VALUE"""),"Multi-Layer Food Steamer")</f>
        <v>Multi-Layer Food Steamer</v>
      </c>
      <c r="B510" s="6" t="str">
        <f t="array" ref="B510">INDEX('Raw Data Sales'!F510:F1508, MATCH(A510, 'Raw Data Sales'!E510:E1508, 0))</f>
        <v>Kitchen</v>
      </c>
      <c r="C510" s="6">
        <f>SUMIFS('Raw Data Sales'!M510:M1508, 'Raw Data Sales'!E510:E1508,A510)</f>
        <v>129</v>
      </c>
      <c r="D510" s="6">
        <f>SUMIFS('Raw Data Sales'!N510:N1508, 'Raw Data Sales'!E510:E1508, A510)</f>
        <v>8810.9</v>
      </c>
      <c r="E510" s="6">
        <f>AVERAGEIFS('Raw Data Sales'!G510:G1508, 'Raw Data Sales'!E510:E1508, A510)</f>
        <v>659.795</v>
      </c>
      <c r="F510" s="6" t="str">
        <f t="shared" si="2"/>
        <v>Zesty Cilantro Lime Dressing</v>
      </c>
    </row>
    <row r="511">
      <c r="A511" s="6" t="str">
        <f>IFERROR(__xludf.DUMMYFUNCTION("""COMPUTED_VALUE"""),"LED Makeup Mirror")</f>
        <v>LED Makeup Mirror</v>
      </c>
      <c r="B511" s="6" t="str">
        <f t="array" ref="B511">INDEX('Raw Data Sales'!F511:F1509, MATCH(A511, 'Raw Data Sales'!E511:E1509, 0))</f>
        <v>Beauty</v>
      </c>
      <c r="C511" s="6">
        <f>SUMIFS('Raw Data Sales'!M511:M1509, 'Raw Data Sales'!E511:E1509,A511)</f>
        <v>89</v>
      </c>
      <c r="D511" s="6">
        <f>SUMIFS('Raw Data Sales'!N511:N1509, 'Raw Data Sales'!E511:E1509, A511)</f>
        <v>5376.34</v>
      </c>
      <c r="E511" s="6">
        <f>AVERAGEIFS('Raw Data Sales'!G511:G1509, 'Raw Data Sales'!E511:E1509, A511)</f>
        <v>985.78</v>
      </c>
      <c r="F511" s="6" t="str">
        <f t="shared" si="2"/>
        <v>Zesty Cilantro Lime Dressing</v>
      </c>
    </row>
    <row r="512">
      <c r="A512" s="6" t="str">
        <f>IFERROR(__xludf.DUMMYFUNCTION("""COMPUTED_VALUE"""),"Marinara Parmesan Baked Ziti")</f>
        <v>Marinara Parmesan Baked Ziti</v>
      </c>
      <c r="B512" s="6" t="str">
        <f t="array" ref="B512">INDEX('Raw Data Sales'!F512:F1510, MATCH(A512, 'Raw Data Sales'!E512:E1510, 0))</f>
        <v>Food - Frozen Meals</v>
      </c>
      <c r="C512" s="6">
        <f>SUMIFS('Raw Data Sales'!M512:M1510, 'Raw Data Sales'!E512:E1510,A512)</f>
        <v>128</v>
      </c>
      <c r="D512" s="6">
        <f>SUMIFS('Raw Data Sales'!N512:N1510, 'Raw Data Sales'!E512:E1510, A512)</f>
        <v>5542.98</v>
      </c>
      <c r="E512" s="6">
        <f>AVERAGEIFS('Raw Data Sales'!G512:G1510, 'Raw Data Sales'!E512:E1510, A512)</f>
        <v>777.69</v>
      </c>
      <c r="F512" s="6" t="str">
        <f t="shared" si="2"/>
        <v>Zesty Cilantro Lime Dressing</v>
      </c>
    </row>
    <row r="513">
      <c r="A513" s="6" t="str">
        <f>IFERROR(__xludf.DUMMYFUNCTION("""COMPUTED_VALUE"""),"Protein Powder")</f>
        <v>Protein Powder</v>
      </c>
      <c r="B513" s="6" t="str">
        <f t="array" ref="B513">INDEX('Raw Data Sales'!F513:F1511, MATCH(A513, 'Raw Data Sales'!E513:E1511, 0))</f>
        <v>Fitness</v>
      </c>
      <c r="C513" s="6">
        <f>SUMIFS('Raw Data Sales'!M513:M1511, 'Raw Data Sales'!E513:E1511,A513)</f>
        <v>21</v>
      </c>
      <c r="D513" s="6">
        <f>SUMIFS('Raw Data Sales'!N513:N1511, 'Raw Data Sales'!E513:E1511, A513)</f>
        <v>8696.23</v>
      </c>
      <c r="E513" s="6">
        <f>AVERAGEIFS('Raw Data Sales'!G513:G1511, 'Raw Data Sales'!E513:E1511, A513)</f>
        <v>78.43</v>
      </c>
      <c r="F513" s="6" t="str">
        <f t="shared" si="2"/>
        <v>Zesty Cilantro Lime Dressing</v>
      </c>
    </row>
    <row r="514">
      <c r="A514" s="6" t="str">
        <f>IFERROR(__xludf.DUMMYFUNCTION("""COMPUTED_VALUE"""),"Mixed Nuts")</f>
        <v>Mixed Nuts</v>
      </c>
      <c r="B514" s="6" t="str">
        <f t="array" ref="B514">INDEX('Raw Data Sales'!F514:F1512, MATCH(A514, 'Raw Data Sales'!E514:E1512, 0))</f>
        <v>Food - Snacks</v>
      </c>
      <c r="C514" s="6">
        <f>SUMIFS('Raw Data Sales'!M514:M1512, 'Raw Data Sales'!E514:E1512,A514)</f>
        <v>92</v>
      </c>
      <c r="D514" s="6">
        <f>SUMIFS('Raw Data Sales'!N514:N1512, 'Raw Data Sales'!E514:E1512, A514)</f>
        <v>380.95</v>
      </c>
      <c r="E514" s="6">
        <f>AVERAGEIFS('Raw Data Sales'!G514:G1512, 'Raw Data Sales'!E514:E1512, A514)</f>
        <v>144.27</v>
      </c>
      <c r="F514" s="6" t="str">
        <f t="shared" si="2"/>
        <v>Zesty Cilantro Lime Dressing</v>
      </c>
    </row>
    <row r="515">
      <c r="A515" s="6" t="str">
        <f>IFERROR(__xludf.DUMMYFUNCTION("""COMPUTED_VALUE"""),"Wild Rice Pilaf")</f>
        <v>Wild Rice Pilaf</v>
      </c>
      <c r="B515" s="6" t="str">
        <f t="array" ref="B515">INDEX('Raw Data Sales'!F515:F1513, MATCH(A515, 'Raw Data Sales'!E515:E1513, 0))</f>
        <v>Food - Grains</v>
      </c>
      <c r="C515" s="6">
        <f>SUMIFS('Raw Data Sales'!M515:M1513, 'Raw Data Sales'!E515:E1513,A515)</f>
        <v>54</v>
      </c>
      <c r="D515" s="6">
        <f>SUMIFS('Raw Data Sales'!N515:N1513, 'Raw Data Sales'!E515:E1513, A515)</f>
        <v>11505.54</v>
      </c>
      <c r="E515" s="6">
        <f>AVERAGEIFS('Raw Data Sales'!G515:G1513, 'Raw Data Sales'!E515:E1513, A515)</f>
        <v>506.25</v>
      </c>
      <c r="F515" s="6" t="str">
        <f t="shared" si="2"/>
        <v>Zesty Cilantro Lime Dressing</v>
      </c>
    </row>
    <row r="516">
      <c r="A516" s="6" t="str">
        <f>IFERROR(__xludf.DUMMYFUNCTION("""COMPUTED_VALUE"""),"Peach Green Tea")</f>
        <v>Peach Green Tea</v>
      </c>
      <c r="B516" s="6" t="str">
        <f t="array" ref="B516">INDEX('Raw Data Sales'!F516:F1514, MATCH(A516, 'Raw Data Sales'!E516:E1514, 0))</f>
        <v>Food - Beverages</v>
      </c>
      <c r="C516" s="6">
        <f>SUMIFS('Raw Data Sales'!M516:M1514, 'Raw Data Sales'!E516:E1514,A516)</f>
        <v>17</v>
      </c>
      <c r="D516" s="6">
        <f>SUMIFS('Raw Data Sales'!N516:N1514, 'Raw Data Sales'!E516:E1514, A516)</f>
        <v>3879.51</v>
      </c>
      <c r="E516" s="6">
        <f>AVERAGEIFS('Raw Data Sales'!G516:G1514, 'Raw Data Sales'!E516:E1514, A516)</f>
        <v>925.88</v>
      </c>
      <c r="F516" s="6" t="str">
        <f t="shared" si="2"/>
        <v>Zesty Cilantro Lime Dressing</v>
      </c>
    </row>
    <row r="517">
      <c r="A517" s="6" t="str">
        <f>IFERROR(__xludf.DUMMYFUNCTION("""COMPUTED_VALUE"""),"Blender Bottle")</f>
        <v>Blender Bottle</v>
      </c>
      <c r="B517" s="6" t="str">
        <f t="array" ref="B517">INDEX('Raw Data Sales'!F517:F1515, MATCH(A517, 'Raw Data Sales'!E517:E1515, 0))</f>
        <v>Fitness</v>
      </c>
      <c r="C517" s="6">
        <f>SUMIFS('Raw Data Sales'!M517:M1515, 'Raw Data Sales'!E517:E1515,A517)</f>
        <v>33</v>
      </c>
      <c r="D517" s="6">
        <f>SUMIFS('Raw Data Sales'!N517:N1515, 'Raw Data Sales'!E517:E1515, A517)</f>
        <v>7614.17</v>
      </c>
      <c r="E517" s="6">
        <f>AVERAGEIFS('Raw Data Sales'!G517:G1515, 'Raw Data Sales'!E517:E1515, A517)</f>
        <v>302.9</v>
      </c>
      <c r="F517" s="6" t="str">
        <f t="shared" si="2"/>
        <v>Zesty Cilantro Lime Dressing</v>
      </c>
    </row>
    <row r="518">
      <c r="A518" s="6" t="str">
        <f>IFERROR(__xludf.DUMMYFUNCTION("""COMPUTED_VALUE"""),"Artisan Bread Loaf")</f>
        <v>Artisan Bread Loaf</v>
      </c>
      <c r="B518" s="6" t="str">
        <f t="array" ref="B518">INDEX('Raw Data Sales'!F518:F1516, MATCH(A518, 'Raw Data Sales'!E518:E1516, 0))</f>
        <v>Food - Bakery</v>
      </c>
      <c r="C518" s="6">
        <f>SUMIFS('Raw Data Sales'!M518:M1516, 'Raw Data Sales'!E518:E1516,A518)</f>
        <v>29</v>
      </c>
      <c r="D518" s="6">
        <f>SUMIFS('Raw Data Sales'!N518:N1516, 'Raw Data Sales'!E518:E1516, A518)</f>
        <v>2232.99</v>
      </c>
      <c r="E518" s="6">
        <f>AVERAGEIFS('Raw Data Sales'!G518:G1516, 'Raw Data Sales'!E518:E1516, A518)</f>
        <v>518.58</v>
      </c>
      <c r="F518" s="6" t="str">
        <f t="shared" si="2"/>
        <v>Zesty Cilantro Lime Dressing</v>
      </c>
    </row>
    <row r="519">
      <c r="A519" s="6" t="str">
        <f>IFERROR(__xludf.DUMMYFUNCTION("""COMPUTED_VALUE"""),"Mango Sticky Rice Dessert")</f>
        <v>Mango Sticky Rice Dessert</v>
      </c>
      <c r="B519" s="6" t="str">
        <f t="array" ref="B519">INDEX('Raw Data Sales'!F519:F1517, MATCH(A519, 'Raw Data Sales'!E519:E1517, 0))</f>
        <v>Food - Frozen Desserts</v>
      </c>
      <c r="C519" s="6">
        <f>SUMIFS('Raw Data Sales'!M519:M1517, 'Raw Data Sales'!E519:E1517,A519)</f>
        <v>63</v>
      </c>
      <c r="D519" s="6">
        <f>SUMIFS('Raw Data Sales'!N519:N1517, 'Raw Data Sales'!E519:E1517, A519)</f>
        <v>3848.27</v>
      </c>
      <c r="E519" s="6">
        <f>AVERAGEIFS('Raw Data Sales'!G519:G1517, 'Raw Data Sales'!E519:E1517, A519)</f>
        <v>967.28</v>
      </c>
      <c r="F519" s="6" t="str">
        <f t="shared" si="2"/>
        <v>Zesty Cilantro Lime Dressing</v>
      </c>
    </row>
    <row r="520">
      <c r="A520" s="6" t="str">
        <f>IFERROR(__xludf.DUMMYFUNCTION("""COMPUTED_VALUE"""),"Honey Lemon Tea")</f>
        <v>Honey Lemon Tea</v>
      </c>
      <c r="B520" s="6" t="str">
        <f t="array" ref="B520">INDEX('Raw Data Sales'!F520:F1518, MATCH(A520, 'Raw Data Sales'!E520:E1518, 0))</f>
        <v>Food - Beverages</v>
      </c>
      <c r="C520" s="6">
        <f>SUMIFS('Raw Data Sales'!M520:M1518, 'Raw Data Sales'!E520:E1518,A520)</f>
        <v>97</v>
      </c>
      <c r="D520" s="6">
        <f>SUMIFS('Raw Data Sales'!N520:N1518, 'Raw Data Sales'!E520:E1518, A520)</f>
        <v>16523.22</v>
      </c>
      <c r="E520" s="6">
        <f>AVERAGEIFS('Raw Data Sales'!G520:G1518, 'Raw Data Sales'!E520:E1518, A520)</f>
        <v>524.445</v>
      </c>
      <c r="F520" s="6" t="str">
        <f t="shared" si="2"/>
        <v>Zesty Cilantro Lime Dressing</v>
      </c>
    </row>
    <row r="521">
      <c r="A521" s="6" t="str">
        <f>IFERROR(__xludf.DUMMYFUNCTION("""COMPUTED_VALUE"""),"Electric Griddle")</f>
        <v>Electric Griddle</v>
      </c>
      <c r="B521" s="6" t="str">
        <f t="array" ref="B521">INDEX('Raw Data Sales'!F521:F1519, MATCH(A521, 'Raw Data Sales'!E521:E1519, 0))</f>
        <v>Kitchen</v>
      </c>
      <c r="C521" s="6">
        <f>SUMIFS('Raw Data Sales'!M521:M1519, 'Raw Data Sales'!E521:E1519,A521)</f>
        <v>14</v>
      </c>
      <c r="D521" s="6">
        <f>SUMIFS('Raw Data Sales'!N521:N1519, 'Raw Data Sales'!E521:E1519, A521)</f>
        <v>688.91</v>
      </c>
      <c r="E521" s="6">
        <f>AVERAGEIFS('Raw Data Sales'!G521:G1519, 'Raw Data Sales'!E521:E1519, A521)</f>
        <v>194.39</v>
      </c>
      <c r="F521" s="6" t="str">
        <f t="shared" si="2"/>
        <v>Zesty Cilantro Lime Dressing</v>
      </c>
    </row>
    <row r="522">
      <c r="A522" s="6" t="str">
        <f>IFERROR(__xludf.DUMMYFUNCTION("""COMPUTED_VALUE"""),"Smartwatch")</f>
        <v>Smartwatch</v>
      </c>
      <c r="B522" s="6" t="str">
        <f t="array" ref="B522">INDEX('Raw Data Sales'!F522:F1520, MATCH(A522, 'Raw Data Sales'!E522:E1520, 0))</f>
        <v>Wearable Tech</v>
      </c>
      <c r="C522" s="6">
        <f>SUMIFS('Raw Data Sales'!M522:M1520, 'Raw Data Sales'!E522:E1520,A522)</f>
        <v>61</v>
      </c>
      <c r="D522" s="6">
        <f>SUMIFS('Raw Data Sales'!N522:N1520, 'Raw Data Sales'!E522:E1520, A522)</f>
        <v>9805.06</v>
      </c>
      <c r="E522" s="6">
        <f>AVERAGEIFS('Raw Data Sales'!G522:G1520, 'Raw Data Sales'!E522:E1520, A522)</f>
        <v>126.2</v>
      </c>
      <c r="F522" s="6" t="str">
        <f t="shared" si="2"/>
        <v>Zesty Cilantro Lime Dressing</v>
      </c>
    </row>
    <row r="523">
      <c r="A523" s="6" t="str">
        <f>IFERROR(__xludf.DUMMYFUNCTION("""COMPUTED_VALUE"""),"Almond Butter Cookies")</f>
        <v>Almond Butter Cookies</v>
      </c>
      <c r="B523" s="6" t="str">
        <f t="array" ref="B523">INDEX('Raw Data Sales'!F523:F1521, MATCH(A523, 'Raw Data Sales'!E523:E1521, 0))</f>
        <v>Food - Snacks</v>
      </c>
      <c r="C523" s="6">
        <f>SUMIFS('Raw Data Sales'!M523:M1521, 'Raw Data Sales'!E523:E1521,A523)</f>
        <v>82</v>
      </c>
      <c r="D523" s="6">
        <f>SUMIFS('Raw Data Sales'!N523:N1521, 'Raw Data Sales'!E523:E1521, A523)</f>
        <v>189.52</v>
      </c>
      <c r="E523" s="6">
        <f>AVERAGEIFS('Raw Data Sales'!G523:G1521, 'Raw Data Sales'!E523:E1521, A523)</f>
        <v>137.4</v>
      </c>
      <c r="F523" s="6" t="str">
        <f t="shared" si="2"/>
        <v>Zesty Cilantro Lime Dressing</v>
      </c>
    </row>
    <row r="524">
      <c r="A524" s="6" t="str">
        <f>IFERROR(__xludf.DUMMYFUNCTION("""COMPUTED_VALUE"""),"Kale Chips")</f>
        <v>Kale Chips</v>
      </c>
      <c r="B524" s="6" t="str">
        <f t="array" ref="B524">INDEX('Raw Data Sales'!F524:F1522, MATCH(A524, 'Raw Data Sales'!E524:E1522, 0))</f>
        <v>Food - Snacks</v>
      </c>
      <c r="C524" s="6">
        <f>SUMIFS('Raw Data Sales'!M524:M1522, 'Raw Data Sales'!E524:E1522,A524)</f>
        <v>38</v>
      </c>
      <c r="D524" s="6">
        <f>SUMIFS('Raw Data Sales'!N524:N1522, 'Raw Data Sales'!E524:E1522, A524)</f>
        <v>3443.81</v>
      </c>
      <c r="E524" s="6">
        <f>AVERAGEIFS('Raw Data Sales'!G524:G1522, 'Raw Data Sales'!E524:E1522, A524)</f>
        <v>819.4</v>
      </c>
      <c r="F524" s="6" t="str">
        <f t="shared" si="2"/>
        <v>Zesty Cilantro Lime Dressing</v>
      </c>
    </row>
    <row r="525">
      <c r="A525" s="6" t="str">
        <f>IFERROR(__xludf.DUMMYFUNCTION("""COMPUTED_VALUE"""),"Solar String Lights")</f>
        <v>Solar String Lights</v>
      </c>
      <c r="B525" s="6" t="str">
        <f t="array" ref="B525">INDEX('Raw Data Sales'!F525:F1523, MATCH(A525, 'Raw Data Sales'!E525:E1523, 0))</f>
        <v>Outdoor</v>
      </c>
      <c r="C525" s="6">
        <f>SUMIFS('Raw Data Sales'!M525:M1523, 'Raw Data Sales'!E525:E1523,A525)</f>
        <v>152</v>
      </c>
      <c r="D525" s="6">
        <f>SUMIFS('Raw Data Sales'!N525:N1523, 'Raw Data Sales'!E525:E1523, A525)</f>
        <v>17732.67</v>
      </c>
      <c r="E525" s="6">
        <f>AVERAGEIFS('Raw Data Sales'!G525:G1523, 'Raw Data Sales'!E525:E1523, A525)</f>
        <v>432.0166667</v>
      </c>
      <c r="F525" s="6" t="str">
        <f t="shared" si="2"/>
        <v>Zesty Cilantro Lime Dressing</v>
      </c>
    </row>
    <row r="526">
      <c r="A526" s="6" t="str">
        <f>IFERROR(__xludf.DUMMYFUNCTION("""COMPUTED_VALUE"""),"Lentil Soup")</f>
        <v>Lentil Soup</v>
      </c>
      <c r="B526" s="6" t="str">
        <f t="array" ref="B526">INDEX('Raw Data Sales'!F526:F1524, MATCH(A526, 'Raw Data Sales'!E526:E1524, 0))</f>
        <v>Food - Canned Goods</v>
      </c>
      <c r="C526" s="6">
        <f>SUMIFS('Raw Data Sales'!M526:M1524, 'Raw Data Sales'!E526:E1524,A526)</f>
        <v>86</v>
      </c>
      <c r="D526" s="6">
        <f>SUMIFS('Raw Data Sales'!N526:N1524, 'Raw Data Sales'!E526:E1524, A526)</f>
        <v>12505.93</v>
      </c>
      <c r="E526" s="6">
        <f>AVERAGEIFS('Raw Data Sales'!G526:G1524, 'Raw Data Sales'!E526:E1524, A526)</f>
        <v>270.575</v>
      </c>
      <c r="F526" s="6" t="str">
        <f t="shared" si="2"/>
        <v>Zesty Cilantro Lime Dressing</v>
      </c>
    </row>
    <row r="527">
      <c r="A527" s="6" t="str">
        <f>IFERROR(__xludf.DUMMYFUNCTION("""COMPUTED_VALUE"""),"Home Cleaning Robot")</f>
        <v>Home Cleaning Robot</v>
      </c>
      <c r="B527" s="6" t="str">
        <f t="array" ref="B527">INDEX('Raw Data Sales'!F527:F1525, MATCH(A527, 'Raw Data Sales'!E527:E1525, 0))</f>
        <v>Home Appliances</v>
      </c>
      <c r="C527" s="6">
        <f>SUMIFS('Raw Data Sales'!M527:M1525, 'Raw Data Sales'!E527:E1525,A527)</f>
        <v>130</v>
      </c>
      <c r="D527" s="6">
        <f>SUMIFS('Raw Data Sales'!N527:N1525, 'Raw Data Sales'!E527:E1525, A527)</f>
        <v>9065.23</v>
      </c>
      <c r="E527" s="6">
        <f>AVERAGEIFS('Raw Data Sales'!G527:G1525, 'Raw Data Sales'!E527:E1525, A527)</f>
        <v>391.805</v>
      </c>
      <c r="F527" s="6" t="str">
        <f t="shared" si="2"/>
        <v>Zesty Cilantro Lime Dressing</v>
      </c>
    </row>
    <row r="528">
      <c r="A528" s="6" t="str">
        <f>IFERROR(__xludf.DUMMYFUNCTION("""COMPUTED_VALUE"""),"Chipotle Lime Salsa")</f>
        <v>Chipotle Lime Salsa</v>
      </c>
      <c r="B528" s="6" t="str">
        <f t="array" ref="B528">INDEX('Raw Data Sales'!F528:F1526, MATCH(A528, 'Raw Data Sales'!E528:E1526, 0))</f>
        <v>Food - Condiments</v>
      </c>
      <c r="C528" s="6">
        <f>SUMIFS('Raw Data Sales'!M528:M1526, 'Raw Data Sales'!E528:E1526,A528)</f>
        <v>8</v>
      </c>
      <c r="D528" s="6">
        <f>SUMIFS('Raw Data Sales'!N528:N1526, 'Raw Data Sales'!E528:E1526, A528)</f>
        <v>8699.43</v>
      </c>
      <c r="E528" s="6">
        <f>AVERAGEIFS('Raw Data Sales'!G528:G1526, 'Raw Data Sales'!E528:E1526, A528)</f>
        <v>602.83</v>
      </c>
      <c r="F528" s="6" t="str">
        <f t="shared" si="2"/>
        <v>Zesty Cilantro Lime Dressing</v>
      </c>
    </row>
    <row r="529">
      <c r="A529" s="6" t="str">
        <f>IFERROR(__xludf.DUMMYFUNCTION("""COMPUTED_VALUE"""),"Dark Chocolate Covered Raisins")</f>
        <v>Dark Chocolate Covered Raisins</v>
      </c>
      <c r="B529" s="6" t="str">
        <f t="array" ref="B529">INDEX('Raw Data Sales'!F529:F1527, MATCH(A529, 'Raw Data Sales'!E529:E1527, 0))</f>
        <v>Food - Snacks</v>
      </c>
      <c r="C529" s="6">
        <f>SUMIFS('Raw Data Sales'!M529:M1527, 'Raw Data Sales'!E529:E1527,A529)</f>
        <v>5</v>
      </c>
      <c r="D529" s="6">
        <f>SUMIFS('Raw Data Sales'!N529:N1527, 'Raw Data Sales'!E529:E1527, A529)</f>
        <v>8468.97</v>
      </c>
      <c r="E529" s="6">
        <f>AVERAGEIFS('Raw Data Sales'!G529:G1527, 'Raw Data Sales'!E529:E1527, A529)</f>
        <v>438.4</v>
      </c>
      <c r="F529" s="6" t="str">
        <f t="shared" si="2"/>
        <v>Zesty Cilantro Lime Dressing</v>
      </c>
    </row>
    <row r="530">
      <c r="A530" s="6" t="str">
        <f>IFERROR(__xludf.DUMMYFUNCTION("""COMPUTED_VALUE"""),"Cinnamon Spiced Almonds")</f>
        <v>Cinnamon Spiced Almonds</v>
      </c>
      <c r="B530" s="6" t="str">
        <f t="array" ref="B530">INDEX('Raw Data Sales'!F530:F1528, MATCH(A530, 'Raw Data Sales'!E530:E1528, 0))</f>
        <v>Food - Snacks</v>
      </c>
      <c r="C530" s="6">
        <f>SUMIFS('Raw Data Sales'!M530:M1528, 'Raw Data Sales'!E530:E1528,A530)</f>
        <v>4</v>
      </c>
      <c r="D530" s="6">
        <f>SUMIFS('Raw Data Sales'!N530:N1528, 'Raw Data Sales'!E530:E1528, A530)</f>
        <v>450.4</v>
      </c>
      <c r="E530" s="6">
        <f>AVERAGEIFS('Raw Data Sales'!G530:G1528, 'Raw Data Sales'!E530:E1528, A530)</f>
        <v>605.21</v>
      </c>
      <c r="F530" s="6" t="str">
        <f t="shared" si="2"/>
        <v>Zesty Cilantro Lime Dressing</v>
      </c>
    </row>
    <row r="531">
      <c r="A531" s="6" t="str">
        <f>IFERROR(__xludf.DUMMYFUNCTION("""COMPUTED_VALUE"""),"Handmade Soap Making Kit")</f>
        <v>Handmade Soap Making Kit</v>
      </c>
      <c r="B531" s="6" t="str">
        <f t="array" ref="B531">INDEX('Raw Data Sales'!F531:F1529, MATCH(A531, 'Raw Data Sales'!E531:E1529, 0))</f>
        <v>Crafts</v>
      </c>
      <c r="C531" s="6">
        <f>SUMIFS('Raw Data Sales'!M531:M1529, 'Raw Data Sales'!E531:E1529,A531)</f>
        <v>70</v>
      </c>
      <c r="D531" s="6">
        <f>SUMIFS('Raw Data Sales'!N531:N1529, 'Raw Data Sales'!E531:E1529, A531)</f>
        <v>4977.8</v>
      </c>
      <c r="E531" s="6">
        <f>AVERAGEIFS('Raw Data Sales'!G531:G1529, 'Raw Data Sales'!E531:E1529, A531)</f>
        <v>957.83</v>
      </c>
      <c r="F531" s="6" t="str">
        <f t="shared" si="2"/>
        <v>Zesty Cilantro Lime Dressing</v>
      </c>
    </row>
    <row r="532">
      <c r="A532" s="6" t="str">
        <f>IFERROR(__xludf.DUMMYFUNCTION("""COMPUTED_VALUE"""),"Almond Flour Biscuits")</f>
        <v>Almond Flour Biscuits</v>
      </c>
      <c r="B532" s="6" t="str">
        <f t="array" ref="B532">INDEX('Raw Data Sales'!F532:F1530, MATCH(A532, 'Raw Data Sales'!E532:E1530, 0))</f>
        <v>Food - Bakery</v>
      </c>
      <c r="C532" s="6">
        <f>SUMIFS('Raw Data Sales'!M532:M1530, 'Raw Data Sales'!E532:E1530,A532)</f>
        <v>119</v>
      </c>
      <c r="D532" s="6">
        <f>SUMIFS('Raw Data Sales'!N532:N1530, 'Raw Data Sales'!E532:E1530, A532)</f>
        <v>9634.48</v>
      </c>
      <c r="E532" s="6">
        <f>AVERAGEIFS('Raw Data Sales'!G532:G1530, 'Raw Data Sales'!E532:E1530, A532)</f>
        <v>496.675</v>
      </c>
      <c r="F532" s="6" t="str">
        <f t="shared" si="2"/>
        <v>Zesty Cilantro Lime Dressing</v>
      </c>
    </row>
    <row r="533">
      <c r="A533" s="6" t="str">
        <f>IFERROR(__xludf.DUMMYFUNCTION("""COMPUTED_VALUE"""),"Brussels Sprouts")</f>
        <v>Brussels Sprouts</v>
      </c>
      <c r="B533" s="6" t="str">
        <f t="array" ref="B533">INDEX('Raw Data Sales'!F533:F1531, MATCH(A533, 'Raw Data Sales'!E533:E1531, 0))</f>
        <v>Food - Produce</v>
      </c>
      <c r="C533" s="6">
        <f>SUMIFS('Raw Data Sales'!M533:M1531, 'Raw Data Sales'!E533:E1531,A533)</f>
        <v>141</v>
      </c>
      <c r="D533" s="6">
        <f>SUMIFS('Raw Data Sales'!N533:N1531, 'Raw Data Sales'!E533:E1531, A533)</f>
        <v>4828.11</v>
      </c>
      <c r="E533" s="6">
        <f>AVERAGEIFS('Raw Data Sales'!G533:G1531, 'Raw Data Sales'!E533:E1531, A533)</f>
        <v>411.655</v>
      </c>
      <c r="F533" s="6" t="str">
        <f t="shared" si="2"/>
        <v>Zesty Cilantro Lime Dressing</v>
      </c>
    </row>
    <row r="534">
      <c r="A534" s="6" t="str">
        <f>IFERROR(__xludf.DUMMYFUNCTION("""COMPUTED_VALUE"""),"Vegetable Spring Rolls")</f>
        <v>Vegetable Spring Rolls</v>
      </c>
      <c r="B534" s="6" t="str">
        <f t="array" ref="B534">INDEX('Raw Data Sales'!F534:F1532, MATCH(A534, 'Raw Data Sales'!E534:E1532, 0))</f>
        <v>Food - Frozen Foods</v>
      </c>
      <c r="C534" s="6">
        <f>SUMIFS('Raw Data Sales'!M534:M1532, 'Raw Data Sales'!E534:E1532,A534)</f>
        <v>38</v>
      </c>
      <c r="D534" s="6">
        <f>SUMIFS('Raw Data Sales'!N534:N1532, 'Raw Data Sales'!E534:E1532, A534)</f>
        <v>9974.52</v>
      </c>
      <c r="E534" s="6">
        <f>AVERAGEIFS('Raw Data Sales'!G534:G1532, 'Raw Data Sales'!E534:E1532, A534)</f>
        <v>88.01</v>
      </c>
      <c r="F534" s="6" t="str">
        <f t="shared" si="2"/>
        <v>Zesty Cilantro Lime Dressing</v>
      </c>
    </row>
    <row r="535">
      <c r="A535" s="6" t="str">
        <f>IFERROR(__xludf.DUMMYFUNCTION("""COMPUTED_VALUE"""),"Bike Helmet")</f>
        <v>Bike Helmet</v>
      </c>
      <c r="B535" s="6" t="str">
        <f t="array" ref="B535">INDEX('Raw Data Sales'!F535:F1533, MATCH(A535, 'Raw Data Sales'!E535:E1533, 0))</f>
        <v>Bicycles</v>
      </c>
      <c r="C535" s="6">
        <f>SUMIFS('Raw Data Sales'!M535:M1533, 'Raw Data Sales'!E535:E1533,A535)</f>
        <v>54</v>
      </c>
      <c r="D535" s="6">
        <f>SUMIFS('Raw Data Sales'!N535:N1533, 'Raw Data Sales'!E535:E1533, A535)</f>
        <v>6141.98</v>
      </c>
      <c r="E535" s="6">
        <f>AVERAGEIFS('Raw Data Sales'!G535:G1533, 'Raw Data Sales'!E535:E1533, A535)</f>
        <v>786.82</v>
      </c>
      <c r="F535" s="6" t="str">
        <f t="shared" si="2"/>
        <v>Zesty Cilantro Lime Dressing</v>
      </c>
    </row>
    <row r="536">
      <c r="A536" s="6" t="str">
        <f>IFERROR(__xludf.DUMMYFUNCTION("""COMPUTED_VALUE"""),"Over-Ear Headphones")</f>
        <v>Over-Ear Headphones</v>
      </c>
      <c r="B536" s="6" t="str">
        <f t="array" ref="B536">INDEX('Raw Data Sales'!F536:F1534, MATCH(A536, 'Raw Data Sales'!E536:E1534, 0))</f>
        <v>Audio</v>
      </c>
      <c r="C536" s="6">
        <f>SUMIFS('Raw Data Sales'!M536:M1534, 'Raw Data Sales'!E536:E1534,A536)</f>
        <v>41</v>
      </c>
      <c r="D536" s="6">
        <f>SUMIFS('Raw Data Sales'!N536:N1534, 'Raw Data Sales'!E536:E1534, A536)</f>
        <v>1067.93</v>
      </c>
      <c r="E536" s="6">
        <f>AVERAGEIFS('Raw Data Sales'!G536:G1534, 'Raw Data Sales'!E536:E1534, A536)</f>
        <v>766.93</v>
      </c>
      <c r="F536" s="6" t="str">
        <f t="shared" si="2"/>
        <v>Zesty Cilantro Lime Dressing</v>
      </c>
    </row>
    <row r="537">
      <c r="A537" s="6" t="str">
        <f>IFERROR(__xludf.DUMMYFUNCTION("""COMPUTED_VALUE"""),"Portable Phone Charger")</f>
        <v>Portable Phone Charger</v>
      </c>
      <c r="B537" s="6" t="str">
        <f t="array" ref="B537">INDEX('Raw Data Sales'!F537:F1535, MATCH(A537, 'Raw Data Sales'!E537:E1535, 0))</f>
        <v>Accessories</v>
      </c>
      <c r="C537" s="6">
        <f>SUMIFS('Raw Data Sales'!M537:M1535, 'Raw Data Sales'!E537:E1535,A537)</f>
        <v>64</v>
      </c>
      <c r="D537" s="6">
        <f>SUMIFS('Raw Data Sales'!N537:N1535, 'Raw Data Sales'!E537:E1535, A537)</f>
        <v>8211.36</v>
      </c>
      <c r="E537" s="6">
        <f>AVERAGEIFS('Raw Data Sales'!G537:G1535, 'Raw Data Sales'!E537:E1535, A537)</f>
        <v>222.95</v>
      </c>
      <c r="F537" s="6" t="str">
        <f t="shared" si="2"/>
        <v>Zesty Cilantro Lime Dressing</v>
      </c>
    </row>
    <row r="538">
      <c r="A538" s="6" t="str">
        <f>IFERROR(__xludf.DUMMYFUNCTION("""COMPUTED_VALUE"""),"Chia Seed Pudding")</f>
        <v>Chia Seed Pudding</v>
      </c>
      <c r="B538" s="6" t="str">
        <f t="array" ref="B538">INDEX('Raw Data Sales'!F538:F1536, MATCH(A538, 'Raw Data Sales'!E538:E1536, 0))</f>
        <v>Food - Snacks</v>
      </c>
      <c r="C538" s="6">
        <f>SUMIFS('Raw Data Sales'!M538:M1536, 'Raw Data Sales'!E538:E1536,A538)</f>
        <v>12</v>
      </c>
      <c r="D538" s="6">
        <f>SUMIFS('Raw Data Sales'!N538:N1536, 'Raw Data Sales'!E538:E1536, A538)</f>
        <v>1794.8</v>
      </c>
      <c r="E538" s="6">
        <f>AVERAGEIFS('Raw Data Sales'!G538:G1536, 'Raw Data Sales'!E538:E1536, A538)</f>
        <v>727.89</v>
      </c>
      <c r="F538" s="6" t="str">
        <f t="shared" si="2"/>
        <v>Zesty Cilantro Lime Dressing</v>
      </c>
    </row>
    <row r="539">
      <c r="A539" s="6" t="str">
        <f>IFERROR(__xludf.DUMMYFUNCTION("""COMPUTED_VALUE"""),"Sturdy Bookends")</f>
        <v>Sturdy Bookends</v>
      </c>
      <c r="B539" s="6" t="str">
        <f t="array" ref="B539">INDEX('Raw Data Sales'!F539:F1537, MATCH(A539, 'Raw Data Sales'!E539:E1537, 0))</f>
        <v>Office</v>
      </c>
      <c r="C539" s="6">
        <f>SUMIFS('Raw Data Sales'!M539:M1537, 'Raw Data Sales'!E539:E1537,A539)</f>
        <v>54</v>
      </c>
      <c r="D539" s="6">
        <f>SUMIFS('Raw Data Sales'!N539:N1537, 'Raw Data Sales'!E539:E1537, A539)</f>
        <v>3773.07</v>
      </c>
      <c r="E539" s="6">
        <f>AVERAGEIFS('Raw Data Sales'!G539:G1537, 'Raw Data Sales'!E539:E1537, A539)</f>
        <v>869.41</v>
      </c>
      <c r="F539" s="6" t="str">
        <f t="shared" si="2"/>
        <v>Zesty Cilantro Lime Dressing</v>
      </c>
    </row>
    <row r="540">
      <c r="A540" s="6" t="str">
        <f>IFERROR(__xludf.DUMMYFUNCTION("""COMPUTED_VALUE"""),"Peach Mango Smoothie Mix")</f>
        <v>Peach Mango Smoothie Mix</v>
      </c>
      <c r="B540" s="6" t="str">
        <f t="array" ref="B540">INDEX('Raw Data Sales'!F540:F1538, MATCH(A540, 'Raw Data Sales'!E540:E1538, 0))</f>
        <v>Food - Beverages</v>
      </c>
      <c r="C540" s="6">
        <f>SUMIFS('Raw Data Sales'!M540:M1538, 'Raw Data Sales'!E540:E1538,A540)</f>
        <v>42</v>
      </c>
      <c r="D540" s="6">
        <f>SUMIFS('Raw Data Sales'!N540:N1538, 'Raw Data Sales'!E540:E1538, A540)</f>
        <v>3943.49</v>
      </c>
      <c r="E540" s="6">
        <f>AVERAGEIFS('Raw Data Sales'!G540:G1538, 'Raw Data Sales'!E540:E1538, A540)</f>
        <v>130.17</v>
      </c>
      <c r="F540" s="6" t="str">
        <f t="shared" si="2"/>
        <v>Zesty Cilantro Lime Dressing</v>
      </c>
    </row>
    <row r="541">
      <c r="A541" s="6" t="str">
        <f>IFERROR(__xludf.DUMMYFUNCTION("""COMPUTED_VALUE"""),"Chili Con Carne Mix")</f>
        <v>Chili Con Carne Mix</v>
      </c>
      <c r="B541" s="6" t="str">
        <f t="array" ref="B541">INDEX('Raw Data Sales'!F541:F1539, MATCH(A541, 'Raw Data Sales'!E541:E1539, 0))</f>
        <v>Food - Spices &amp; Seasonings</v>
      </c>
      <c r="C541" s="6">
        <f>SUMIFS('Raw Data Sales'!M541:M1539, 'Raw Data Sales'!E541:E1539,A541)</f>
        <v>111</v>
      </c>
      <c r="D541" s="6">
        <f>SUMIFS('Raw Data Sales'!N541:N1539, 'Raw Data Sales'!E541:E1539, A541)</f>
        <v>13144.19</v>
      </c>
      <c r="E541" s="6">
        <f>AVERAGEIFS('Raw Data Sales'!G541:G1539, 'Raw Data Sales'!E541:E1539, A541)</f>
        <v>545.82</v>
      </c>
      <c r="F541" s="6" t="str">
        <f t="shared" si="2"/>
        <v>Zesty Cilantro Lime Dressing</v>
      </c>
    </row>
    <row r="542">
      <c r="A542" s="6" t="str">
        <f>IFERROR(__xludf.DUMMYFUNCTION("""COMPUTED_VALUE"""),"Maple Pecan Granola")</f>
        <v>Maple Pecan Granola</v>
      </c>
      <c r="B542" s="6" t="str">
        <f t="array" ref="B542">INDEX('Raw Data Sales'!F542:F1540, MATCH(A542, 'Raw Data Sales'!E542:E1540, 0))</f>
        <v>Food - Breakfast</v>
      </c>
      <c r="C542" s="6">
        <f>SUMIFS('Raw Data Sales'!M542:M1540, 'Raw Data Sales'!E542:E1540,A542)</f>
        <v>35</v>
      </c>
      <c r="D542" s="6">
        <f>SUMIFS('Raw Data Sales'!N542:N1540, 'Raw Data Sales'!E542:E1540, A542)</f>
        <v>9514.1</v>
      </c>
      <c r="E542" s="6">
        <f>AVERAGEIFS('Raw Data Sales'!G542:G1540, 'Raw Data Sales'!E542:E1540, A542)</f>
        <v>783.54</v>
      </c>
      <c r="F542" s="6" t="str">
        <f t="shared" si="2"/>
        <v>Zesty Cilantro Lime Dressing</v>
      </c>
    </row>
    <row r="543">
      <c r="A543" s="6" t="str">
        <f>IFERROR(__xludf.DUMMYFUNCTION("""COMPUTED_VALUE"""),"Smart Thermos")</f>
        <v>Smart Thermos</v>
      </c>
      <c r="B543" s="6" t="str">
        <f t="array" ref="B543">INDEX('Raw Data Sales'!F543:F1541, MATCH(A543, 'Raw Data Sales'!E543:E1541, 0))</f>
        <v>Fitness</v>
      </c>
      <c r="C543" s="6">
        <f>SUMIFS('Raw Data Sales'!M543:M1541, 'Raw Data Sales'!E543:E1541,A543)</f>
        <v>95</v>
      </c>
      <c r="D543" s="6">
        <f>SUMIFS('Raw Data Sales'!N543:N1541, 'Raw Data Sales'!E543:E1541, A543)</f>
        <v>9733.32</v>
      </c>
      <c r="E543" s="6">
        <f>AVERAGEIFS('Raw Data Sales'!G543:G1541, 'Raw Data Sales'!E543:E1541, A543)</f>
        <v>861.25</v>
      </c>
      <c r="F543" s="6" t="str">
        <f t="shared" si="2"/>
        <v>Zesty Cilantro Lime Dressing</v>
      </c>
    </row>
    <row r="544">
      <c r="A544" s="6" t="str">
        <f>IFERROR(__xludf.DUMMYFUNCTION("""COMPUTED_VALUE"""),"Almond Flour Pizza Crust")</f>
        <v>Almond Flour Pizza Crust</v>
      </c>
      <c r="B544" s="6" t="str">
        <f t="array" ref="B544">INDEX('Raw Data Sales'!F544:F1542, MATCH(A544, 'Raw Data Sales'!E544:E1542, 0))</f>
        <v>Food - Frozen Foods</v>
      </c>
      <c r="C544" s="6">
        <f>SUMIFS('Raw Data Sales'!M544:M1542, 'Raw Data Sales'!E544:E1542,A544)</f>
        <v>23</v>
      </c>
      <c r="D544" s="6">
        <f>SUMIFS('Raw Data Sales'!N544:N1542, 'Raw Data Sales'!E544:E1542, A544)</f>
        <v>5047.75</v>
      </c>
      <c r="E544" s="6">
        <f>AVERAGEIFS('Raw Data Sales'!G544:G1542, 'Raw Data Sales'!E544:E1542, A544)</f>
        <v>428.88</v>
      </c>
      <c r="F544" s="6" t="str">
        <f t="shared" si="2"/>
        <v>Zesty Cilantro Lime Dressing</v>
      </c>
    </row>
    <row r="545">
      <c r="A545" s="6" t="str">
        <f>IFERROR(__xludf.DUMMYFUNCTION("""COMPUTED_VALUE"""),"Board Game Storage")</f>
        <v>Board Game Storage</v>
      </c>
      <c r="B545" s="6" t="str">
        <f t="array" ref="B545">INDEX('Raw Data Sales'!F545:F1543, MATCH(A545, 'Raw Data Sales'!E545:E1543, 0))</f>
        <v>Toys</v>
      </c>
      <c r="C545" s="6">
        <f>SUMIFS('Raw Data Sales'!M545:M1543, 'Raw Data Sales'!E545:E1543,A545)</f>
        <v>58</v>
      </c>
      <c r="D545" s="6">
        <f>SUMIFS('Raw Data Sales'!N545:N1543, 'Raw Data Sales'!E545:E1543, A545)</f>
        <v>5263.13</v>
      </c>
      <c r="E545" s="6">
        <f>AVERAGEIFS('Raw Data Sales'!G545:G1543, 'Raw Data Sales'!E545:E1543, A545)</f>
        <v>860.77</v>
      </c>
      <c r="F545" s="6" t="str">
        <f t="shared" si="2"/>
        <v>Zesty Cilantro Lime Dressing</v>
      </c>
    </row>
    <row r="546">
      <c r="A546" s="6" t="str">
        <f>IFERROR(__xludf.DUMMYFUNCTION("""COMPUTED_VALUE"""),"Pet Nail Clipper")</f>
        <v>Pet Nail Clipper</v>
      </c>
      <c r="B546" s="6" t="str">
        <f t="array" ref="B546">INDEX('Raw Data Sales'!F546:F1544, MATCH(A546, 'Raw Data Sales'!E546:E1544, 0))</f>
        <v>Pets</v>
      </c>
      <c r="C546" s="6">
        <f>SUMIFS('Raw Data Sales'!M546:M1544, 'Raw Data Sales'!E546:E1544,A546)</f>
        <v>41</v>
      </c>
      <c r="D546" s="6">
        <f>SUMIFS('Raw Data Sales'!N546:N1544, 'Raw Data Sales'!E546:E1544, A546)</f>
        <v>6327.52</v>
      </c>
      <c r="E546" s="6">
        <f>AVERAGEIFS('Raw Data Sales'!G546:G1544, 'Raw Data Sales'!E546:E1544, A546)</f>
        <v>236.61</v>
      </c>
      <c r="F546" s="6" t="str">
        <f t="shared" si="2"/>
        <v>Zesty Cilantro Lime Dressing</v>
      </c>
    </row>
    <row r="547">
      <c r="A547" s="6" t="str">
        <f>IFERROR(__xludf.DUMMYFUNCTION("""COMPUTED_VALUE"""),"Adjustable Laptop Stand")</f>
        <v>Adjustable Laptop Stand</v>
      </c>
      <c r="B547" s="6" t="str">
        <f t="array" ref="B547">INDEX('Raw Data Sales'!F547:F1545, MATCH(A547, 'Raw Data Sales'!E547:E1545, 0))</f>
        <v>Office</v>
      </c>
      <c r="C547" s="6">
        <f>SUMIFS('Raw Data Sales'!M547:M1545, 'Raw Data Sales'!E547:E1545,A547)</f>
        <v>18</v>
      </c>
      <c r="D547" s="6">
        <f>SUMIFS('Raw Data Sales'!N547:N1545, 'Raw Data Sales'!E547:E1545, A547)</f>
        <v>161.65</v>
      </c>
      <c r="E547" s="6">
        <f>AVERAGEIFS('Raw Data Sales'!G547:G1545, 'Raw Data Sales'!E547:E1545, A547)</f>
        <v>725.05</v>
      </c>
      <c r="F547" s="6" t="str">
        <f t="shared" si="2"/>
        <v>Zesty Cilantro Lime Dressing</v>
      </c>
    </row>
    <row r="548">
      <c r="A548" s="6" t="str">
        <f>IFERROR(__xludf.DUMMYFUNCTION("""COMPUTED_VALUE"""),"Floral Summer Dress")</f>
        <v>Floral Summer Dress</v>
      </c>
      <c r="B548" s="6" t="str">
        <f t="array" ref="B548">INDEX('Raw Data Sales'!F548:F1546, MATCH(A548, 'Raw Data Sales'!E548:E1546, 0))</f>
        <v>Clothing - Dresses</v>
      </c>
      <c r="C548" s="6">
        <f>SUMIFS('Raw Data Sales'!M548:M1546, 'Raw Data Sales'!E548:E1546,A548)</f>
        <v>90</v>
      </c>
      <c r="D548" s="6">
        <f>SUMIFS('Raw Data Sales'!N548:N1546, 'Raw Data Sales'!E548:E1546, A548)</f>
        <v>7125.6</v>
      </c>
      <c r="E548" s="6">
        <f>AVERAGEIFS('Raw Data Sales'!G548:G1546, 'Raw Data Sales'!E548:E1546, A548)</f>
        <v>224.79</v>
      </c>
      <c r="F548" s="6" t="str">
        <f t="shared" si="2"/>
        <v>Zesty Cilantro Lime Dressing</v>
      </c>
    </row>
    <row r="549">
      <c r="A549" s="6" t="str">
        <f>IFERROR(__xludf.DUMMYFUNCTION("""COMPUTED_VALUE"""),"Slingback Sandals")</f>
        <v>Slingback Sandals</v>
      </c>
      <c r="B549" s="6" t="str">
        <f t="array" ref="B549">INDEX('Raw Data Sales'!F549:F1547, MATCH(A549, 'Raw Data Sales'!E549:E1547, 0))</f>
        <v>Clothing - Footwear</v>
      </c>
      <c r="C549" s="6">
        <f>SUMIFS('Raw Data Sales'!M549:M1547, 'Raw Data Sales'!E549:E1547,A549)</f>
        <v>72</v>
      </c>
      <c r="D549" s="6">
        <f>SUMIFS('Raw Data Sales'!N549:N1547, 'Raw Data Sales'!E549:E1547, A549)</f>
        <v>6263</v>
      </c>
      <c r="E549" s="6">
        <f>AVERAGEIFS('Raw Data Sales'!G549:G1547, 'Raw Data Sales'!E549:E1547, A549)</f>
        <v>460.24</v>
      </c>
      <c r="F549" s="6" t="str">
        <f t="shared" si="2"/>
        <v>Zesty Cilantro Lime Dressing</v>
      </c>
    </row>
    <row r="550">
      <c r="A550" s="6" t="str">
        <f>IFERROR(__xludf.DUMMYFUNCTION("""COMPUTED_VALUE"""),"Skincare Set")</f>
        <v>Skincare Set</v>
      </c>
      <c r="B550" s="6" t="str">
        <f t="array" ref="B550">INDEX('Raw Data Sales'!F550:F1548, MATCH(A550, 'Raw Data Sales'!E550:E1548, 0))</f>
        <v>Beauty</v>
      </c>
      <c r="C550" s="6">
        <f>SUMIFS('Raw Data Sales'!M550:M1548, 'Raw Data Sales'!E550:E1548,A550)</f>
        <v>16</v>
      </c>
      <c r="D550" s="6">
        <f>SUMIFS('Raw Data Sales'!N550:N1548, 'Raw Data Sales'!E550:E1548, A550)</f>
        <v>6185.09</v>
      </c>
      <c r="E550" s="6">
        <f>AVERAGEIFS('Raw Data Sales'!G550:G1548, 'Raw Data Sales'!E550:E1548, A550)</f>
        <v>240.45</v>
      </c>
      <c r="F550" s="6" t="str">
        <f t="shared" si="2"/>
        <v>Zesty Cilantro Lime Dressing</v>
      </c>
    </row>
    <row r="551">
      <c r="A551" s="6" t="str">
        <f>IFERROR(__xludf.DUMMYFUNCTION("""COMPUTED_VALUE"""),"Garlic Butter Shrimp")</f>
        <v>Garlic Butter Shrimp</v>
      </c>
      <c r="B551" s="6" t="str">
        <f t="array" ref="B551">INDEX('Raw Data Sales'!F551:F1549, MATCH(A551, 'Raw Data Sales'!E551:E1549, 0))</f>
        <v>Food - Seafood</v>
      </c>
      <c r="C551" s="6">
        <f>SUMIFS('Raw Data Sales'!M551:M1549, 'Raw Data Sales'!E551:E1549,A551)</f>
        <v>92</v>
      </c>
      <c r="D551" s="6">
        <f>SUMIFS('Raw Data Sales'!N551:N1549, 'Raw Data Sales'!E551:E1549, A551)</f>
        <v>4609.8</v>
      </c>
      <c r="E551" s="6">
        <f>AVERAGEIFS('Raw Data Sales'!G551:G1549, 'Raw Data Sales'!E551:E1549, A551)</f>
        <v>894.6</v>
      </c>
      <c r="F551" s="6" t="str">
        <f t="shared" si="2"/>
        <v>Zesty Cilantro Lime Dressing</v>
      </c>
    </row>
    <row r="552">
      <c r="A552" s="6" t="str">
        <f>IFERROR(__xludf.DUMMYFUNCTION("""COMPUTED_VALUE"""),"Wall-Mounted Bookshelf")</f>
        <v>Wall-Mounted Bookshelf</v>
      </c>
      <c r="B552" s="6" t="str">
        <f t="array" ref="B552">INDEX('Raw Data Sales'!F552:F1550, MATCH(A552, 'Raw Data Sales'!E552:E1550, 0))</f>
        <v>Home</v>
      </c>
      <c r="C552" s="6">
        <f>SUMIFS('Raw Data Sales'!M552:M1550, 'Raw Data Sales'!E552:E1550,A552)</f>
        <v>15</v>
      </c>
      <c r="D552" s="6">
        <f>SUMIFS('Raw Data Sales'!N552:N1550, 'Raw Data Sales'!E552:E1550, A552)</f>
        <v>9240.39</v>
      </c>
      <c r="E552" s="6">
        <f>AVERAGEIFS('Raw Data Sales'!G552:G1550, 'Raw Data Sales'!E552:E1550, A552)</f>
        <v>553.23</v>
      </c>
      <c r="F552" s="6" t="str">
        <f t="shared" si="2"/>
        <v>Zesty Cilantro Lime Dressing</v>
      </c>
    </row>
    <row r="553">
      <c r="A553" s="6" t="str">
        <f>IFERROR(__xludf.DUMMYFUNCTION("""COMPUTED_VALUE"""),"Pet Water Fountain")</f>
        <v>Pet Water Fountain</v>
      </c>
      <c r="B553" s="6" t="str">
        <f t="array" ref="B553">INDEX('Raw Data Sales'!F553:F1551, MATCH(A553, 'Raw Data Sales'!E553:E1551, 0))</f>
        <v>Pets</v>
      </c>
      <c r="C553" s="6">
        <f>SUMIFS('Raw Data Sales'!M553:M1551, 'Raw Data Sales'!E553:E1551,A553)</f>
        <v>100</v>
      </c>
      <c r="D553" s="6">
        <f>SUMIFS('Raw Data Sales'!N553:N1551, 'Raw Data Sales'!E553:E1551, A553)</f>
        <v>9659.11</v>
      </c>
      <c r="E553" s="6">
        <f>AVERAGEIFS('Raw Data Sales'!G553:G1551, 'Raw Data Sales'!E553:E1551, A553)</f>
        <v>878.31</v>
      </c>
      <c r="F553" s="6" t="str">
        <f t="shared" si="2"/>
        <v>Zesty Cilantro Lime Dressing</v>
      </c>
    </row>
    <row r="554">
      <c r="A554" s="6" t="str">
        <f>IFERROR(__xludf.DUMMYFUNCTION("""COMPUTED_VALUE"""),"LED Desk Lamp")</f>
        <v>LED Desk Lamp</v>
      </c>
      <c r="B554" s="6" t="str">
        <f t="array" ref="B554">INDEX('Raw Data Sales'!F554:F1552, MATCH(A554, 'Raw Data Sales'!E554:E1552, 0))</f>
        <v>Home</v>
      </c>
      <c r="C554" s="6">
        <f>SUMIFS('Raw Data Sales'!M554:M1552, 'Raw Data Sales'!E554:E1552,A554)</f>
        <v>100</v>
      </c>
      <c r="D554" s="6">
        <f>SUMIFS('Raw Data Sales'!N554:N1552, 'Raw Data Sales'!E554:E1552, A554)</f>
        <v>1345.95</v>
      </c>
      <c r="E554" s="6">
        <f>AVERAGEIFS('Raw Data Sales'!G554:G1552, 'Raw Data Sales'!E554:E1552, A554)</f>
        <v>962.48</v>
      </c>
      <c r="F554" s="6" t="str">
        <f t="shared" si="2"/>
        <v>Zesty Cilantro Lime Dressing</v>
      </c>
    </row>
    <row r="555">
      <c r="A555" s="6" t="str">
        <f>IFERROR(__xludf.DUMMYFUNCTION("""COMPUTED_VALUE"""),"Fresh Lemons")</f>
        <v>Fresh Lemons</v>
      </c>
      <c r="B555" s="6" t="str">
        <f t="array" ref="B555">INDEX('Raw Data Sales'!F555:F1553, MATCH(A555, 'Raw Data Sales'!E555:E1553, 0))</f>
        <v>Food - Fresh Produce</v>
      </c>
      <c r="C555" s="6">
        <f>SUMIFS('Raw Data Sales'!M555:M1553, 'Raw Data Sales'!E555:E1553,A555)</f>
        <v>64</v>
      </c>
      <c r="D555" s="6">
        <f>SUMIFS('Raw Data Sales'!N555:N1553, 'Raw Data Sales'!E555:E1553, A555)</f>
        <v>6167.59</v>
      </c>
      <c r="E555" s="6">
        <f>AVERAGEIFS('Raw Data Sales'!G555:G1553, 'Raw Data Sales'!E555:E1553, A555)</f>
        <v>751.36</v>
      </c>
      <c r="F555" s="6" t="str">
        <f t="shared" si="2"/>
        <v>Zesty Cilantro Lime Dressing</v>
      </c>
    </row>
    <row r="556">
      <c r="A556" s="6" t="str">
        <f>IFERROR(__xludf.DUMMYFUNCTION("""COMPUTED_VALUE"""),"Mint Chocolate Chip Ice Cream")</f>
        <v>Mint Chocolate Chip Ice Cream</v>
      </c>
      <c r="B556" s="6" t="str">
        <f t="array" ref="B556">INDEX('Raw Data Sales'!F556:F1554, MATCH(A556, 'Raw Data Sales'!E556:E1554, 0))</f>
        <v>Food - Frozen Desserts</v>
      </c>
      <c r="C556" s="6">
        <f>SUMIFS('Raw Data Sales'!M556:M1554, 'Raw Data Sales'!E556:E1554,A556)</f>
        <v>92</v>
      </c>
      <c r="D556" s="6">
        <f>SUMIFS('Raw Data Sales'!N556:N1554, 'Raw Data Sales'!E556:E1554, A556)</f>
        <v>1918.9</v>
      </c>
      <c r="E556" s="6">
        <f>AVERAGEIFS('Raw Data Sales'!G556:G1554, 'Raw Data Sales'!E556:E1554, A556)</f>
        <v>304.48</v>
      </c>
      <c r="F556" s="6" t="str">
        <f t="shared" si="2"/>
        <v>Zesty Cilantro Lime Dressing</v>
      </c>
    </row>
    <row r="557">
      <c r="A557" s="6" t="str">
        <f>IFERROR(__xludf.DUMMYFUNCTION("""COMPUTED_VALUE"""),"Handheld Garment Steamer")</f>
        <v>Handheld Garment Steamer</v>
      </c>
      <c r="B557" s="6" t="str">
        <f t="array" ref="B557">INDEX('Raw Data Sales'!F557:F1555, MATCH(A557, 'Raw Data Sales'!E557:E1555, 0))</f>
        <v>Home</v>
      </c>
      <c r="C557" s="6">
        <f>SUMIFS('Raw Data Sales'!M557:M1555, 'Raw Data Sales'!E557:E1555,A557)</f>
        <v>96</v>
      </c>
      <c r="D557" s="6">
        <f>SUMIFS('Raw Data Sales'!N557:N1555, 'Raw Data Sales'!E557:E1555, A557)</f>
        <v>6062.46</v>
      </c>
      <c r="E557" s="6">
        <f>AVERAGEIFS('Raw Data Sales'!G557:G1555, 'Raw Data Sales'!E557:E1555, A557)</f>
        <v>563.21</v>
      </c>
      <c r="F557" s="6" t="str">
        <f t="shared" si="2"/>
        <v>Zesty Cilantro Lime Dressing</v>
      </c>
    </row>
    <row r="558">
      <c r="A558" s="6" t="str">
        <f>IFERROR(__xludf.DUMMYFUNCTION("""COMPUTED_VALUE"""),"Portable UV Sterilizer")</f>
        <v>Portable UV Sterilizer</v>
      </c>
      <c r="B558" s="6" t="str">
        <f t="array" ref="B558">INDEX('Raw Data Sales'!F558:F1556, MATCH(A558, 'Raw Data Sales'!E558:E1556, 0))</f>
        <v>Health</v>
      </c>
      <c r="C558" s="6">
        <f>SUMIFS('Raw Data Sales'!M558:M1556, 'Raw Data Sales'!E558:E1556,A558)</f>
        <v>44</v>
      </c>
      <c r="D558" s="6">
        <f>SUMIFS('Raw Data Sales'!N558:N1556, 'Raw Data Sales'!E558:E1556, A558)</f>
        <v>622.38</v>
      </c>
      <c r="E558" s="6">
        <f>AVERAGEIFS('Raw Data Sales'!G558:G1556, 'Raw Data Sales'!E558:E1556, A558)</f>
        <v>780.7</v>
      </c>
      <c r="F558" s="6" t="str">
        <f t="shared" si="2"/>
        <v>Zesty Cilantro Lime Dressing</v>
      </c>
    </row>
    <row r="559">
      <c r="A559" s="6" t="str">
        <f>IFERROR(__xludf.DUMMYFUNCTION("""COMPUTED_VALUE"""),"Tea Set with Infuser")</f>
        <v>Tea Set with Infuser</v>
      </c>
      <c r="B559" s="6" t="str">
        <f t="array" ref="B559">INDEX('Raw Data Sales'!F559:F1557, MATCH(A559, 'Raw Data Sales'!E559:E1557, 0))</f>
        <v>Kitchen</v>
      </c>
      <c r="C559" s="6">
        <f>SUMIFS('Raw Data Sales'!M559:M1557, 'Raw Data Sales'!E559:E1557,A559)</f>
        <v>14</v>
      </c>
      <c r="D559" s="6">
        <f>SUMIFS('Raw Data Sales'!N559:N1557, 'Raw Data Sales'!E559:E1557, A559)</f>
        <v>7356.76</v>
      </c>
      <c r="E559" s="6">
        <f>AVERAGEIFS('Raw Data Sales'!G559:G1557, 'Raw Data Sales'!E559:E1557, A559)</f>
        <v>12.94</v>
      </c>
      <c r="F559" s="6" t="str">
        <f t="shared" si="2"/>
        <v>Zesty Cilantro Lime Dressing</v>
      </c>
    </row>
    <row r="560">
      <c r="A560" s="6" t="str">
        <f>IFERROR(__xludf.DUMMYFUNCTION("""COMPUTED_VALUE"""),"Pet Activity Tracker")</f>
        <v>Pet Activity Tracker</v>
      </c>
      <c r="B560" s="6" t="str">
        <f t="array" ref="B560">INDEX('Raw Data Sales'!F560:F1558, MATCH(A560, 'Raw Data Sales'!E560:E1558, 0))</f>
        <v>Pets</v>
      </c>
      <c r="C560" s="6">
        <f>SUMIFS('Raw Data Sales'!M560:M1558, 'Raw Data Sales'!E560:E1558,A560)</f>
        <v>98</v>
      </c>
      <c r="D560" s="6">
        <f>SUMIFS('Raw Data Sales'!N560:N1558, 'Raw Data Sales'!E560:E1558, A560)</f>
        <v>4313.15</v>
      </c>
      <c r="E560" s="6">
        <f>AVERAGEIFS('Raw Data Sales'!G560:G1558, 'Raw Data Sales'!E560:E1558, A560)</f>
        <v>269.48</v>
      </c>
      <c r="F560" s="6" t="str">
        <f t="shared" si="2"/>
        <v>Zesty Cilantro Lime Dressing</v>
      </c>
    </row>
    <row r="561">
      <c r="A561" s="6" t="str">
        <f>IFERROR(__xludf.DUMMYFUNCTION("""COMPUTED_VALUE"""),"Organic Granola")</f>
        <v>Organic Granola</v>
      </c>
      <c r="B561" s="6" t="str">
        <f t="array" ref="B561">INDEX('Raw Data Sales'!F561:F1559, MATCH(A561, 'Raw Data Sales'!E561:E1559, 0))</f>
        <v>Food - Breakfast</v>
      </c>
      <c r="C561" s="6">
        <f>SUMIFS('Raw Data Sales'!M561:M1559, 'Raw Data Sales'!E561:E1559,A561)</f>
        <v>97</v>
      </c>
      <c r="D561" s="6">
        <f>SUMIFS('Raw Data Sales'!N561:N1559, 'Raw Data Sales'!E561:E1559, A561)</f>
        <v>536.5</v>
      </c>
      <c r="E561" s="6">
        <f>AVERAGEIFS('Raw Data Sales'!G561:G1559, 'Raw Data Sales'!E561:E1559, A561)</f>
        <v>93.22</v>
      </c>
      <c r="F561" s="6" t="str">
        <f t="shared" si="2"/>
        <v>Zesty Cilantro Lime Dressing</v>
      </c>
    </row>
    <row r="562">
      <c r="A562" s="6" t="str">
        <f>IFERROR(__xludf.DUMMYFUNCTION("""COMPUTED_VALUE"""),"Beef Stroganoff Mix")</f>
        <v>Beef Stroganoff Mix</v>
      </c>
      <c r="B562" s="6" t="str">
        <f t="array" ref="B562">INDEX('Raw Data Sales'!F562:F1560, MATCH(A562, 'Raw Data Sales'!E562:E1560, 0))</f>
        <v>Food - Meal Kits</v>
      </c>
      <c r="C562" s="6">
        <f>SUMIFS('Raw Data Sales'!M562:M1560, 'Raw Data Sales'!E562:E1560,A562)</f>
        <v>51</v>
      </c>
      <c r="D562" s="6">
        <f>SUMIFS('Raw Data Sales'!N562:N1560, 'Raw Data Sales'!E562:E1560, A562)</f>
        <v>1355.58</v>
      </c>
      <c r="E562" s="6">
        <f>AVERAGEIFS('Raw Data Sales'!G562:G1560, 'Raw Data Sales'!E562:E1560, A562)</f>
        <v>251.66</v>
      </c>
      <c r="F562" s="6" t="str">
        <f t="shared" si="2"/>
        <v>Zesty Cilantro Lime Dressing</v>
      </c>
    </row>
    <row r="563">
      <c r="A563" s="6" t="str">
        <f>IFERROR(__xludf.DUMMYFUNCTION("""COMPUTED_VALUE"""),"Digital Alarm Clock")</f>
        <v>Digital Alarm Clock</v>
      </c>
      <c r="B563" s="6" t="str">
        <f t="array" ref="B563">INDEX('Raw Data Sales'!F563:F1561, MATCH(A563, 'Raw Data Sales'!E563:E1561, 0))</f>
        <v>Home</v>
      </c>
      <c r="C563" s="6">
        <f>SUMIFS('Raw Data Sales'!M563:M1561, 'Raw Data Sales'!E563:E1561,A563)</f>
        <v>3</v>
      </c>
      <c r="D563" s="6">
        <f>SUMIFS('Raw Data Sales'!N563:N1561, 'Raw Data Sales'!E563:E1561, A563)</f>
        <v>7381.75</v>
      </c>
      <c r="E563" s="6">
        <f>AVERAGEIFS('Raw Data Sales'!G563:G1561, 'Raw Data Sales'!E563:E1561, A563)</f>
        <v>410.18</v>
      </c>
      <c r="F563" s="6" t="str">
        <f t="shared" si="2"/>
        <v>Zesty Cilantro Lime Dressing</v>
      </c>
    </row>
    <row r="564">
      <c r="A564" s="6" t="str">
        <f>IFERROR(__xludf.DUMMYFUNCTION("""COMPUTED_VALUE"""),"Greek Feta Cheese")</f>
        <v>Greek Feta Cheese</v>
      </c>
      <c r="B564" s="6" t="str">
        <f t="array" ref="B564">INDEX('Raw Data Sales'!F564:F1562, MATCH(A564, 'Raw Data Sales'!E564:E1562, 0))</f>
        <v>Food - Dairy</v>
      </c>
      <c r="C564" s="6">
        <f>SUMIFS('Raw Data Sales'!M564:M1562, 'Raw Data Sales'!E564:E1562,A564)</f>
        <v>45</v>
      </c>
      <c r="D564" s="6">
        <f>SUMIFS('Raw Data Sales'!N564:N1562, 'Raw Data Sales'!E564:E1562, A564)</f>
        <v>3415.78</v>
      </c>
      <c r="E564" s="6">
        <f>AVERAGEIFS('Raw Data Sales'!G564:G1562, 'Raw Data Sales'!E564:E1562, A564)</f>
        <v>528.32</v>
      </c>
      <c r="F564" s="6" t="str">
        <f t="shared" si="2"/>
        <v>Zesty Cilantro Lime Dressing</v>
      </c>
    </row>
    <row r="565">
      <c r="A565" s="6" t="str">
        <f>IFERROR(__xludf.DUMMYFUNCTION("""COMPUTED_VALUE"""),"Graphic Sweatshirt")</f>
        <v>Graphic Sweatshirt</v>
      </c>
      <c r="B565" s="6" t="str">
        <f t="array" ref="B565">INDEX('Raw Data Sales'!F565:F1563, MATCH(A565, 'Raw Data Sales'!E565:E1563, 0))</f>
        <v>Clothing - Tops</v>
      </c>
      <c r="C565" s="6">
        <f>SUMIFS('Raw Data Sales'!M565:M1563, 'Raw Data Sales'!E565:E1563,A565)</f>
        <v>19</v>
      </c>
      <c r="D565" s="6">
        <f>SUMIFS('Raw Data Sales'!N565:N1563, 'Raw Data Sales'!E565:E1563, A565)</f>
        <v>8559.44</v>
      </c>
      <c r="E565" s="6">
        <f>AVERAGEIFS('Raw Data Sales'!G565:G1563, 'Raw Data Sales'!E565:E1563, A565)</f>
        <v>534.4</v>
      </c>
      <c r="F565" s="6" t="str">
        <f t="shared" si="2"/>
        <v>Zesty Cilantro Lime Dressing</v>
      </c>
    </row>
    <row r="566">
      <c r="A566" s="6" t="str">
        <f>IFERROR(__xludf.DUMMYFUNCTION("""COMPUTED_VALUE"""),"Fresh Basil")</f>
        <v>Fresh Basil</v>
      </c>
      <c r="B566" s="6" t="str">
        <f t="array" ref="B566">INDEX('Raw Data Sales'!F566:F1564, MATCH(A566, 'Raw Data Sales'!E566:E1564, 0))</f>
        <v>Food - Produce</v>
      </c>
      <c r="C566" s="6">
        <f>SUMIFS('Raw Data Sales'!M566:M1564, 'Raw Data Sales'!E566:E1564,A566)</f>
        <v>88</v>
      </c>
      <c r="D566" s="6">
        <f>SUMIFS('Raw Data Sales'!N566:N1564, 'Raw Data Sales'!E566:E1564, A566)</f>
        <v>2797.03</v>
      </c>
      <c r="E566" s="6">
        <f>AVERAGEIFS('Raw Data Sales'!G566:G1564, 'Raw Data Sales'!E566:E1564, A566)</f>
        <v>101.05</v>
      </c>
      <c r="F566" s="6" t="str">
        <f t="shared" si="2"/>
        <v>Zesty Cilantro Lime Dressing</v>
      </c>
    </row>
    <row r="567">
      <c r="A567" s="6" t="str">
        <f>IFERROR(__xludf.DUMMYFUNCTION("""COMPUTED_VALUE"""),"Leather Wallet")</f>
        <v>Leather Wallet</v>
      </c>
      <c r="B567" s="6" t="str">
        <f t="array" ref="B567">INDEX('Raw Data Sales'!F567:F1565, MATCH(A567, 'Raw Data Sales'!E567:E1565, 0))</f>
        <v>Accessories</v>
      </c>
      <c r="C567" s="6">
        <f>SUMIFS('Raw Data Sales'!M567:M1565, 'Raw Data Sales'!E567:E1565,A567)</f>
        <v>70</v>
      </c>
      <c r="D567" s="6">
        <f>SUMIFS('Raw Data Sales'!N567:N1565, 'Raw Data Sales'!E567:E1565, A567)</f>
        <v>12295.83</v>
      </c>
      <c r="E567" s="6">
        <f>AVERAGEIFS('Raw Data Sales'!G567:G1565, 'Raw Data Sales'!E567:E1565, A567)</f>
        <v>373.76</v>
      </c>
      <c r="F567" s="6" t="str">
        <f t="shared" si="2"/>
        <v>Zesty Cilantro Lime Dressing</v>
      </c>
    </row>
    <row r="568">
      <c r="A568" s="6" t="str">
        <f>IFERROR(__xludf.DUMMYFUNCTION("""COMPUTED_VALUE"""),"Pet Safety Belt for Car")</f>
        <v>Pet Safety Belt for Car</v>
      </c>
      <c r="B568" s="6" t="str">
        <f t="array" ref="B568">INDEX('Raw Data Sales'!F568:F1566, MATCH(A568, 'Raw Data Sales'!E568:E1566, 0))</f>
        <v>Pets</v>
      </c>
      <c r="C568" s="6">
        <f>SUMIFS('Raw Data Sales'!M568:M1566, 'Raw Data Sales'!E568:E1566,A568)</f>
        <v>76</v>
      </c>
      <c r="D568" s="6">
        <f>SUMIFS('Raw Data Sales'!N568:N1566, 'Raw Data Sales'!E568:E1566, A568)</f>
        <v>7677.94</v>
      </c>
      <c r="E568" s="6">
        <f>AVERAGEIFS('Raw Data Sales'!G568:G1566, 'Raw Data Sales'!E568:E1566, A568)</f>
        <v>812.42</v>
      </c>
      <c r="F568" s="6" t="str">
        <f t="shared" si="2"/>
        <v>Zesty Cilantro Lime Dressing</v>
      </c>
    </row>
    <row r="569">
      <c r="A569" s="6" t="str">
        <f>IFERROR(__xludf.DUMMYFUNCTION("""COMPUTED_VALUE"""),"Spicy Vegetable Sushi Rolls")</f>
        <v>Spicy Vegetable Sushi Rolls</v>
      </c>
      <c r="B569" s="6" t="str">
        <f t="array" ref="B569">INDEX('Raw Data Sales'!F569:F1567, MATCH(A569, 'Raw Data Sales'!E569:E1567, 0))</f>
        <v>Food - Prepared Foods</v>
      </c>
      <c r="C569" s="6">
        <f>SUMIFS('Raw Data Sales'!M569:M1567, 'Raw Data Sales'!E569:E1567,A569)</f>
        <v>94</v>
      </c>
      <c r="D569" s="6">
        <f>SUMIFS('Raw Data Sales'!N569:N1567, 'Raw Data Sales'!E569:E1567, A569)</f>
        <v>8850.69</v>
      </c>
      <c r="E569" s="6">
        <f>AVERAGEIFS('Raw Data Sales'!G569:G1567, 'Raw Data Sales'!E569:E1567, A569)</f>
        <v>838.86</v>
      </c>
      <c r="F569" s="6" t="str">
        <f t="shared" si="2"/>
        <v>Zesty Cilantro Lime Dressing</v>
      </c>
    </row>
    <row r="570">
      <c r="A570" s="6" t="str">
        <f>IFERROR(__xludf.DUMMYFUNCTION("""COMPUTED_VALUE"""),"Beard Grooming Kit")</f>
        <v>Beard Grooming Kit</v>
      </c>
      <c r="B570" s="6" t="str">
        <f t="array" ref="B570">INDEX('Raw Data Sales'!F570:F1568, MATCH(A570, 'Raw Data Sales'!E570:E1568, 0))</f>
        <v>Grooming</v>
      </c>
      <c r="C570" s="6">
        <f>SUMIFS('Raw Data Sales'!M570:M1568, 'Raw Data Sales'!E570:E1568,A570)</f>
        <v>68</v>
      </c>
      <c r="D570" s="6">
        <f>SUMIFS('Raw Data Sales'!N570:N1568, 'Raw Data Sales'!E570:E1568, A570)</f>
        <v>1014.12</v>
      </c>
      <c r="E570" s="6">
        <f>AVERAGEIFS('Raw Data Sales'!G570:G1568, 'Raw Data Sales'!E570:E1568, A570)</f>
        <v>322.3</v>
      </c>
      <c r="F570" s="6" t="str">
        <f t="shared" si="2"/>
        <v>Zesty Cilantro Lime Dressing</v>
      </c>
    </row>
    <row r="571">
      <c r="A571" s="6" t="str">
        <f>IFERROR(__xludf.DUMMYFUNCTION("""COMPUTED_VALUE"""),"Portable Air Purifier")</f>
        <v>Portable Air Purifier</v>
      </c>
      <c r="B571" s="6" t="str">
        <f t="array" ref="B571">INDEX('Raw Data Sales'!F571:F1569, MATCH(A571, 'Raw Data Sales'!E571:E1569, 0))</f>
        <v>Health</v>
      </c>
      <c r="C571" s="6">
        <f>SUMIFS('Raw Data Sales'!M571:M1569, 'Raw Data Sales'!E571:E1569,A571)</f>
        <v>29</v>
      </c>
      <c r="D571" s="6">
        <f>SUMIFS('Raw Data Sales'!N571:N1569, 'Raw Data Sales'!E571:E1569, A571)</f>
        <v>2096.1</v>
      </c>
      <c r="E571" s="6">
        <f>AVERAGEIFS('Raw Data Sales'!G571:G1569, 'Raw Data Sales'!E571:E1569, A571)</f>
        <v>741.62</v>
      </c>
      <c r="F571" s="6" t="str">
        <f t="shared" si="2"/>
        <v>Zesty Cilantro Lime Dressing</v>
      </c>
    </row>
    <row r="572">
      <c r="A572" s="6" t="str">
        <f>IFERROR(__xludf.DUMMYFUNCTION("""COMPUTED_VALUE"""),"Luxury Yoga Mat")</f>
        <v>Luxury Yoga Mat</v>
      </c>
      <c r="B572" s="6" t="str">
        <f t="array" ref="B572">INDEX('Raw Data Sales'!F572:F1570, MATCH(A572, 'Raw Data Sales'!E572:E1570, 0))</f>
        <v>Fitness</v>
      </c>
      <c r="C572" s="6">
        <f>SUMIFS('Raw Data Sales'!M572:M1570, 'Raw Data Sales'!E572:E1570,A572)</f>
        <v>37</v>
      </c>
      <c r="D572" s="6">
        <f>SUMIFS('Raw Data Sales'!N572:N1570, 'Raw Data Sales'!E572:E1570, A572)</f>
        <v>2965.91</v>
      </c>
      <c r="E572" s="6">
        <f>AVERAGEIFS('Raw Data Sales'!G572:G1570, 'Raw Data Sales'!E572:E1570, A572)</f>
        <v>799.22</v>
      </c>
      <c r="F572" s="6" t="str">
        <f t="shared" si="2"/>
        <v>Zesty Cilantro Lime Dressing</v>
      </c>
    </row>
    <row r="573">
      <c r="A573" s="6" t="str">
        <f>IFERROR(__xludf.DUMMYFUNCTION("""COMPUTED_VALUE"""),"Dill Pickle Chips")</f>
        <v>Dill Pickle Chips</v>
      </c>
      <c r="B573" s="6" t="str">
        <f t="array" ref="B573">INDEX('Raw Data Sales'!F573:F1571, MATCH(A573, 'Raw Data Sales'!E573:E1571, 0))</f>
        <v>Food - Condiments</v>
      </c>
      <c r="C573" s="6">
        <f>SUMIFS('Raw Data Sales'!M573:M1571, 'Raw Data Sales'!E573:E1571,A573)</f>
        <v>20</v>
      </c>
      <c r="D573" s="6">
        <f>SUMIFS('Raw Data Sales'!N573:N1571, 'Raw Data Sales'!E573:E1571, A573)</f>
        <v>2460.22</v>
      </c>
      <c r="E573" s="6">
        <f>AVERAGEIFS('Raw Data Sales'!G573:G1571, 'Raw Data Sales'!E573:E1571, A573)</f>
        <v>360.46</v>
      </c>
      <c r="F573" s="6" t="str">
        <f t="shared" si="2"/>
        <v>Zesty Cilantro Lime Dressing</v>
      </c>
    </row>
    <row r="574">
      <c r="A574" s="6" t="str">
        <f>IFERROR(__xludf.DUMMYFUNCTION("""COMPUTED_VALUE"""),"Sriracha Honey Glaze")</f>
        <v>Sriracha Honey Glaze</v>
      </c>
      <c r="B574" s="6" t="str">
        <f t="array" ref="B574">INDEX('Raw Data Sales'!F574:F1572, MATCH(A574, 'Raw Data Sales'!E574:E1572, 0))</f>
        <v>Food - Sauces</v>
      </c>
      <c r="C574" s="6">
        <f>SUMIFS('Raw Data Sales'!M574:M1572, 'Raw Data Sales'!E574:E1572,A574)</f>
        <v>46</v>
      </c>
      <c r="D574" s="6">
        <f>SUMIFS('Raw Data Sales'!N574:N1572, 'Raw Data Sales'!E574:E1572, A574)</f>
        <v>8533.16</v>
      </c>
      <c r="E574" s="6">
        <f>AVERAGEIFS('Raw Data Sales'!G574:G1572, 'Raw Data Sales'!E574:E1572, A574)</f>
        <v>213.35</v>
      </c>
      <c r="F574" s="6" t="str">
        <f t="shared" si="2"/>
        <v>Zesty Cilantro Lime Dressing</v>
      </c>
    </row>
    <row r="575">
      <c r="A575" s="6" t="str">
        <f>IFERROR(__xludf.DUMMYFUNCTION("""COMPUTED_VALUE"""),"Handcrafted Wooden Jewelry Box")</f>
        <v>Handcrafted Wooden Jewelry Box</v>
      </c>
      <c r="B575" s="6" t="str">
        <f t="array" ref="B575">INDEX('Raw Data Sales'!F575:F1573, MATCH(A575, 'Raw Data Sales'!E575:E1573, 0))</f>
        <v>Accessories</v>
      </c>
      <c r="C575" s="6">
        <f>SUMIFS('Raw Data Sales'!M575:M1573, 'Raw Data Sales'!E575:E1573,A575)</f>
        <v>42</v>
      </c>
      <c r="D575" s="6">
        <f>SUMIFS('Raw Data Sales'!N575:N1573, 'Raw Data Sales'!E575:E1573, A575)</f>
        <v>5405</v>
      </c>
      <c r="E575" s="6">
        <f>AVERAGEIFS('Raw Data Sales'!G575:G1573, 'Raw Data Sales'!E575:E1573, A575)</f>
        <v>558.94</v>
      </c>
      <c r="F575" s="6" t="str">
        <f t="shared" si="2"/>
        <v>Zesty Cilantro Lime Dressing</v>
      </c>
    </row>
    <row r="576">
      <c r="A576" s="6" t="str">
        <f>IFERROR(__xludf.DUMMYFUNCTION("""COMPUTED_VALUE"""),"Dried Cranberries")</f>
        <v>Dried Cranberries</v>
      </c>
      <c r="B576" s="6" t="str">
        <f t="array" ref="B576">INDEX('Raw Data Sales'!F576:F1574, MATCH(A576, 'Raw Data Sales'!E576:E1574, 0))</f>
        <v>Food - Snacks</v>
      </c>
      <c r="C576" s="6">
        <f>SUMIFS('Raw Data Sales'!M576:M1574, 'Raw Data Sales'!E576:E1574,A576)</f>
        <v>81</v>
      </c>
      <c r="D576" s="6">
        <f>SUMIFS('Raw Data Sales'!N576:N1574, 'Raw Data Sales'!E576:E1574, A576)</f>
        <v>12463.76</v>
      </c>
      <c r="E576" s="6">
        <f>AVERAGEIFS('Raw Data Sales'!G576:G1574, 'Raw Data Sales'!E576:E1574, A576)</f>
        <v>501.825</v>
      </c>
      <c r="F576" s="6" t="str">
        <f t="shared" si="2"/>
        <v>Zesty Cilantro Lime Dressing</v>
      </c>
    </row>
    <row r="577">
      <c r="A577" s="6" t="str">
        <f>IFERROR(__xludf.DUMMYFUNCTION("""COMPUTED_VALUE"""),"Non-Stick Grill Mat")</f>
        <v>Non-Stick Grill Mat</v>
      </c>
      <c r="B577" s="6" t="str">
        <f t="array" ref="B577">INDEX('Raw Data Sales'!F577:F1575, MATCH(A577, 'Raw Data Sales'!E577:E1575, 0))</f>
        <v>Outdoor</v>
      </c>
      <c r="C577" s="6">
        <f>SUMIFS('Raw Data Sales'!M577:M1575, 'Raw Data Sales'!E577:E1575,A577)</f>
        <v>50</v>
      </c>
      <c r="D577" s="6">
        <f>SUMIFS('Raw Data Sales'!N577:N1575, 'Raw Data Sales'!E577:E1575, A577)</f>
        <v>7943.59</v>
      </c>
      <c r="E577" s="6">
        <f>AVERAGEIFS('Raw Data Sales'!G577:G1575, 'Raw Data Sales'!E577:E1575, A577)</f>
        <v>972.95</v>
      </c>
      <c r="F577" s="6" t="str">
        <f t="shared" si="2"/>
        <v>Zesty Cilantro Lime Dressing</v>
      </c>
    </row>
    <row r="578">
      <c r="A578" s="6" t="str">
        <f>IFERROR(__xludf.DUMMYFUNCTION("""COMPUTED_VALUE"""),"Carrot and Celery Sticks")</f>
        <v>Carrot and Celery Sticks</v>
      </c>
      <c r="B578" s="6" t="str">
        <f t="array" ref="B578">INDEX('Raw Data Sales'!F578:F1576, MATCH(A578, 'Raw Data Sales'!E578:E1576, 0))</f>
        <v>Food - Produce</v>
      </c>
      <c r="C578" s="6">
        <f>SUMIFS('Raw Data Sales'!M578:M1576, 'Raw Data Sales'!E578:E1576,A578)</f>
        <v>10</v>
      </c>
      <c r="D578" s="6">
        <f>SUMIFS('Raw Data Sales'!N578:N1576, 'Raw Data Sales'!E578:E1576, A578)</f>
        <v>4608.44</v>
      </c>
      <c r="E578" s="6">
        <f>AVERAGEIFS('Raw Data Sales'!G578:G1576, 'Raw Data Sales'!E578:E1576, A578)</f>
        <v>699.04</v>
      </c>
      <c r="F578" s="6" t="str">
        <f t="shared" si="2"/>
        <v>Zesty Cilantro Lime Dressing</v>
      </c>
    </row>
    <row r="579">
      <c r="A579" s="6" t="str">
        <f>IFERROR(__xludf.DUMMYFUNCTION("""COMPUTED_VALUE"""),"Oven-Baked Potato Chips")</f>
        <v>Oven-Baked Potato Chips</v>
      </c>
      <c r="B579" s="6" t="str">
        <f t="array" ref="B579">INDEX('Raw Data Sales'!F579:F1577, MATCH(A579, 'Raw Data Sales'!E579:E1577, 0))</f>
        <v>Food - Snacks</v>
      </c>
      <c r="C579" s="6">
        <f>SUMIFS('Raw Data Sales'!M579:M1577, 'Raw Data Sales'!E579:E1577,A579)</f>
        <v>66</v>
      </c>
      <c r="D579" s="6">
        <f>SUMIFS('Raw Data Sales'!N579:N1577, 'Raw Data Sales'!E579:E1577, A579)</f>
        <v>1058.46</v>
      </c>
      <c r="E579" s="6">
        <f>AVERAGEIFS('Raw Data Sales'!G579:G1577, 'Raw Data Sales'!E579:E1577, A579)</f>
        <v>380.93</v>
      </c>
      <c r="F579" s="6" t="str">
        <f t="shared" si="2"/>
        <v>Zesty Cilantro Lime Dressing</v>
      </c>
    </row>
    <row r="580">
      <c r="A580" s="6" t="str">
        <f>IFERROR(__xludf.DUMMYFUNCTION("""COMPUTED_VALUE"""),"Maple Bacon Popcorn")</f>
        <v>Maple Bacon Popcorn</v>
      </c>
      <c r="B580" s="6" t="str">
        <f t="array" ref="B580">INDEX('Raw Data Sales'!F580:F1578, MATCH(A580, 'Raw Data Sales'!E580:E1578, 0))</f>
        <v>Food - Snacks</v>
      </c>
      <c r="C580" s="6">
        <f>SUMIFS('Raw Data Sales'!M580:M1578, 'Raw Data Sales'!E580:E1578,A580)</f>
        <v>80</v>
      </c>
      <c r="D580" s="6">
        <f>SUMIFS('Raw Data Sales'!N580:N1578, 'Raw Data Sales'!E580:E1578, A580)</f>
        <v>1626.85</v>
      </c>
      <c r="E580" s="6">
        <f>AVERAGEIFS('Raw Data Sales'!G580:G1578, 'Raw Data Sales'!E580:E1578, A580)</f>
        <v>664.17</v>
      </c>
      <c r="F580" s="6" t="str">
        <f t="shared" si="2"/>
        <v>Zesty Cilantro Lime Dressing</v>
      </c>
    </row>
    <row r="581">
      <c r="A581" s="6" t="str">
        <f>IFERROR(__xludf.DUMMYFUNCTION("""COMPUTED_VALUE"""),"Wireless Range Extender")</f>
        <v>Wireless Range Extender</v>
      </c>
      <c r="B581" s="6" t="str">
        <f t="array" ref="B581">INDEX('Raw Data Sales'!F581:F1579, MATCH(A581, 'Raw Data Sales'!E581:E1579, 0))</f>
        <v>Electronics</v>
      </c>
      <c r="C581" s="6">
        <f>SUMIFS('Raw Data Sales'!M581:M1579, 'Raw Data Sales'!E581:E1579,A581)</f>
        <v>43</v>
      </c>
      <c r="D581" s="6">
        <f>SUMIFS('Raw Data Sales'!N581:N1579, 'Raw Data Sales'!E581:E1579, A581)</f>
        <v>1861.58</v>
      </c>
      <c r="E581" s="6">
        <f>AVERAGEIFS('Raw Data Sales'!G581:G1579, 'Raw Data Sales'!E581:E1579, A581)</f>
        <v>647.84</v>
      </c>
      <c r="F581" s="6" t="str">
        <f t="shared" si="2"/>
        <v>Zesty Cilantro Lime Dressing</v>
      </c>
    </row>
    <row r="582">
      <c r="A582" s="6" t="str">
        <f>IFERROR(__xludf.DUMMYFUNCTION("""COMPUTED_VALUE"""),"French Onion Dip")</f>
        <v>French Onion Dip</v>
      </c>
      <c r="B582" s="6" t="str">
        <f t="array" ref="B582">INDEX('Raw Data Sales'!F582:F1580, MATCH(A582, 'Raw Data Sales'!E582:E1580, 0))</f>
        <v>Food - Condiments</v>
      </c>
      <c r="C582" s="6">
        <f>SUMIFS('Raw Data Sales'!M582:M1580, 'Raw Data Sales'!E582:E1580,A582)</f>
        <v>92</v>
      </c>
      <c r="D582" s="6">
        <f>SUMIFS('Raw Data Sales'!N582:N1580, 'Raw Data Sales'!E582:E1580, A582)</f>
        <v>1457.79</v>
      </c>
      <c r="E582" s="6">
        <f>AVERAGEIFS('Raw Data Sales'!G582:G1580, 'Raw Data Sales'!E582:E1580, A582)</f>
        <v>926.19</v>
      </c>
      <c r="F582" s="6" t="str">
        <f t="shared" si="2"/>
        <v>Zesty Cilantro Lime Dressing</v>
      </c>
    </row>
    <row r="583">
      <c r="A583" s="6" t="str">
        <f>IFERROR(__xludf.DUMMYFUNCTION("""COMPUTED_VALUE"""),"Pistachios")</f>
        <v>Pistachios</v>
      </c>
      <c r="B583" s="6" t="str">
        <f t="array" ref="B583">INDEX('Raw Data Sales'!F583:F1581, MATCH(A583, 'Raw Data Sales'!E583:E1581, 0))</f>
        <v>Food - Nuts</v>
      </c>
      <c r="C583" s="6">
        <f>SUMIFS('Raw Data Sales'!M583:M1581, 'Raw Data Sales'!E583:E1581,A583)</f>
        <v>58</v>
      </c>
      <c r="D583" s="6">
        <f>SUMIFS('Raw Data Sales'!N583:N1581, 'Raw Data Sales'!E583:E1581, A583)</f>
        <v>7307.2</v>
      </c>
      <c r="E583" s="6">
        <f>AVERAGEIFS('Raw Data Sales'!G583:G1581, 'Raw Data Sales'!E583:E1581, A583)</f>
        <v>817.31</v>
      </c>
      <c r="F583" s="6" t="str">
        <f t="shared" si="2"/>
        <v>Zesty Cilantro Lime Dressing</v>
      </c>
    </row>
    <row r="584">
      <c r="A584" s="6" t="str">
        <f>IFERROR(__xludf.DUMMYFUNCTION("""COMPUTED_VALUE"""),"Sliced Cheese")</f>
        <v>Sliced Cheese</v>
      </c>
      <c r="B584" s="6" t="str">
        <f t="array" ref="B584">INDEX('Raw Data Sales'!F584:F1582, MATCH(A584, 'Raw Data Sales'!E584:E1582, 0))</f>
        <v>Food - Dairy</v>
      </c>
      <c r="C584" s="6">
        <f>SUMIFS('Raw Data Sales'!M584:M1582, 'Raw Data Sales'!E584:E1582,A584)</f>
        <v>44</v>
      </c>
      <c r="D584" s="6">
        <f>SUMIFS('Raw Data Sales'!N584:N1582, 'Raw Data Sales'!E584:E1582, A584)</f>
        <v>8679.3</v>
      </c>
      <c r="E584" s="6">
        <f>AVERAGEIFS('Raw Data Sales'!G584:G1582, 'Raw Data Sales'!E584:E1582, A584)</f>
        <v>127.48</v>
      </c>
      <c r="F584" s="6" t="str">
        <f t="shared" si="2"/>
        <v>Zesty Cilantro Lime Dressing</v>
      </c>
    </row>
    <row r="585">
      <c r="A585" s="6" t="str">
        <f>IFERROR(__xludf.DUMMYFUNCTION("""COMPUTED_VALUE"""),"Garlic Parmesan Roasted Nuts")</f>
        <v>Garlic Parmesan Roasted Nuts</v>
      </c>
      <c r="B585" s="6" t="str">
        <f t="array" ref="B585">INDEX('Raw Data Sales'!F585:F1583, MATCH(A585, 'Raw Data Sales'!E585:E1583, 0))</f>
        <v>Food - Nuts</v>
      </c>
      <c r="C585" s="6">
        <f>SUMIFS('Raw Data Sales'!M585:M1583, 'Raw Data Sales'!E585:E1583,A585)</f>
        <v>93</v>
      </c>
      <c r="D585" s="6">
        <f>SUMIFS('Raw Data Sales'!N585:N1583, 'Raw Data Sales'!E585:E1583, A585)</f>
        <v>4455.07</v>
      </c>
      <c r="E585" s="6">
        <f>AVERAGEIFS('Raw Data Sales'!G585:G1583, 'Raw Data Sales'!E585:E1583, A585)</f>
        <v>219.07</v>
      </c>
      <c r="F585" s="6" t="str">
        <f t="shared" si="2"/>
        <v>Zesty Cilantro Lime Dressing</v>
      </c>
    </row>
    <row r="586">
      <c r="A586" s="6" t="str">
        <f>IFERROR(__xludf.DUMMYFUNCTION("""COMPUTED_VALUE"""),"LED Table Lamp")</f>
        <v>LED Table Lamp</v>
      </c>
      <c r="B586" s="6" t="str">
        <f t="array" ref="B586">INDEX('Raw Data Sales'!F586:F1584, MATCH(A586, 'Raw Data Sales'!E586:E1584, 0))</f>
        <v>Home</v>
      </c>
      <c r="C586" s="6">
        <f>SUMIFS('Raw Data Sales'!M586:M1584, 'Raw Data Sales'!E586:E1584,A586)</f>
        <v>79</v>
      </c>
      <c r="D586" s="6">
        <f>SUMIFS('Raw Data Sales'!N586:N1584, 'Raw Data Sales'!E586:E1584, A586)</f>
        <v>8864.78</v>
      </c>
      <c r="E586" s="6">
        <f>AVERAGEIFS('Raw Data Sales'!G586:G1584, 'Raw Data Sales'!E586:E1584, A586)</f>
        <v>772.25</v>
      </c>
      <c r="F586" s="6" t="str">
        <f t="shared" si="2"/>
        <v>Zesty Cilantro Lime Dressing</v>
      </c>
    </row>
    <row r="587">
      <c r="A587" s="6" t="str">
        <f>IFERROR(__xludf.DUMMYFUNCTION("""COMPUTED_VALUE"""),"Electric Fondue Pot")</f>
        <v>Electric Fondue Pot</v>
      </c>
      <c r="B587" s="6" t="str">
        <f t="array" ref="B587">INDEX('Raw Data Sales'!F587:F1585, MATCH(A587, 'Raw Data Sales'!E587:E1585, 0))</f>
        <v>Kitchen</v>
      </c>
      <c r="C587" s="6">
        <f>SUMIFS('Raw Data Sales'!M587:M1585, 'Raw Data Sales'!E587:E1585,A587)</f>
        <v>41</v>
      </c>
      <c r="D587" s="6">
        <f>SUMIFS('Raw Data Sales'!N587:N1585, 'Raw Data Sales'!E587:E1585, A587)</f>
        <v>3614.19</v>
      </c>
      <c r="E587" s="6">
        <f>AVERAGEIFS('Raw Data Sales'!G587:G1585, 'Raw Data Sales'!E587:E1585, A587)</f>
        <v>506.07</v>
      </c>
      <c r="F587" s="6" t="str">
        <f t="shared" si="2"/>
        <v>Zesty Cilantro Lime Dressing</v>
      </c>
    </row>
    <row r="588">
      <c r="A588" s="6" t="str">
        <f>IFERROR(__xludf.DUMMYFUNCTION("""COMPUTED_VALUE"""),"Basil Pesto Pasta")</f>
        <v>Basil Pesto Pasta</v>
      </c>
      <c r="B588" s="6" t="str">
        <f t="array" ref="B588">INDEX('Raw Data Sales'!F588:F1586, MATCH(A588, 'Raw Data Sales'!E588:E1586, 0))</f>
        <v>Food - Prepared Meals</v>
      </c>
      <c r="C588" s="6">
        <f>SUMIFS('Raw Data Sales'!M588:M1586, 'Raw Data Sales'!E588:E1586,A588)</f>
        <v>90</v>
      </c>
      <c r="D588" s="6">
        <f>SUMIFS('Raw Data Sales'!N588:N1586, 'Raw Data Sales'!E588:E1586, A588)</f>
        <v>11335.51</v>
      </c>
      <c r="E588" s="6">
        <f>AVERAGEIFS('Raw Data Sales'!G588:G1586, 'Raw Data Sales'!E588:E1586, A588)</f>
        <v>488.55</v>
      </c>
      <c r="F588" s="6" t="str">
        <f t="shared" si="2"/>
        <v>Zesty Cilantro Lime Dressing</v>
      </c>
    </row>
    <row r="589">
      <c r="A589" s="6" t="str">
        <f>IFERROR(__xludf.DUMMYFUNCTION("""COMPUTED_VALUE"""),"Apple Cinnamon Instant Oatmeal")</f>
        <v>Apple Cinnamon Instant Oatmeal</v>
      </c>
      <c r="B589" s="6" t="str">
        <f t="array" ref="B589">INDEX('Raw Data Sales'!F589:F1587, MATCH(A589, 'Raw Data Sales'!E589:E1587, 0))</f>
        <v>Food - Cereal</v>
      </c>
      <c r="C589" s="6">
        <f>SUMIFS('Raw Data Sales'!M589:M1587, 'Raw Data Sales'!E589:E1587,A589)</f>
        <v>76</v>
      </c>
      <c r="D589" s="6">
        <f>SUMIFS('Raw Data Sales'!N589:N1587, 'Raw Data Sales'!E589:E1587, A589)</f>
        <v>8165.38</v>
      </c>
      <c r="E589" s="6">
        <f>AVERAGEIFS('Raw Data Sales'!G589:G1587, 'Raw Data Sales'!E589:E1587, A589)</f>
        <v>246.45</v>
      </c>
      <c r="F589" s="6" t="str">
        <f t="shared" si="2"/>
        <v>Zesty Cilantro Lime Dressing</v>
      </c>
    </row>
    <row r="590">
      <c r="A590" s="6" t="str">
        <f>IFERROR(__xludf.DUMMYFUNCTION("""COMPUTED_VALUE"""),"Mashed Sweet Potatoes")</f>
        <v>Mashed Sweet Potatoes</v>
      </c>
      <c r="B590" s="6" t="str">
        <f t="array" ref="B590">INDEX('Raw Data Sales'!F590:F1588, MATCH(A590, 'Raw Data Sales'!E590:E1588, 0))</f>
        <v>Food - Sides</v>
      </c>
      <c r="C590" s="6">
        <f>SUMIFS('Raw Data Sales'!M590:M1588, 'Raw Data Sales'!E590:E1588,A590)</f>
        <v>93</v>
      </c>
      <c r="D590" s="6">
        <f>SUMIFS('Raw Data Sales'!N590:N1588, 'Raw Data Sales'!E590:E1588, A590)</f>
        <v>4610.52</v>
      </c>
      <c r="E590" s="6">
        <f>AVERAGEIFS('Raw Data Sales'!G590:G1588, 'Raw Data Sales'!E590:E1588, A590)</f>
        <v>942.37</v>
      </c>
      <c r="F590" s="6" t="str">
        <f t="shared" si="2"/>
        <v>Zesty Cilantro Lime Dressing</v>
      </c>
    </row>
    <row r="591">
      <c r="A591" s="6" t="str">
        <f>IFERROR(__xludf.DUMMYFUNCTION("""COMPUTED_VALUE"""),"Organic Brown Rice Cakes")</f>
        <v>Organic Brown Rice Cakes</v>
      </c>
      <c r="B591" s="6" t="str">
        <f t="array" ref="B591">INDEX('Raw Data Sales'!F591:F1589, MATCH(A591, 'Raw Data Sales'!E591:E1589, 0))</f>
        <v>Food - Snacks</v>
      </c>
      <c r="C591" s="6">
        <f>SUMIFS('Raw Data Sales'!M591:M1589, 'Raw Data Sales'!E591:E1589,A591)</f>
        <v>81</v>
      </c>
      <c r="D591" s="6">
        <f>SUMIFS('Raw Data Sales'!N591:N1589, 'Raw Data Sales'!E591:E1589, A591)</f>
        <v>5690.73</v>
      </c>
      <c r="E591" s="6">
        <f>AVERAGEIFS('Raw Data Sales'!G591:G1589, 'Raw Data Sales'!E591:E1589, A591)</f>
        <v>544.75</v>
      </c>
      <c r="F591" s="6" t="str">
        <f t="shared" si="2"/>
        <v>Zesty Cilantro Lime Dressing</v>
      </c>
    </row>
    <row r="592">
      <c r="A592" s="6" t="str">
        <f>IFERROR(__xludf.DUMMYFUNCTION("""COMPUTED_VALUE"""),"LED Under Cabinet Lighting")</f>
        <v>LED Under Cabinet Lighting</v>
      </c>
      <c r="B592" s="6" t="str">
        <f t="array" ref="B592">INDEX('Raw Data Sales'!F592:F1590, MATCH(A592, 'Raw Data Sales'!E592:E1590, 0))</f>
        <v>Home</v>
      </c>
      <c r="C592" s="6">
        <f>SUMIFS('Raw Data Sales'!M592:M1590, 'Raw Data Sales'!E592:E1590,A592)</f>
        <v>51</v>
      </c>
      <c r="D592" s="6">
        <f>SUMIFS('Raw Data Sales'!N592:N1590, 'Raw Data Sales'!E592:E1590, A592)</f>
        <v>3449.62</v>
      </c>
      <c r="E592" s="6">
        <f>AVERAGEIFS('Raw Data Sales'!G592:G1590, 'Raw Data Sales'!E592:E1590, A592)</f>
        <v>392.13</v>
      </c>
      <c r="F592" s="6" t="str">
        <f t="shared" si="2"/>
        <v>Zesty Cilantro Lime Dressing</v>
      </c>
    </row>
    <row r="593">
      <c r="A593" s="6" t="str">
        <f>IFERROR(__xludf.DUMMYFUNCTION("""COMPUTED_VALUE"""),"Garlic Butter Sauce")</f>
        <v>Garlic Butter Sauce</v>
      </c>
      <c r="B593" s="6" t="str">
        <f t="array" ref="B593">INDEX('Raw Data Sales'!F593:F1591, MATCH(A593, 'Raw Data Sales'!E593:E1591, 0))</f>
        <v>Food - Condiments</v>
      </c>
      <c r="C593" s="6">
        <f>SUMIFS('Raw Data Sales'!M593:M1591, 'Raw Data Sales'!E593:E1591,A593)</f>
        <v>84</v>
      </c>
      <c r="D593" s="6">
        <f>SUMIFS('Raw Data Sales'!N593:N1591, 'Raw Data Sales'!E593:E1591, A593)</f>
        <v>2747.38</v>
      </c>
      <c r="E593" s="6">
        <f>AVERAGEIFS('Raw Data Sales'!G593:G1591, 'Raw Data Sales'!E593:E1591, A593)</f>
        <v>790.67</v>
      </c>
      <c r="F593" s="6" t="str">
        <f t="shared" si="2"/>
        <v>Zesty Cilantro Lime Dressing</v>
      </c>
    </row>
    <row r="594">
      <c r="A594" s="6" t="str">
        <f>IFERROR(__xludf.DUMMYFUNCTION("""COMPUTED_VALUE"""),"Pineapple Coconut Bars")</f>
        <v>Pineapple Coconut Bars</v>
      </c>
      <c r="B594" s="6" t="str">
        <f t="array" ref="B594">INDEX('Raw Data Sales'!F594:F1592, MATCH(A594, 'Raw Data Sales'!E594:E1592, 0))</f>
        <v>Food - Snacks</v>
      </c>
      <c r="C594" s="6">
        <f>SUMIFS('Raw Data Sales'!M594:M1592, 'Raw Data Sales'!E594:E1592,A594)</f>
        <v>1</v>
      </c>
      <c r="D594" s="6">
        <f>SUMIFS('Raw Data Sales'!N594:N1592, 'Raw Data Sales'!E594:E1592, A594)</f>
        <v>8609.99</v>
      </c>
      <c r="E594" s="6">
        <f>AVERAGEIFS('Raw Data Sales'!G594:G1592, 'Raw Data Sales'!E594:E1592, A594)</f>
        <v>144.28</v>
      </c>
      <c r="F594" s="6" t="str">
        <f t="shared" si="2"/>
        <v>Zesty Cilantro Lime Dressing</v>
      </c>
    </row>
    <row r="595">
      <c r="A595" s="6" t="str">
        <f>IFERROR(__xludf.DUMMYFUNCTION("""COMPUTED_VALUE"""),"LED Desk Light")</f>
        <v>LED Desk Light</v>
      </c>
      <c r="B595" s="6" t="str">
        <f t="array" ref="B595">INDEX('Raw Data Sales'!F595:F1593, MATCH(A595, 'Raw Data Sales'!E595:E1593, 0))</f>
        <v>Home</v>
      </c>
      <c r="C595" s="6">
        <f>SUMIFS('Raw Data Sales'!M595:M1593, 'Raw Data Sales'!E595:E1593,A595)</f>
        <v>103</v>
      </c>
      <c r="D595" s="6">
        <f>SUMIFS('Raw Data Sales'!N595:N1593, 'Raw Data Sales'!E595:E1593, A595)</f>
        <v>5466.9</v>
      </c>
      <c r="E595" s="6">
        <f>AVERAGEIFS('Raw Data Sales'!G595:G1593, 'Raw Data Sales'!E595:E1593, A595)</f>
        <v>526.735</v>
      </c>
      <c r="F595" s="6" t="str">
        <f t="shared" si="2"/>
        <v>Zesty Cilantro Lime Dressing</v>
      </c>
    </row>
    <row r="596">
      <c r="A596" s="6" t="str">
        <f>IFERROR(__xludf.DUMMYFUNCTION("""COMPUTED_VALUE"""),"Casual Long Cardigan")</f>
        <v>Casual Long Cardigan</v>
      </c>
      <c r="B596" s="6" t="str">
        <f t="array" ref="B596">INDEX('Raw Data Sales'!F596:F1594, MATCH(A596, 'Raw Data Sales'!E596:E1594, 0))</f>
        <v>Clothing - Outerwear</v>
      </c>
      <c r="C596" s="6">
        <f>SUMIFS('Raw Data Sales'!M596:M1594, 'Raw Data Sales'!E596:E1594,A596)</f>
        <v>120</v>
      </c>
      <c r="D596" s="6">
        <f>SUMIFS('Raw Data Sales'!N596:N1594, 'Raw Data Sales'!E596:E1594, A596)</f>
        <v>6791.5</v>
      </c>
      <c r="E596" s="6">
        <f>AVERAGEIFS('Raw Data Sales'!G596:G1594, 'Raw Data Sales'!E596:E1594, A596)</f>
        <v>359.53</v>
      </c>
      <c r="F596" s="6" t="str">
        <f t="shared" si="2"/>
        <v>Zesty Cilantro Lime Dressing</v>
      </c>
    </row>
    <row r="597">
      <c r="A597" s="6" t="str">
        <f>IFERROR(__xludf.DUMMYFUNCTION("""COMPUTED_VALUE"""),"Coconut Chips")</f>
        <v>Coconut Chips</v>
      </c>
      <c r="B597" s="6" t="str">
        <f t="array" ref="B597">INDEX('Raw Data Sales'!F597:F1595, MATCH(A597, 'Raw Data Sales'!E597:E1595, 0))</f>
        <v>Food - Snacks</v>
      </c>
      <c r="C597" s="6">
        <f>SUMIFS('Raw Data Sales'!M597:M1595, 'Raw Data Sales'!E597:E1595,A597)</f>
        <v>12</v>
      </c>
      <c r="D597" s="6">
        <f>SUMIFS('Raw Data Sales'!N597:N1595, 'Raw Data Sales'!E597:E1595, A597)</f>
        <v>1238.99</v>
      </c>
      <c r="E597" s="6">
        <f>AVERAGEIFS('Raw Data Sales'!G597:G1595, 'Raw Data Sales'!E597:E1595, A597)</f>
        <v>339.64</v>
      </c>
      <c r="F597" s="6" t="str">
        <f t="shared" si="2"/>
        <v>Zesty Cilantro Lime Dressing</v>
      </c>
    </row>
    <row r="598">
      <c r="A598" s="6" t="str">
        <f>IFERROR(__xludf.DUMMYFUNCTION("""COMPUTED_VALUE"""),"Pineapple Chunks (canned)")</f>
        <v>Pineapple Chunks (canned)</v>
      </c>
      <c r="B598" s="6" t="str">
        <f t="array" ref="B598">INDEX('Raw Data Sales'!F598:F1596, MATCH(A598, 'Raw Data Sales'!E598:E1596, 0))</f>
        <v>Food - Fruits</v>
      </c>
      <c r="C598" s="6">
        <f>SUMIFS('Raw Data Sales'!M598:M1596, 'Raw Data Sales'!E598:E1596,A598)</f>
        <v>34</v>
      </c>
      <c r="D598" s="6">
        <f>SUMIFS('Raw Data Sales'!N598:N1596, 'Raw Data Sales'!E598:E1596, A598)</f>
        <v>7377.44</v>
      </c>
      <c r="E598" s="6">
        <f>AVERAGEIFS('Raw Data Sales'!G598:G1596, 'Raw Data Sales'!E598:E1596, A598)</f>
        <v>957.56</v>
      </c>
      <c r="F598" s="6" t="str">
        <f t="shared" si="2"/>
        <v>Zesty Cilantro Lime Dressing</v>
      </c>
    </row>
    <row r="599">
      <c r="A599" s="6" t="str">
        <f>IFERROR(__xludf.DUMMYFUNCTION("""COMPUTED_VALUE"""),"LED Flashing Pet Collar")</f>
        <v>LED Flashing Pet Collar</v>
      </c>
      <c r="B599" s="6" t="str">
        <f t="array" ref="B599">INDEX('Raw Data Sales'!F599:F1597, MATCH(A599, 'Raw Data Sales'!E599:E1597, 0))</f>
        <v>Pets</v>
      </c>
      <c r="C599" s="6">
        <f>SUMIFS('Raw Data Sales'!M599:M1597, 'Raw Data Sales'!E599:E1597,A599)</f>
        <v>19</v>
      </c>
      <c r="D599" s="6">
        <f>SUMIFS('Raw Data Sales'!N599:N1597, 'Raw Data Sales'!E599:E1597, A599)</f>
        <v>6417.68</v>
      </c>
      <c r="E599" s="6">
        <f>AVERAGEIFS('Raw Data Sales'!G599:G1597, 'Raw Data Sales'!E599:E1597, A599)</f>
        <v>800.99</v>
      </c>
      <c r="F599" s="6" t="str">
        <f t="shared" si="2"/>
        <v>Zesty Cilantro Lime Dressing</v>
      </c>
    </row>
    <row r="600">
      <c r="A600" s="6" t="str">
        <f>IFERROR(__xludf.DUMMYFUNCTION("""COMPUTED_VALUE"""),"Cauliflower Rice Stir-Fry")</f>
        <v>Cauliflower Rice Stir-Fry</v>
      </c>
      <c r="B600" s="6" t="str">
        <f t="array" ref="B600">INDEX('Raw Data Sales'!F600:F1598, MATCH(A600, 'Raw Data Sales'!E600:E1598, 0))</f>
        <v>Food - Frozen Foods</v>
      </c>
      <c r="C600" s="6">
        <f>SUMIFS('Raw Data Sales'!M600:M1598, 'Raw Data Sales'!E600:E1598,A600)</f>
        <v>28</v>
      </c>
      <c r="D600" s="6">
        <f>SUMIFS('Raw Data Sales'!N600:N1598, 'Raw Data Sales'!E600:E1598, A600)</f>
        <v>9964.39</v>
      </c>
      <c r="E600" s="6">
        <f>AVERAGEIFS('Raw Data Sales'!G600:G1598, 'Raw Data Sales'!E600:E1598, A600)</f>
        <v>466.53</v>
      </c>
      <c r="F600" s="6" t="str">
        <f t="shared" si="2"/>
        <v>Zesty Cilantro Lime Dressing</v>
      </c>
    </row>
    <row r="601">
      <c r="A601" s="6" t="str">
        <f>IFERROR(__xludf.DUMMYFUNCTION("""COMPUTED_VALUE"""),"Himalayan Pink Salt")</f>
        <v>Himalayan Pink Salt</v>
      </c>
      <c r="B601" s="6" t="str">
        <f t="array" ref="B601">INDEX('Raw Data Sales'!F601:F1599, MATCH(A601, 'Raw Data Sales'!E601:E1599, 0))</f>
        <v>Food - Condiments</v>
      </c>
      <c r="C601" s="6">
        <f>SUMIFS('Raw Data Sales'!M601:M1599, 'Raw Data Sales'!E601:E1599,A601)</f>
        <v>58</v>
      </c>
      <c r="D601" s="6">
        <f>SUMIFS('Raw Data Sales'!N601:N1599, 'Raw Data Sales'!E601:E1599, A601)</f>
        <v>6015.59</v>
      </c>
      <c r="E601" s="6">
        <f>AVERAGEIFS('Raw Data Sales'!G601:G1599, 'Raw Data Sales'!E601:E1599, A601)</f>
        <v>195.6</v>
      </c>
      <c r="F601" s="6" t="str">
        <f t="shared" si="2"/>
        <v>Zesty Cilantro Lime Dressing</v>
      </c>
    </row>
    <row r="602">
      <c r="A602" s="6" t="str">
        <f>IFERROR(__xludf.DUMMYFUNCTION("""COMPUTED_VALUE"""),"Magnetic Chess Set")</f>
        <v>Magnetic Chess Set</v>
      </c>
      <c r="B602" s="6" t="str">
        <f t="array" ref="B602">INDEX('Raw Data Sales'!F602:F1600, MATCH(A602, 'Raw Data Sales'!E602:E1600, 0))</f>
        <v>Toys</v>
      </c>
      <c r="C602" s="6">
        <f>SUMIFS('Raw Data Sales'!M602:M1600, 'Raw Data Sales'!E602:E1600,A602)</f>
        <v>95</v>
      </c>
      <c r="D602" s="6">
        <f>SUMIFS('Raw Data Sales'!N602:N1600, 'Raw Data Sales'!E602:E1600, A602)</f>
        <v>3295.14</v>
      </c>
      <c r="E602" s="6">
        <f>AVERAGEIFS('Raw Data Sales'!G602:G1600, 'Raw Data Sales'!E602:E1600, A602)</f>
        <v>987.38</v>
      </c>
      <c r="F602" s="6" t="str">
        <f t="shared" si="2"/>
        <v>Zesty Cilantro Lime Dressing</v>
      </c>
    </row>
    <row r="603">
      <c r="A603" s="6" t="str">
        <f>IFERROR(__xludf.DUMMYFUNCTION("""COMPUTED_VALUE"""),"Foam Muscle Roller")</f>
        <v>Foam Muscle Roller</v>
      </c>
      <c r="B603" s="6" t="str">
        <f t="array" ref="B603">INDEX('Raw Data Sales'!F603:F1601, MATCH(A603, 'Raw Data Sales'!E603:E1601, 0))</f>
        <v>Fitness</v>
      </c>
      <c r="C603" s="6">
        <f>SUMIFS('Raw Data Sales'!M603:M1601, 'Raw Data Sales'!E603:E1601,A603)</f>
        <v>17</v>
      </c>
      <c r="D603" s="6">
        <f>SUMIFS('Raw Data Sales'!N603:N1601, 'Raw Data Sales'!E603:E1601, A603)</f>
        <v>1715.95</v>
      </c>
      <c r="E603" s="6">
        <f>AVERAGEIFS('Raw Data Sales'!G603:G1601, 'Raw Data Sales'!E603:E1601, A603)</f>
        <v>467.71</v>
      </c>
      <c r="F603" s="6" t="str">
        <f t="shared" si="2"/>
        <v>Zesty Cilantro Lime Dressing</v>
      </c>
    </row>
    <row r="604">
      <c r="A604" s="6" t="str">
        <f>IFERROR(__xludf.DUMMYFUNCTION("""COMPUTED_VALUE"""),"Pine Nuts")</f>
        <v>Pine Nuts</v>
      </c>
      <c r="B604" s="6" t="str">
        <f t="array" ref="B604">INDEX('Raw Data Sales'!F604:F1602, MATCH(A604, 'Raw Data Sales'!E604:E1602, 0))</f>
        <v>Food - Nuts</v>
      </c>
      <c r="C604" s="6">
        <f>SUMIFS('Raw Data Sales'!M604:M1602, 'Raw Data Sales'!E604:E1602,A604)</f>
        <v>99</v>
      </c>
      <c r="D604" s="6">
        <f>SUMIFS('Raw Data Sales'!N604:N1602, 'Raw Data Sales'!E604:E1602, A604)</f>
        <v>3676.36</v>
      </c>
      <c r="E604" s="6">
        <f>AVERAGEIFS('Raw Data Sales'!G604:G1602, 'Raw Data Sales'!E604:E1602, A604)</f>
        <v>964.12</v>
      </c>
      <c r="F604" s="6" t="str">
        <f t="shared" si="2"/>
        <v>Zesty Cilantro Lime Dressing</v>
      </c>
    </row>
    <row r="605">
      <c r="A605" s="6" t="str">
        <f>IFERROR(__xludf.DUMMYFUNCTION("""COMPUTED_VALUE"""),"Carrot Ginger Soup")</f>
        <v>Carrot Ginger Soup</v>
      </c>
      <c r="B605" s="6" t="str">
        <f t="array" ref="B605">INDEX('Raw Data Sales'!F605:F1603, MATCH(A605, 'Raw Data Sales'!E605:E1603, 0))</f>
        <v>Food - Soups</v>
      </c>
      <c r="C605" s="6">
        <f>SUMIFS('Raw Data Sales'!M605:M1603, 'Raw Data Sales'!E605:E1603,A605)</f>
        <v>95</v>
      </c>
      <c r="D605" s="6">
        <f>SUMIFS('Raw Data Sales'!N605:N1603, 'Raw Data Sales'!E605:E1603, A605)</f>
        <v>5745.78</v>
      </c>
      <c r="E605" s="6">
        <f>AVERAGEIFS('Raw Data Sales'!G605:G1603, 'Raw Data Sales'!E605:E1603, A605)</f>
        <v>944.94</v>
      </c>
      <c r="F605" s="6" t="str">
        <f t="shared" si="2"/>
        <v>Zesty Cilantro Lime Dressing</v>
      </c>
    </row>
    <row r="606">
      <c r="A606" s="6" t="str">
        <f>IFERROR(__xludf.DUMMYFUNCTION("""COMPUTED_VALUE"""),"Portable Electric Fan")</f>
        <v>Portable Electric Fan</v>
      </c>
      <c r="B606" s="6" t="str">
        <f t="array" ref="B606">INDEX('Raw Data Sales'!F606:F1604, MATCH(A606, 'Raw Data Sales'!E606:E1604, 0))</f>
        <v>Home</v>
      </c>
      <c r="C606" s="6">
        <f>SUMIFS('Raw Data Sales'!M606:M1604, 'Raw Data Sales'!E606:E1604,A606)</f>
        <v>78</v>
      </c>
      <c r="D606" s="6">
        <f>SUMIFS('Raw Data Sales'!N606:N1604, 'Raw Data Sales'!E606:E1604, A606)</f>
        <v>16.78</v>
      </c>
      <c r="E606" s="6">
        <f>AVERAGEIFS('Raw Data Sales'!G606:G1604, 'Raw Data Sales'!E606:E1604, A606)</f>
        <v>75.76</v>
      </c>
      <c r="F606" s="6" t="str">
        <f t="shared" si="2"/>
        <v>Zesty Cilantro Lime Dressing</v>
      </c>
    </row>
    <row r="607">
      <c r="A607" s="6" t="str">
        <f>IFERROR(__xludf.DUMMYFUNCTION("""COMPUTED_VALUE"""),"Vegetable Stir-Fry Sauce")</f>
        <v>Vegetable Stir-Fry Sauce</v>
      </c>
      <c r="B607" s="6" t="str">
        <f t="array" ref="B607">INDEX('Raw Data Sales'!F607:F1605, MATCH(A607, 'Raw Data Sales'!E607:E1605, 0))</f>
        <v>Food - Sauces</v>
      </c>
      <c r="C607" s="6">
        <f>SUMIFS('Raw Data Sales'!M607:M1605, 'Raw Data Sales'!E607:E1605,A607)</f>
        <v>70</v>
      </c>
      <c r="D607" s="6">
        <f>SUMIFS('Raw Data Sales'!N607:N1605, 'Raw Data Sales'!E607:E1605, A607)</f>
        <v>7517.01</v>
      </c>
      <c r="E607" s="6">
        <f>AVERAGEIFS('Raw Data Sales'!G607:G1605, 'Raw Data Sales'!E607:E1605, A607)</f>
        <v>141.72</v>
      </c>
      <c r="F607" s="6" t="str">
        <f t="shared" si="2"/>
        <v>Zesty Cilantro Lime Dressing</v>
      </c>
    </row>
    <row r="608">
      <c r="A608" s="6" t="str">
        <f>IFERROR(__xludf.DUMMYFUNCTION("""COMPUTED_VALUE"""),"Sweet Potatoes (organic)")</f>
        <v>Sweet Potatoes (organic)</v>
      </c>
      <c r="B608" s="6" t="str">
        <f t="array" ref="B608">INDEX('Raw Data Sales'!F608:F1606, MATCH(A608, 'Raw Data Sales'!E608:E1606, 0))</f>
        <v>Food - Vegetables</v>
      </c>
      <c r="C608" s="6">
        <f>SUMIFS('Raw Data Sales'!M608:M1606, 'Raw Data Sales'!E608:E1606,A608)</f>
        <v>52</v>
      </c>
      <c r="D608" s="6">
        <f>SUMIFS('Raw Data Sales'!N608:N1606, 'Raw Data Sales'!E608:E1606, A608)</f>
        <v>2520.92</v>
      </c>
      <c r="E608" s="6">
        <f>AVERAGEIFS('Raw Data Sales'!G608:G1606, 'Raw Data Sales'!E608:E1606, A608)</f>
        <v>715.47</v>
      </c>
      <c r="F608" s="6" t="str">
        <f t="shared" si="2"/>
        <v>Zesty Cilantro Lime Dressing</v>
      </c>
    </row>
    <row r="609">
      <c r="A609" s="6" t="str">
        <f>IFERROR(__xludf.DUMMYFUNCTION("""COMPUTED_VALUE"""),"Personalized Pet ID Tags")</f>
        <v>Personalized Pet ID Tags</v>
      </c>
      <c r="B609" s="6" t="str">
        <f t="array" ref="B609">INDEX('Raw Data Sales'!F609:F1607, MATCH(A609, 'Raw Data Sales'!E609:E1607, 0))</f>
        <v>Pets</v>
      </c>
      <c r="C609" s="6">
        <f>SUMIFS('Raw Data Sales'!M609:M1607, 'Raw Data Sales'!E609:E1607,A609)</f>
        <v>99</v>
      </c>
      <c r="D609" s="6">
        <f>SUMIFS('Raw Data Sales'!N609:N1607, 'Raw Data Sales'!E609:E1607, A609)</f>
        <v>5053.15</v>
      </c>
      <c r="E609" s="6">
        <f>AVERAGEIFS('Raw Data Sales'!G609:G1607, 'Raw Data Sales'!E609:E1607, A609)</f>
        <v>81.78</v>
      </c>
      <c r="F609" s="6" t="str">
        <f t="shared" si="2"/>
        <v>Zesty Cilantro Lime Dressing</v>
      </c>
    </row>
    <row r="610">
      <c r="A610" s="6" t="str">
        <f>IFERROR(__xludf.DUMMYFUNCTION("""COMPUTED_VALUE"""),"Grapes (red)")</f>
        <v>Grapes (red)</v>
      </c>
      <c r="B610" s="6" t="str">
        <f t="array" ref="B610">INDEX('Raw Data Sales'!F610:F1608, MATCH(A610, 'Raw Data Sales'!E610:E1608, 0))</f>
        <v>Food - Produce</v>
      </c>
      <c r="C610" s="6">
        <f>SUMIFS('Raw Data Sales'!M610:M1608, 'Raw Data Sales'!E610:E1608,A610)</f>
        <v>83</v>
      </c>
      <c r="D610" s="6">
        <f>SUMIFS('Raw Data Sales'!N610:N1608, 'Raw Data Sales'!E610:E1608, A610)</f>
        <v>2833.17</v>
      </c>
      <c r="E610" s="6">
        <f>AVERAGEIFS('Raw Data Sales'!G610:G1608, 'Raw Data Sales'!E610:E1608, A610)</f>
        <v>177.55</v>
      </c>
      <c r="F610" s="6" t="str">
        <f t="shared" si="2"/>
        <v>Zesty Cilantro Lime Dressing</v>
      </c>
    </row>
    <row r="611">
      <c r="A611" s="6" t="str">
        <f>IFERROR(__xludf.DUMMYFUNCTION("""COMPUTED_VALUE"""),"Non-Stick Grill Pan")</f>
        <v>Non-Stick Grill Pan</v>
      </c>
      <c r="B611" s="6" t="str">
        <f t="array" ref="B611">INDEX('Raw Data Sales'!F611:F1609, MATCH(A611, 'Raw Data Sales'!E611:E1609, 0))</f>
        <v>Kitchen</v>
      </c>
      <c r="C611" s="6">
        <f>SUMIFS('Raw Data Sales'!M611:M1609, 'Raw Data Sales'!E611:E1609,A611)</f>
        <v>25</v>
      </c>
      <c r="D611" s="6">
        <f>SUMIFS('Raw Data Sales'!N611:N1609, 'Raw Data Sales'!E611:E1609, A611)</f>
        <v>8504</v>
      </c>
      <c r="E611" s="6">
        <f>AVERAGEIFS('Raw Data Sales'!G611:G1609, 'Raw Data Sales'!E611:E1609, A611)</f>
        <v>299.97</v>
      </c>
      <c r="F611" s="6" t="str">
        <f t="shared" si="2"/>
        <v>Zesty Cilantro Lime Dressing</v>
      </c>
    </row>
    <row r="612">
      <c r="A612" s="6" t="str">
        <f>IFERROR(__xludf.DUMMYFUNCTION("""COMPUTED_VALUE"""),"Roasted Red Pepper Sauce")</f>
        <v>Roasted Red Pepper Sauce</v>
      </c>
      <c r="B612" s="6" t="str">
        <f t="array" ref="B612">INDEX('Raw Data Sales'!F612:F1610, MATCH(A612, 'Raw Data Sales'!E612:E1610, 0))</f>
        <v>Food - Sauces</v>
      </c>
      <c r="C612" s="6">
        <f>SUMIFS('Raw Data Sales'!M612:M1610, 'Raw Data Sales'!E612:E1610,A612)</f>
        <v>57</v>
      </c>
      <c r="D612" s="6">
        <f>SUMIFS('Raw Data Sales'!N612:N1610, 'Raw Data Sales'!E612:E1610, A612)</f>
        <v>5939.67</v>
      </c>
      <c r="E612" s="6">
        <f>AVERAGEIFS('Raw Data Sales'!G612:G1610, 'Raw Data Sales'!E612:E1610, A612)</f>
        <v>460.35</v>
      </c>
      <c r="F612" s="6" t="str">
        <f t="shared" si="2"/>
        <v>Zesty Cilantro Lime Dressing</v>
      </c>
    </row>
    <row r="613">
      <c r="A613" s="6" t="str">
        <f>IFERROR(__xludf.DUMMYFUNCTION("""COMPUTED_VALUE"""),"Chicken Salad Kit")</f>
        <v>Chicken Salad Kit</v>
      </c>
      <c r="B613" s="6" t="str">
        <f t="array" ref="B613">INDEX('Raw Data Sales'!F613:F1611, MATCH(A613, 'Raw Data Sales'!E613:E1611, 0))</f>
        <v>Food - Prepared Foods</v>
      </c>
      <c r="C613" s="6">
        <f>SUMIFS('Raw Data Sales'!M613:M1611, 'Raw Data Sales'!E613:E1611,A613)</f>
        <v>86</v>
      </c>
      <c r="D613" s="6">
        <f>SUMIFS('Raw Data Sales'!N613:N1611, 'Raw Data Sales'!E613:E1611, A613)</f>
        <v>7010.92</v>
      </c>
      <c r="E613" s="6">
        <f>AVERAGEIFS('Raw Data Sales'!G613:G1611, 'Raw Data Sales'!E613:E1611, A613)</f>
        <v>845.94</v>
      </c>
      <c r="F613" s="6" t="str">
        <f t="shared" si="2"/>
        <v>Zesty Cilantro Lime Dressing</v>
      </c>
    </row>
    <row r="614">
      <c r="A614" s="6" t="str">
        <f>IFERROR(__xludf.DUMMYFUNCTION("""COMPUTED_VALUE"""),"Caramelized Onion Dip Mix")</f>
        <v>Caramelized Onion Dip Mix</v>
      </c>
      <c r="B614" s="6" t="str">
        <f t="array" ref="B614">INDEX('Raw Data Sales'!F614:F1612, MATCH(A614, 'Raw Data Sales'!E614:E1612, 0))</f>
        <v>Food - Snacks</v>
      </c>
      <c r="C614" s="6">
        <f>SUMIFS('Raw Data Sales'!M614:M1612, 'Raw Data Sales'!E614:E1612,A614)</f>
        <v>95</v>
      </c>
      <c r="D614" s="6">
        <f>SUMIFS('Raw Data Sales'!N614:N1612, 'Raw Data Sales'!E614:E1612, A614)</f>
        <v>2442.74</v>
      </c>
      <c r="E614" s="6">
        <f>AVERAGEIFS('Raw Data Sales'!G614:G1612, 'Raw Data Sales'!E614:E1612, A614)</f>
        <v>631.18</v>
      </c>
      <c r="F614" s="6" t="str">
        <f t="shared" si="2"/>
        <v>Zesty Cilantro Lime Dressing</v>
      </c>
    </row>
    <row r="615">
      <c r="A615" s="6" t="str">
        <f>IFERROR(__xludf.DUMMYFUNCTION("""COMPUTED_VALUE"""),"Reusable Snack Bags")</f>
        <v>Reusable Snack Bags</v>
      </c>
      <c r="B615" s="6" t="str">
        <f t="array" ref="B615">INDEX('Raw Data Sales'!F615:F1613, MATCH(A615, 'Raw Data Sales'!E615:E1613, 0))</f>
        <v>Kitchen</v>
      </c>
      <c r="C615" s="6">
        <f>SUMIFS('Raw Data Sales'!M615:M1613, 'Raw Data Sales'!E615:E1613,A615)</f>
        <v>85</v>
      </c>
      <c r="D615" s="6">
        <f>SUMIFS('Raw Data Sales'!N615:N1613, 'Raw Data Sales'!E615:E1613, A615)</f>
        <v>5979.91</v>
      </c>
      <c r="E615" s="6">
        <f>AVERAGEIFS('Raw Data Sales'!G615:G1613, 'Raw Data Sales'!E615:E1613, A615)</f>
        <v>523.57</v>
      </c>
      <c r="F615" s="6" t="str">
        <f t="shared" si="2"/>
        <v>Zesty Cilantro Lime Dressing</v>
      </c>
    </row>
    <row r="616">
      <c r="A616" s="6" t="str">
        <f>IFERROR(__xludf.DUMMYFUNCTION("""COMPUTED_VALUE"""),"Eco-Friendly Yoga Blocks")</f>
        <v>Eco-Friendly Yoga Blocks</v>
      </c>
      <c r="B616" s="6" t="str">
        <f t="array" ref="B616">INDEX('Raw Data Sales'!F616:F1614, MATCH(A616, 'Raw Data Sales'!E616:E1614, 0))</f>
        <v>Fitness</v>
      </c>
      <c r="C616" s="6">
        <f>SUMIFS('Raw Data Sales'!M616:M1614, 'Raw Data Sales'!E616:E1614,A616)</f>
        <v>81</v>
      </c>
      <c r="D616" s="6">
        <f>SUMIFS('Raw Data Sales'!N616:N1614, 'Raw Data Sales'!E616:E1614, A616)</f>
        <v>7907.18</v>
      </c>
      <c r="E616" s="6">
        <f>AVERAGEIFS('Raw Data Sales'!G616:G1614, 'Raw Data Sales'!E616:E1614, A616)</f>
        <v>434.87</v>
      </c>
      <c r="F616" s="6" t="str">
        <f t="shared" si="2"/>
        <v>Zesty Cilantro Lime Dressing</v>
      </c>
    </row>
    <row r="617">
      <c r="A617" s="6" t="str">
        <f>IFERROR(__xludf.DUMMYFUNCTION("""COMPUTED_VALUE"""),"Frozen Berry Medley")</f>
        <v>Frozen Berry Medley</v>
      </c>
      <c r="B617" s="6" t="str">
        <f t="array" ref="B617">INDEX('Raw Data Sales'!F617:F1615, MATCH(A617, 'Raw Data Sales'!E617:E1615, 0))</f>
        <v>Food - Frozen Foods</v>
      </c>
      <c r="C617" s="6">
        <f>SUMIFS('Raw Data Sales'!M617:M1615, 'Raw Data Sales'!E617:E1615,A617)</f>
        <v>35</v>
      </c>
      <c r="D617" s="6">
        <f>SUMIFS('Raw Data Sales'!N617:N1615, 'Raw Data Sales'!E617:E1615, A617)</f>
        <v>6578.16</v>
      </c>
      <c r="E617" s="6">
        <f>AVERAGEIFS('Raw Data Sales'!G617:G1615, 'Raw Data Sales'!E617:E1615, A617)</f>
        <v>442.37</v>
      </c>
      <c r="F617" s="6" t="str">
        <f t="shared" si="2"/>
        <v>Zesty Cilantro Lime Dressing</v>
      </c>
    </row>
    <row r="618">
      <c r="A618" s="6" t="str">
        <f>IFERROR(__xludf.DUMMYFUNCTION("""COMPUTED_VALUE"""),"Coconut Cream Pie Yogurt")</f>
        <v>Coconut Cream Pie Yogurt</v>
      </c>
      <c r="B618" s="6" t="str">
        <f t="array" ref="B618">INDEX('Raw Data Sales'!F618:F1616, MATCH(A618, 'Raw Data Sales'!E618:E1616, 0))</f>
        <v>Food - Dairy Alternatives</v>
      </c>
      <c r="C618" s="6">
        <f>SUMIFS('Raw Data Sales'!M618:M1616, 'Raw Data Sales'!E618:E1616,A618)</f>
        <v>82</v>
      </c>
      <c r="D618" s="6">
        <f>SUMIFS('Raw Data Sales'!N618:N1616, 'Raw Data Sales'!E618:E1616, A618)</f>
        <v>9243.93</v>
      </c>
      <c r="E618" s="6">
        <f>AVERAGEIFS('Raw Data Sales'!G618:G1616, 'Raw Data Sales'!E618:E1616, A618)</f>
        <v>407.24</v>
      </c>
      <c r="F618" s="6" t="str">
        <f t="shared" si="2"/>
        <v>Zesty Cilantro Lime Dressing</v>
      </c>
    </row>
    <row r="619">
      <c r="A619" s="6" t="str">
        <f>IFERROR(__xludf.DUMMYFUNCTION("""COMPUTED_VALUE"""),"Stainless Steel Water Bottle")</f>
        <v>Stainless Steel Water Bottle</v>
      </c>
      <c r="B619" s="6" t="str">
        <f t="array" ref="B619">INDEX('Raw Data Sales'!F619:F1617, MATCH(A619, 'Raw Data Sales'!E619:E1617, 0))</f>
        <v>Fitness</v>
      </c>
      <c r="C619" s="6">
        <f>SUMIFS('Raw Data Sales'!M619:M1617, 'Raw Data Sales'!E619:E1617,A619)</f>
        <v>90</v>
      </c>
      <c r="D619" s="6">
        <f>SUMIFS('Raw Data Sales'!N619:N1617, 'Raw Data Sales'!E619:E1617, A619)</f>
        <v>5423.73</v>
      </c>
      <c r="E619" s="6">
        <f>AVERAGEIFS('Raw Data Sales'!G619:G1617, 'Raw Data Sales'!E619:E1617, A619)</f>
        <v>163.15</v>
      </c>
      <c r="F619" s="6" t="str">
        <f t="shared" si="2"/>
        <v>Zesty Cilantro Lime Dressing</v>
      </c>
    </row>
    <row r="620">
      <c r="A620" s="6" t="str">
        <f>IFERROR(__xludf.DUMMYFUNCTION("""COMPUTED_VALUE"""),"Indoor Plants")</f>
        <v>Indoor Plants</v>
      </c>
      <c r="B620" s="6" t="str">
        <f t="array" ref="B620">INDEX('Raw Data Sales'!F620:F1618, MATCH(A620, 'Raw Data Sales'!E620:E1618, 0))</f>
        <v>Garden</v>
      </c>
      <c r="C620" s="6">
        <f>SUMIFS('Raw Data Sales'!M620:M1618, 'Raw Data Sales'!E620:E1618,A620)</f>
        <v>93</v>
      </c>
      <c r="D620" s="6">
        <f>SUMIFS('Raw Data Sales'!N620:N1618, 'Raw Data Sales'!E620:E1618, A620)</f>
        <v>8660.97</v>
      </c>
      <c r="E620" s="6">
        <f>AVERAGEIFS('Raw Data Sales'!G620:G1618, 'Raw Data Sales'!E620:E1618, A620)</f>
        <v>671.41</v>
      </c>
      <c r="F620" s="6" t="str">
        <f t="shared" si="2"/>
        <v>Zesty Cilantro Lime Dressing</v>
      </c>
    </row>
    <row r="621">
      <c r="A621" s="6" t="str">
        <f>IFERROR(__xludf.DUMMYFUNCTION("""COMPUTED_VALUE"""),"Bluetooth Sleep Headphones")</f>
        <v>Bluetooth Sleep Headphones</v>
      </c>
      <c r="B621" s="6" t="str">
        <f t="array" ref="B621">INDEX('Raw Data Sales'!F621:F1619, MATCH(A621, 'Raw Data Sales'!E621:E1619, 0))</f>
        <v>Audio</v>
      </c>
      <c r="C621" s="6">
        <f>SUMIFS('Raw Data Sales'!M621:M1619, 'Raw Data Sales'!E621:E1619,A621)</f>
        <v>60</v>
      </c>
      <c r="D621" s="6">
        <f>SUMIFS('Raw Data Sales'!N621:N1619, 'Raw Data Sales'!E621:E1619, A621)</f>
        <v>4992.68</v>
      </c>
      <c r="E621" s="6">
        <f>AVERAGEIFS('Raw Data Sales'!G621:G1619, 'Raw Data Sales'!E621:E1619, A621)</f>
        <v>172.87</v>
      </c>
      <c r="F621" s="6" t="str">
        <f t="shared" si="2"/>
        <v>Zesty Cilantro Lime Dressing</v>
      </c>
    </row>
    <row r="622">
      <c r="A622" s="6" t="str">
        <f>IFERROR(__xludf.DUMMYFUNCTION("""COMPUTED_VALUE"""),"Teriyaki Salmon Fillets")</f>
        <v>Teriyaki Salmon Fillets</v>
      </c>
      <c r="B622" s="6" t="str">
        <f t="array" ref="B622">INDEX('Raw Data Sales'!F622:F1620, MATCH(A622, 'Raw Data Sales'!E622:E1620, 0))</f>
        <v>Food - Seafood</v>
      </c>
      <c r="C622" s="6">
        <f>SUMIFS('Raw Data Sales'!M622:M1620, 'Raw Data Sales'!E622:E1620,A622)</f>
        <v>86</v>
      </c>
      <c r="D622" s="6">
        <f>SUMIFS('Raw Data Sales'!N622:N1620, 'Raw Data Sales'!E622:E1620, A622)</f>
        <v>310.04</v>
      </c>
      <c r="E622" s="6">
        <f>AVERAGEIFS('Raw Data Sales'!G622:G1620, 'Raw Data Sales'!E622:E1620, A622)</f>
        <v>244.63</v>
      </c>
      <c r="F622" s="6" t="str">
        <f t="shared" si="2"/>
        <v>Zesty Cilantro Lime Dressing</v>
      </c>
    </row>
    <row r="623">
      <c r="A623" s="6" t="str">
        <f>IFERROR(__xludf.DUMMYFUNCTION("""COMPUTED_VALUE"""),"Vanilla Almond Granola")</f>
        <v>Vanilla Almond Granola</v>
      </c>
      <c r="B623" s="6" t="str">
        <f t="array" ref="B623">INDEX('Raw Data Sales'!F623:F1621, MATCH(A623, 'Raw Data Sales'!E623:E1621, 0))</f>
        <v>Food - Breakfast</v>
      </c>
      <c r="C623" s="6">
        <f>SUMIFS('Raw Data Sales'!M623:M1621, 'Raw Data Sales'!E623:E1621,A623)</f>
        <v>69</v>
      </c>
      <c r="D623" s="6">
        <f>SUMIFS('Raw Data Sales'!N623:N1621, 'Raw Data Sales'!E623:E1621, A623)</f>
        <v>2591.36</v>
      </c>
      <c r="E623" s="6">
        <f>AVERAGEIFS('Raw Data Sales'!G623:G1621, 'Raw Data Sales'!E623:E1621, A623)</f>
        <v>451.21</v>
      </c>
      <c r="F623" s="6" t="str">
        <f t="shared" si="2"/>
        <v>Zesty Cilantro Lime Dressing</v>
      </c>
    </row>
    <row r="624">
      <c r="A624" s="6" t="str">
        <f>IFERROR(__xludf.DUMMYFUNCTION("""COMPUTED_VALUE"""),"Stylish Wireless Earbuds")</f>
        <v>Stylish Wireless Earbuds</v>
      </c>
      <c r="B624" s="6" t="str">
        <f t="array" ref="B624">INDEX('Raw Data Sales'!F624:F1622, MATCH(A624, 'Raw Data Sales'!E624:E1622, 0))</f>
        <v>Audio</v>
      </c>
      <c r="C624" s="6">
        <f>SUMIFS('Raw Data Sales'!M624:M1622, 'Raw Data Sales'!E624:E1622,A624)</f>
        <v>34</v>
      </c>
      <c r="D624" s="6">
        <f>SUMIFS('Raw Data Sales'!N624:N1622, 'Raw Data Sales'!E624:E1622, A624)</f>
        <v>4935.67</v>
      </c>
      <c r="E624" s="6">
        <f>AVERAGEIFS('Raw Data Sales'!G624:G1622, 'Raw Data Sales'!E624:E1622, A624)</f>
        <v>622.67</v>
      </c>
      <c r="F624" s="6" t="str">
        <f t="shared" si="2"/>
        <v>Zesty Cilantro Lime Dressing</v>
      </c>
    </row>
    <row r="625">
      <c r="A625" s="6" t="str">
        <f>IFERROR(__xludf.DUMMYFUNCTION("""COMPUTED_VALUE"""),"Bamboo Utensil Holder")</f>
        <v>Bamboo Utensil Holder</v>
      </c>
      <c r="B625" s="6" t="str">
        <f t="array" ref="B625">INDEX('Raw Data Sales'!F625:F1623, MATCH(A625, 'Raw Data Sales'!E625:E1623, 0))</f>
        <v>Kitchen</v>
      </c>
      <c r="C625" s="6">
        <f>SUMIFS('Raw Data Sales'!M625:M1623, 'Raw Data Sales'!E625:E1623,A625)</f>
        <v>36</v>
      </c>
      <c r="D625" s="6">
        <f>SUMIFS('Raw Data Sales'!N625:N1623, 'Raw Data Sales'!E625:E1623, A625)</f>
        <v>7771.14</v>
      </c>
      <c r="E625" s="6">
        <f>AVERAGEIFS('Raw Data Sales'!G625:G1623, 'Raw Data Sales'!E625:E1623, A625)</f>
        <v>869.96</v>
      </c>
      <c r="F625" s="6" t="str">
        <f t="shared" si="2"/>
        <v>Zesty Cilantro Lime Dressing</v>
      </c>
    </row>
    <row r="626">
      <c r="A626" s="6" t="str">
        <f>IFERROR(__xludf.DUMMYFUNCTION("""COMPUTED_VALUE"""),"Bamboo Toothbrush Holder")</f>
        <v>Bamboo Toothbrush Holder</v>
      </c>
      <c r="B626" s="6" t="str">
        <f t="array" ref="B626">INDEX('Raw Data Sales'!F626:F1624, MATCH(A626, 'Raw Data Sales'!E626:E1624, 0))</f>
        <v>Health</v>
      </c>
      <c r="C626" s="6">
        <f>SUMIFS('Raw Data Sales'!M626:M1624, 'Raw Data Sales'!E626:E1624,A626)</f>
        <v>90</v>
      </c>
      <c r="D626" s="6">
        <f>SUMIFS('Raw Data Sales'!N626:N1624, 'Raw Data Sales'!E626:E1624, A626)</f>
        <v>7124.36</v>
      </c>
      <c r="E626" s="6">
        <f>AVERAGEIFS('Raw Data Sales'!G626:G1624, 'Raw Data Sales'!E626:E1624, A626)</f>
        <v>959.19</v>
      </c>
      <c r="F626" s="6" t="str">
        <f t="shared" si="2"/>
        <v>Zesty Cilantro Lime Dressing</v>
      </c>
    </row>
    <row r="627">
      <c r="A627" s="6" t="str">
        <f>IFERROR(__xludf.DUMMYFUNCTION("""COMPUTED_VALUE"""),"Garlic and Herb Cream Cheese")</f>
        <v>Garlic and Herb Cream Cheese</v>
      </c>
      <c r="B627" s="6" t="str">
        <f t="array" ref="B627">INDEX('Raw Data Sales'!F627:F1625, MATCH(A627, 'Raw Data Sales'!E627:E1625, 0))</f>
        <v>Food - Dairy</v>
      </c>
      <c r="C627" s="6">
        <f>SUMIFS('Raw Data Sales'!M627:M1625, 'Raw Data Sales'!E627:E1625,A627)</f>
        <v>75</v>
      </c>
      <c r="D627" s="6">
        <f>SUMIFS('Raw Data Sales'!N627:N1625, 'Raw Data Sales'!E627:E1625, A627)</f>
        <v>399.23</v>
      </c>
      <c r="E627" s="6">
        <f>AVERAGEIFS('Raw Data Sales'!G627:G1625, 'Raw Data Sales'!E627:E1625, A627)</f>
        <v>240.25</v>
      </c>
      <c r="F627" s="6" t="str">
        <f t="shared" si="2"/>
        <v>Zesty Cilantro Lime Dressing</v>
      </c>
    </row>
    <row r="628">
      <c r="A628" s="6" t="str">
        <f>IFERROR(__xludf.DUMMYFUNCTION("""COMPUTED_VALUE"""),"Tandoori Chicken Skewers")</f>
        <v>Tandoori Chicken Skewers</v>
      </c>
      <c r="B628" s="6" t="str">
        <f t="array" ref="B628">INDEX('Raw Data Sales'!F628:F1626, MATCH(A628, 'Raw Data Sales'!E628:E1626, 0))</f>
        <v>Food - Meat</v>
      </c>
      <c r="C628" s="6">
        <f>SUMIFS('Raw Data Sales'!M628:M1626, 'Raw Data Sales'!E628:E1626,A628)</f>
        <v>29</v>
      </c>
      <c r="D628" s="6">
        <f>SUMIFS('Raw Data Sales'!N628:N1626, 'Raw Data Sales'!E628:E1626, A628)</f>
        <v>1675.71</v>
      </c>
      <c r="E628" s="6">
        <f>AVERAGEIFS('Raw Data Sales'!G628:G1626, 'Raw Data Sales'!E628:E1626, A628)</f>
        <v>492.26</v>
      </c>
      <c r="F628" s="6" t="str">
        <f t="shared" si="2"/>
        <v>Zesty Cilantro Lime Dressing</v>
      </c>
    </row>
    <row r="629">
      <c r="A629" s="6" t="str">
        <f>IFERROR(__xludf.DUMMYFUNCTION("""COMPUTED_VALUE"""),"Chino Shorts")</f>
        <v>Chino Shorts</v>
      </c>
      <c r="B629" s="6" t="str">
        <f t="array" ref="B629">INDEX('Raw Data Sales'!F629:F1627, MATCH(A629, 'Raw Data Sales'!E629:E1627, 0))</f>
        <v>Clothing - Bottoms</v>
      </c>
      <c r="C629" s="6">
        <f>SUMIFS('Raw Data Sales'!M629:M1627, 'Raw Data Sales'!E629:E1627,A629)</f>
        <v>22</v>
      </c>
      <c r="D629" s="6">
        <f>SUMIFS('Raw Data Sales'!N629:N1627, 'Raw Data Sales'!E629:E1627, A629)</f>
        <v>5476.85</v>
      </c>
      <c r="E629" s="6">
        <f>AVERAGEIFS('Raw Data Sales'!G629:G1627, 'Raw Data Sales'!E629:E1627, A629)</f>
        <v>508.74</v>
      </c>
      <c r="F629" s="6" t="str">
        <f t="shared" si="2"/>
        <v>Zesty Cilantro Lime Dressing</v>
      </c>
    </row>
    <row r="630">
      <c r="A630" s="6" t="str">
        <f>IFERROR(__xludf.DUMMYFUNCTION("""COMPUTED_VALUE"""),"Peach Salsa")</f>
        <v>Peach Salsa</v>
      </c>
      <c r="B630" s="6" t="str">
        <f t="array" ref="B630">INDEX('Raw Data Sales'!F630:F1628, MATCH(A630, 'Raw Data Sales'!E630:E1628, 0))</f>
        <v>Food - Dips</v>
      </c>
      <c r="C630" s="6">
        <f>SUMIFS('Raw Data Sales'!M630:M1628, 'Raw Data Sales'!E630:E1628,A630)</f>
        <v>73</v>
      </c>
      <c r="D630" s="6">
        <f>SUMIFS('Raw Data Sales'!N630:N1628, 'Raw Data Sales'!E630:E1628, A630)</f>
        <v>3643.4</v>
      </c>
      <c r="E630" s="6">
        <f>AVERAGEIFS('Raw Data Sales'!G630:G1628, 'Raw Data Sales'!E630:E1628, A630)</f>
        <v>495.71</v>
      </c>
      <c r="F630" s="6" t="str">
        <f t="shared" si="2"/>
        <v>Zesty Cilantro Lime Dressing</v>
      </c>
    </row>
    <row r="631">
      <c r="A631" s="6" t="str">
        <f>IFERROR(__xludf.DUMMYFUNCTION("""COMPUTED_VALUE"""),"Inflatable Paddle Board")</f>
        <v>Inflatable Paddle Board</v>
      </c>
      <c r="B631" s="6" t="str">
        <f t="array" ref="B631">INDEX('Raw Data Sales'!F631:F1629, MATCH(A631, 'Raw Data Sales'!E631:E1629, 0))</f>
        <v>Outdoor</v>
      </c>
      <c r="C631" s="6">
        <f>SUMIFS('Raw Data Sales'!M631:M1629, 'Raw Data Sales'!E631:E1629,A631)</f>
        <v>24</v>
      </c>
      <c r="D631" s="6">
        <f>SUMIFS('Raw Data Sales'!N631:N1629, 'Raw Data Sales'!E631:E1629, A631)</f>
        <v>7446.4</v>
      </c>
      <c r="E631" s="6">
        <f>AVERAGEIFS('Raw Data Sales'!G631:G1629, 'Raw Data Sales'!E631:E1629, A631)</f>
        <v>618.85</v>
      </c>
      <c r="F631" s="6" t="str">
        <f t="shared" si="2"/>
        <v>Zesty Cilantro Lime Dressing</v>
      </c>
    </row>
    <row r="632">
      <c r="A632" s="6" t="str">
        <f>IFERROR(__xludf.DUMMYFUNCTION("""COMPUTED_VALUE"""),"Frozen Vegetarian Pizza")</f>
        <v>Frozen Vegetarian Pizza</v>
      </c>
      <c r="B632" s="6" t="str">
        <f t="array" ref="B632">INDEX('Raw Data Sales'!F632:F1630, MATCH(A632, 'Raw Data Sales'!E632:E1630, 0))</f>
        <v>Food - Frozen Meals</v>
      </c>
      <c r="C632" s="6">
        <f>SUMIFS('Raw Data Sales'!M632:M1630, 'Raw Data Sales'!E632:E1630,A632)</f>
        <v>38</v>
      </c>
      <c r="D632" s="6">
        <f>SUMIFS('Raw Data Sales'!N632:N1630, 'Raw Data Sales'!E632:E1630, A632)</f>
        <v>2837.01</v>
      </c>
      <c r="E632" s="6">
        <f>AVERAGEIFS('Raw Data Sales'!G632:G1630, 'Raw Data Sales'!E632:E1630, A632)</f>
        <v>73.16</v>
      </c>
      <c r="F632" s="6" t="str">
        <f t="shared" si="2"/>
        <v>Zesty Cilantro Lime Dressing</v>
      </c>
    </row>
    <row r="633">
      <c r="A633" s="6" t="str">
        <f>IFERROR(__xludf.DUMMYFUNCTION("""COMPUTED_VALUE"""),"Electric Pressure Cooker")</f>
        <v>Electric Pressure Cooker</v>
      </c>
      <c r="B633" s="6" t="str">
        <f t="array" ref="B633">INDEX('Raw Data Sales'!F633:F1631, MATCH(A633, 'Raw Data Sales'!E633:E1631, 0))</f>
        <v>Kitchen</v>
      </c>
      <c r="C633" s="6">
        <f>SUMIFS('Raw Data Sales'!M633:M1631, 'Raw Data Sales'!E633:E1631,A633)</f>
        <v>25</v>
      </c>
      <c r="D633" s="6">
        <f>SUMIFS('Raw Data Sales'!N633:N1631, 'Raw Data Sales'!E633:E1631, A633)</f>
        <v>7454.65</v>
      </c>
      <c r="E633" s="6">
        <f>AVERAGEIFS('Raw Data Sales'!G633:G1631, 'Raw Data Sales'!E633:E1631, A633)</f>
        <v>512.6</v>
      </c>
      <c r="F633" s="6" t="str">
        <f t="shared" si="2"/>
        <v>Zesty Cilantro Lime Dressing</v>
      </c>
    </row>
    <row r="634">
      <c r="A634" s="6" t="str">
        <f>IFERROR(__xludf.DUMMYFUNCTION("""COMPUTED_VALUE"""),"Smoked Gouda Cheese")</f>
        <v>Smoked Gouda Cheese</v>
      </c>
      <c r="B634" s="6" t="str">
        <f t="array" ref="B634">INDEX('Raw Data Sales'!F634:F1632, MATCH(A634, 'Raw Data Sales'!E634:E1632, 0))</f>
        <v>Food - Dairy</v>
      </c>
      <c r="C634" s="6">
        <f>SUMIFS('Raw Data Sales'!M634:M1632, 'Raw Data Sales'!E634:E1632,A634)</f>
        <v>72</v>
      </c>
      <c r="D634" s="6">
        <f>SUMIFS('Raw Data Sales'!N634:N1632, 'Raw Data Sales'!E634:E1632, A634)</f>
        <v>2529.96</v>
      </c>
      <c r="E634" s="6">
        <f>AVERAGEIFS('Raw Data Sales'!G634:G1632, 'Raw Data Sales'!E634:E1632, A634)</f>
        <v>958.56</v>
      </c>
      <c r="F634" s="6" t="str">
        <f t="shared" si="2"/>
        <v>Zesty Cilantro Lime Dressing</v>
      </c>
    </row>
    <row r="635">
      <c r="A635" s="6" t="str">
        <f>IFERROR(__xludf.DUMMYFUNCTION("""COMPUTED_VALUE"""),"Peanut Butter Pretzel Nuggets")</f>
        <v>Peanut Butter Pretzel Nuggets</v>
      </c>
      <c r="B635" s="6" t="str">
        <f t="array" ref="B635">INDEX('Raw Data Sales'!F635:F1633, MATCH(A635, 'Raw Data Sales'!E635:E1633, 0))</f>
        <v>Food - Snacks</v>
      </c>
      <c r="C635" s="6">
        <f>SUMIFS('Raw Data Sales'!M635:M1633, 'Raw Data Sales'!E635:E1633,A635)</f>
        <v>75</v>
      </c>
      <c r="D635" s="6">
        <f>SUMIFS('Raw Data Sales'!N635:N1633, 'Raw Data Sales'!E635:E1633, A635)</f>
        <v>6564.74</v>
      </c>
      <c r="E635" s="6">
        <f>AVERAGEIFS('Raw Data Sales'!G635:G1633, 'Raw Data Sales'!E635:E1633, A635)</f>
        <v>839.38</v>
      </c>
      <c r="F635" s="6" t="str">
        <f t="shared" si="2"/>
        <v>Zesty Cilantro Lime Dressing</v>
      </c>
    </row>
    <row r="636">
      <c r="A636" s="6" t="str">
        <f>IFERROR(__xludf.DUMMYFUNCTION("""COMPUTED_VALUE"""),"Pear and Gorgonzola Salad")</f>
        <v>Pear and Gorgonzola Salad</v>
      </c>
      <c r="B636" s="6" t="str">
        <f t="array" ref="B636">INDEX('Raw Data Sales'!F636:F1634, MATCH(A636, 'Raw Data Sales'!E636:E1634, 0))</f>
        <v>Food - Salads</v>
      </c>
      <c r="C636" s="6">
        <f>SUMIFS('Raw Data Sales'!M636:M1634, 'Raw Data Sales'!E636:E1634,A636)</f>
        <v>65</v>
      </c>
      <c r="D636" s="6">
        <f>SUMIFS('Raw Data Sales'!N636:N1634, 'Raw Data Sales'!E636:E1634, A636)</f>
        <v>4002.49</v>
      </c>
      <c r="E636" s="6">
        <f>AVERAGEIFS('Raw Data Sales'!G636:G1634, 'Raw Data Sales'!E636:E1634, A636)</f>
        <v>877.43</v>
      </c>
      <c r="F636" s="6" t="str">
        <f t="shared" si="2"/>
        <v>Zesty Cilantro Lime Dressing</v>
      </c>
    </row>
    <row r="637">
      <c r="A637" s="6" t="str">
        <f>IFERROR(__xludf.DUMMYFUNCTION("""COMPUTED_VALUE"""),"Underwater Camera")</f>
        <v>Underwater Camera</v>
      </c>
      <c r="B637" s="6" t="str">
        <f t="array" ref="B637">INDEX('Raw Data Sales'!F637:F1635, MATCH(A637, 'Raw Data Sales'!E637:E1635, 0))</f>
        <v>Photography</v>
      </c>
      <c r="C637" s="6">
        <f>SUMIFS('Raw Data Sales'!M637:M1635, 'Raw Data Sales'!E637:E1635,A637)</f>
        <v>91</v>
      </c>
      <c r="D637" s="6">
        <f>SUMIFS('Raw Data Sales'!N637:N1635, 'Raw Data Sales'!E637:E1635, A637)</f>
        <v>6946.98</v>
      </c>
      <c r="E637" s="6">
        <f>AVERAGEIFS('Raw Data Sales'!G637:G1635, 'Raw Data Sales'!E637:E1635, A637)</f>
        <v>558.04</v>
      </c>
      <c r="F637" s="6" t="str">
        <f t="shared" si="2"/>
        <v>Zesty Cilantro Lime Dressing</v>
      </c>
    </row>
    <row r="638">
      <c r="A638" s="6" t="str">
        <f>IFERROR(__xludf.DUMMYFUNCTION("""COMPUTED_VALUE"""),"Roasted Garlic Aioli")</f>
        <v>Roasted Garlic Aioli</v>
      </c>
      <c r="B638" s="6" t="str">
        <f t="array" ref="B638">INDEX('Raw Data Sales'!F638:F1636, MATCH(A638, 'Raw Data Sales'!E638:E1636, 0))</f>
        <v>Food - Condiments</v>
      </c>
      <c r="C638" s="6">
        <f>SUMIFS('Raw Data Sales'!M638:M1636, 'Raw Data Sales'!E638:E1636,A638)</f>
        <v>12</v>
      </c>
      <c r="D638" s="6">
        <f>SUMIFS('Raw Data Sales'!N638:N1636, 'Raw Data Sales'!E638:E1636, A638)</f>
        <v>2555.68</v>
      </c>
      <c r="E638" s="6">
        <f>AVERAGEIFS('Raw Data Sales'!G638:G1636, 'Raw Data Sales'!E638:E1636, A638)</f>
        <v>697.75</v>
      </c>
      <c r="F638" s="6" t="str">
        <f t="shared" si="2"/>
        <v>Zesty Cilantro Lime Dressing</v>
      </c>
    </row>
    <row r="639">
      <c r="A639" s="6" t="str">
        <f>IFERROR(__xludf.DUMMYFUNCTION("""COMPUTED_VALUE"""),"Coconut Oil Spray")</f>
        <v>Coconut Oil Spray</v>
      </c>
      <c r="B639" s="6" t="str">
        <f t="array" ref="B639">INDEX('Raw Data Sales'!F639:F1637, MATCH(A639, 'Raw Data Sales'!E639:E1637, 0))</f>
        <v>Food - Cooking Oils</v>
      </c>
      <c r="C639" s="6">
        <f>SUMIFS('Raw Data Sales'!M639:M1637, 'Raw Data Sales'!E639:E1637,A639)</f>
        <v>94</v>
      </c>
      <c r="D639" s="6">
        <f>SUMIFS('Raw Data Sales'!N639:N1637, 'Raw Data Sales'!E639:E1637, A639)</f>
        <v>4596.33</v>
      </c>
      <c r="E639" s="6">
        <f>AVERAGEIFS('Raw Data Sales'!G639:G1637, 'Raw Data Sales'!E639:E1637, A639)</f>
        <v>771.2</v>
      </c>
      <c r="F639" s="6" t="str">
        <f t="shared" si="2"/>
        <v>Zesty Cilantro Lime Dressing</v>
      </c>
    </row>
    <row r="640">
      <c r="A640" s="6" t="str">
        <f>IFERROR(__xludf.DUMMYFUNCTION("""COMPUTED_VALUE"""),"LED Desk Lamp with USB Charging")</f>
        <v>LED Desk Lamp with USB Charging</v>
      </c>
      <c r="B640" s="6" t="str">
        <f t="array" ref="B640">INDEX('Raw Data Sales'!F640:F1638, MATCH(A640, 'Raw Data Sales'!E640:E1638, 0))</f>
        <v>Office</v>
      </c>
      <c r="C640" s="6">
        <f>SUMIFS('Raw Data Sales'!M640:M1638, 'Raw Data Sales'!E640:E1638,A640)</f>
        <v>38</v>
      </c>
      <c r="D640" s="6">
        <f>SUMIFS('Raw Data Sales'!N640:N1638, 'Raw Data Sales'!E640:E1638, A640)</f>
        <v>1343.33</v>
      </c>
      <c r="E640" s="6">
        <f>AVERAGEIFS('Raw Data Sales'!G640:G1638, 'Raw Data Sales'!E640:E1638, A640)</f>
        <v>254.66</v>
      </c>
      <c r="F640" s="6" t="str">
        <f t="shared" si="2"/>
        <v>Zesty Cilantro Lime Dressing</v>
      </c>
    </row>
    <row r="641">
      <c r="A641" s="6" t="str">
        <f>IFERROR(__xludf.DUMMYFUNCTION("""COMPUTED_VALUE"""),"Customizable Name Plate")</f>
        <v>Customizable Name Plate</v>
      </c>
      <c r="B641" s="6" t="str">
        <f t="array" ref="B641">INDEX('Raw Data Sales'!F641:F1639, MATCH(A641, 'Raw Data Sales'!E641:E1639, 0))</f>
        <v>Office</v>
      </c>
      <c r="C641" s="6">
        <f>SUMIFS('Raw Data Sales'!M641:M1639, 'Raw Data Sales'!E641:E1639,A641)</f>
        <v>71</v>
      </c>
      <c r="D641" s="6">
        <f>SUMIFS('Raw Data Sales'!N641:N1639, 'Raw Data Sales'!E641:E1639, A641)</f>
        <v>2742.29</v>
      </c>
      <c r="E641" s="6">
        <f>AVERAGEIFS('Raw Data Sales'!G641:G1639, 'Raw Data Sales'!E641:E1639, A641)</f>
        <v>607.27</v>
      </c>
      <c r="F641" s="6" t="str">
        <f t="shared" si="2"/>
        <v>Zesty Cilantro Lime Dressing</v>
      </c>
    </row>
    <row r="642">
      <c r="A642" s="6" t="str">
        <f>IFERROR(__xludf.DUMMYFUNCTION("""COMPUTED_VALUE"""),"Savory Breakfast Sausage")</f>
        <v>Savory Breakfast Sausage</v>
      </c>
      <c r="B642" s="6" t="str">
        <f t="array" ref="B642">INDEX('Raw Data Sales'!F642:F1640, MATCH(A642, 'Raw Data Sales'!E642:E1640, 0))</f>
        <v>Food - Meats</v>
      </c>
      <c r="C642" s="6">
        <f>SUMIFS('Raw Data Sales'!M642:M1640, 'Raw Data Sales'!E642:E1640,A642)</f>
        <v>19</v>
      </c>
      <c r="D642" s="6">
        <f>SUMIFS('Raw Data Sales'!N642:N1640, 'Raw Data Sales'!E642:E1640, A642)</f>
        <v>3873.34</v>
      </c>
      <c r="E642" s="6">
        <f>AVERAGEIFS('Raw Data Sales'!G642:G1640, 'Raw Data Sales'!E642:E1640, A642)</f>
        <v>257.49</v>
      </c>
      <c r="F642" s="6" t="str">
        <f t="shared" si="2"/>
        <v>Zesty Cilantro Lime Dressing</v>
      </c>
    </row>
    <row r="643">
      <c r="A643" s="6" t="str">
        <f>IFERROR(__xludf.DUMMYFUNCTION("""COMPUTED_VALUE"""),"Emergency Preparedness Kit")</f>
        <v>Emergency Preparedness Kit</v>
      </c>
      <c r="B643" s="6" t="str">
        <f t="array" ref="B643">INDEX('Raw Data Sales'!F643:F1641, MATCH(A643, 'Raw Data Sales'!E643:E1641, 0))</f>
        <v>Safety</v>
      </c>
      <c r="C643" s="6">
        <f>SUMIFS('Raw Data Sales'!M643:M1641, 'Raw Data Sales'!E643:E1641,A643)</f>
        <v>52</v>
      </c>
      <c r="D643" s="6">
        <f>SUMIFS('Raw Data Sales'!N643:N1641, 'Raw Data Sales'!E643:E1641, A643)</f>
        <v>1887.82</v>
      </c>
      <c r="E643" s="6">
        <f>AVERAGEIFS('Raw Data Sales'!G643:G1641, 'Raw Data Sales'!E643:E1641, A643)</f>
        <v>586.34</v>
      </c>
      <c r="F643" s="6" t="str">
        <f t="shared" si="2"/>
        <v>Zesty Cilantro Lime Dressing</v>
      </c>
    </row>
    <row r="644">
      <c r="A644" s="6" t="str">
        <f>IFERROR(__xludf.DUMMYFUNCTION("""COMPUTED_VALUE"""),"Gardening Fairy Figurines")</f>
        <v>Gardening Fairy Figurines</v>
      </c>
      <c r="B644" s="6" t="str">
        <f t="array" ref="B644">INDEX('Raw Data Sales'!F644:F1642, MATCH(A644, 'Raw Data Sales'!E644:E1642, 0))</f>
        <v>Garden</v>
      </c>
      <c r="C644" s="6">
        <f>SUMIFS('Raw Data Sales'!M644:M1642, 'Raw Data Sales'!E644:E1642,A644)</f>
        <v>72</v>
      </c>
      <c r="D644" s="6">
        <f>SUMIFS('Raw Data Sales'!N644:N1642, 'Raw Data Sales'!E644:E1642, A644)</f>
        <v>8319.75</v>
      </c>
      <c r="E644" s="6">
        <f>AVERAGEIFS('Raw Data Sales'!G644:G1642, 'Raw Data Sales'!E644:E1642, A644)</f>
        <v>924.76</v>
      </c>
      <c r="F644" s="6" t="str">
        <f t="shared" si="2"/>
        <v>Zesty Cilantro Lime Dressing</v>
      </c>
    </row>
    <row r="645">
      <c r="A645" s="6" t="str">
        <f>IFERROR(__xludf.DUMMYFUNCTION("""COMPUTED_VALUE"""),"Electric Hot Pot")</f>
        <v>Electric Hot Pot</v>
      </c>
      <c r="B645" s="6" t="str">
        <f t="array" ref="B645">INDEX('Raw Data Sales'!F645:F1643, MATCH(A645, 'Raw Data Sales'!E645:E1643, 0))</f>
        <v>Kitchen</v>
      </c>
      <c r="C645" s="6">
        <f>SUMIFS('Raw Data Sales'!M645:M1643, 'Raw Data Sales'!E645:E1643,A645)</f>
        <v>33</v>
      </c>
      <c r="D645" s="6">
        <f>SUMIFS('Raw Data Sales'!N645:N1643, 'Raw Data Sales'!E645:E1643, A645)</f>
        <v>2289.12</v>
      </c>
      <c r="E645" s="6">
        <f>AVERAGEIFS('Raw Data Sales'!G645:G1643, 'Raw Data Sales'!E645:E1643, A645)</f>
        <v>659.17</v>
      </c>
      <c r="F645" s="6" t="str">
        <f t="shared" si="2"/>
        <v>Zesty Cilantro Lime Dressing</v>
      </c>
    </row>
    <row r="646">
      <c r="A646" s="6" t="str">
        <f>IFERROR(__xludf.DUMMYFUNCTION("""COMPUTED_VALUE"""),"Puzzle")</f>
        <v>Puzzle</v>
      </c>
      <c r="B646" s="6" t="str">
        <f t="array" ref="B646">INDEX('Raw Data Sales'!F646:F1644, MATCH(A646, 'Raw Data Sales'!E646:E1644, 0))</f>
        <v>Toys</v>
      </c>
      <c r="C646" s="6">
        <f>SUMIFS('Raw Data Sales'!M646:M1644, 'Raw Data Sales'!E646:E1644,A646)</f>
        <v>96</v>
      </c>
      <c r="D646" s="6">
        <f>SUMIFS('Raw Data Sales'!N646:N1644, 'Raw Data Sales'!E646:E1644, A646)</f>
        <v>4323.81</v>
      </c>
      <c r="E646" s="6">
        <f>AVERAGEIFS('Raw Data Sales'!G646:G1644, 'Raw Data Sales'!E646:E1644, A646)</f>
        <v>499.35</v>
      </c>
      <c r="F646" s="6" t="str">
        <f t="shared" si="2"/>
        <v>Zesty Cilantro Lime Dressing</v>
      </c>
    </row>
    <row r="647">
      <c r="A647" s="6" t="str">
        <f>IFERROR(__xludf.DUMMYFUNCTION("""COMPUTED_VALUE"""),"Rainbow Veggie Chips")</f>
        <v>Rainbow Veggie Chips</v>
      </c>
      <c r="B647" s="6" t="str">
        <f t="array" ref="B647">INDEX('Raw Data Sales'!F647:F1645, MATCH(A647, 'Raw Data Sales'!E647:E1645, 0))</f>
        <v>Food - Snacks</v>
      </c>
      <c r="C647" s="6">
        <f>SUMIFS('Raw Data Sales'!M647:M1645, 'Raw Data Sales'!E647:E1645,A647)</f>
        <v>55</v>
      </c>
      <c r="D647" s="6">
        <f>SUMIFS('Raw Data Sales'!N647:N1645, 'Raw Data Sales'!E647:E1645, A647)</f>
        <v>9761</v>
      </c>
      <c r="E647" s="6">
        <f>AVERAGEIFS('Raw Data Sales'!G647:G1645, 'Raw Data Sales'!E647:E1645, A647)</f>
        <v>108.04</v>
      </c>
      <c r="F647" s="6" t="str">
        <f t="shared" si="2"/>
        <v>Zesty Cilantro Lime Dressing</v>
      </c>
    </row>
    <row r="648">
      <c r="A648" s="6" t="str">
        <f>IFERROR(__xludf.DUMMYFUNCTION("""COMPUTED_VALUE"""),"Cacao Nibs")</f>
        <v>Cacao Nibs</v>
      </c>
      <c r="B648" s="6" t="str">
        <f t="array" ref="B648">INDEX('Raw Data Sales'!F648:F1646, MATCH(A648, 'Raw Data Sales'!E648:E1646, 0))</f>
        <v>Food - Baking</v>
      </c>
      <c r="C648" s="6">
        <f>SUMIFS('Raw Data Sales'!M648:M1646, 'Raw Data Sales'!E648:E1646,A648)</f>
        <v>3</v>
      </c>
      <c r="D648" s="6">
        <f>SUMIFS('Raw Data Sales'!N648:N1646, 'Raw Data Sales'!E648:E1646, A648)</f>
        <v>3514.5</v>
      </c>
      <c r="E648" s="6">
        <f>AVERAGEIFS('Raw Data Sales'!G648:G1646, 'Raw Data Sales'!E648:E1646, A648)</f>
        <v>112.75</v>
      </c>
      <c r="F648" s="6" t="str">
        <f t="shared" si="2"/>
        <v>Zesty Cilantro Lime Dressing</v>
      </c>
    </row>
    <row r="649">
      <c r="A649" s="6" t="str">
        <f>IFERROR(__xludf.DUMMYFUNCTION("""COMPUTED_VALUE"""),"Savory Pumpkin Soup")</f>
        <v>Savory Pumpkin Soup</v>
      </c>
      <c r="B649" s="6" t="str">
        <f t="array" ref="B649">INDEX('Raw Data Sales'!F649:F1647, MATCH(A649, 'Raw Data Sales'!E649:E1647, 0))</f>
        <v>Food - Soups</v>
      </c>
      <c r="C649" s="6">
        <f>SUMIFS('Raw Data Sales'!M649:M1647, 'Raw Data Sales'!E649:E1647,A649)</f>
        <v>55</v>
      </c>
      <c r="D649" s="6">
        <f>SUMIFS('Raw Data Sales'!N649:N1647, 'Raw Data Sales'!E649:E1647, A649)</f>
        <v>4598.98</v>
      </c>
      <c r="E649" s="6">
        <f>AVERAGEIFS('Raw Data Sales'!G649:G1647, 'Raw Data Sales'!E649:E1647, A649)</f>
        <v>114.45</v>
      </c>
      <c r="F649" s="6" t="str">
        <f t="shared" si="2"/>
        <v>Zesty Cilantro Lime Dressing</v>
      </c>
    </row>
    <row r="650">
      <c r="A650" s="6" t="str">
        <f>IFERROR(__xludf.DUMMYFUNCTION("""COMPUTED_VALUE"""),"High-Top Leather Boots")</f>
        <v>High-Top Leather Boots</v>
      </c>
      <c r="B650" s="6" t="str">
        <f t="array" ref="B650">INDEX('Raw Data Sales'!F650:F1648, MATCH(A650, 'Raw Data Sales'!E650:E1648, 0))</f>
        <v>Clothing - Footwear</v>
      </c>
      <c r="C650" s="6">
        <f>SUMIFS('Raw Data Sales'!M650:M1648, 'Raw Data Sales'!E650:E1648,A650)</f>
        <v>5</v>
      </c>
      <c r="D650" s="6">
        <f>SUMIFS('Raw Data Sales'!N650:N1648, 'Raw Data Sales'!E650:E1648, A650)</f>
        <v>7884.78</v>
      </c>
      <c r="E650" s="6">
        <f>AVERAGEIFS('Raw Data Sales'!G650:G1648, 'Raw Data Sales'!E650:E1648, A650)</f>
        <v>648.09</v>
      </c>
      <c r="F650" s="6" t="str">
        <f t="shared" si="2"/>
        <v>Zesty Cilantro Lime Dressing</v>
      </c>
    </row>
    <row r="651">
      <c r="A651" s="6" t="str">
        <f>IFERROR(__xludf.DUMMYFUNCTION("""COMPUTED_VALUE"""),"Maxi Wrap Dress")</f>
        <v>Maxi Wrap Dress</v>
      </c>
      <c r="B651" s="6" t="str">
        <f t="array" ref="B651">INDEX('Raw Data Sales'!F651:F1649, MATCH(A651, 'Raw Data Sales'!E651:E1649, 0))</f>
        <v>Clothing - Dresses</v>
      </c>
      <c r="C651" s="6">
        <f>SUMIFS('Raw Data Sales'!M651:M1649, 'Raw Data Sales'!E651:E1649,A651)</f>
        <v>147</v>
      </c>
      <c r="D651" s="6">
        <f>SUMIFS('Raw Data Sales'!N651:N1649, 'Raw Data Sales'!E651:E1649, A651)</f>
        <v>17183.23</v>
      </c>
      <c r="E651" s="6">
        <f>AVERAGEIFS('Raw Data Sales'!G651:G1649, 'Raw Data Sales'!E651:E1649, A651)</f>
        <v>490.625</v>
      </c>
      <c r="F651" s="6" t="str">
        <f t="shared" si="2"/>
        <v>Zesty Cilantro Lime Dressing</v>
      </c>
    </row>
    <row r="652">
      <c r="A652" s="6" t="str">
        <f>IFERROR(__xludf.DUMMYFUNCTION("""COMPUTED_VALUE"""),"Fettuccine Alfredo Dinner Kit")</f>
        <v>Fettuccine Alfredo Dinner Kit</v>
      </c>
      <c r="B652" s="6" t="str">
        <f t="array" ref="B652">INDEX('Raw Data Sales'!F652:F1650, MATCH(A652, 'Raw Data Sales'!E652:E1650, 0))</f>
        <v>Food - Prepared Meals</v>
      </c>
      <c r="C652" s="6">
        <f>SUMIFS('Raw Data Sales'!M652:M1650, 'Raw Data Sales'!E652:E1650,A652)</f>
        <v>88</v>
      </c>
      <c r="D652" s="6">
        <f>SUMIFS('Raw Data Sales'!N652:N1650, 'Raw Data Sales'!E652:E1650, A652)</f>
        <v>3174.08</v>
      </c>
      <c r="E652" s="6">
        <f>AVERAGEIFS('Raw Data Sales'!G652:G1650, 'Raw Data Sales'!E652:E1650, A652)</f>
        <v>134.93</v>
      </c>
      <c r="F652" s="6" t="str">
        <f t="shared" si="2"/>
        <v>Zesty Cilantro Lime Dressing</v>
      </c>
    </row>
    <row r="653">
      <c r="A653" s="6" t="str">
        <f>IFERROR(__xludf.DUMMYFUNCTION("""COMPUTED_VALUE"""),"Cotton Tote Bag Set")</f>
        <v>Cotton Tote Bag Set</v>
      </c>
      <c r="B653" s="6" t="str">
        <f t="array" ref="B653">INDEX('Raw Data Sales'!F653:F1651, MATCH(A653, 'Raw Data Sales'!E653:E1651, 0))</f>
        <v>Accessories</v>
      </c>
      <c r="C653" s="6">
        <f>SUMIFS('Raw Data Sales'!M653:M1651, 'Raw Data Sales'!E653:E1651,A653)</f>
        <v>91</v>
      </c>
      <c r="D653" s="6">
        <f>SUMIFS('Raw Data Sales'!N653:N1651, 'Raw Data Sales'!E653:E1651, A653)</f>
        <v>4920.67</v>
      </c>
      <c r="E653" s="6">
        <f>AVERAGEIFS('Raw Data Sales'!G653:G1651, 'Raw Data Sales'!E653:E1651, A653)</f>
        <v>24.19</v>
      </c>
      <c r="F653" s="6" t="str">
        <f t="shared" si="2"/>
        <v>Zesty Cilantro Lime Dressing</v>
      </c>
    </row>
    <row r="654">
      <c r="A654" s="6" t="str">
        <f>IFERROR(__xludf.DUMMYFUNCTION("""COMPUTED_VALUE"""),"Crispy Kale Chips")</f>
        <v>Crispy Kale Chips</v>
      </c>
      <c r="B654" s="6" t="str">
        <f t="array" ref="B654">INDEX('Raw Data Sales'!F654:F1652, MATCH(A654, 'Raw Data Sales'!E654:E1652, 0))</f>
        <v>Food - Snacks</v>
      </c>
      <c r="C654" s="6">
        <f>SUMIFS('Raw Data Sales'!M654:M1652, 'Raw Data Sales'!E654:E1652,A654)</f>
        <v>44</v>
      </c>
      <c r="D654" s="6">
        <f>SUMIFS('Raw Data Sales'!N654:N1652, 'Raw Data Sales'!E654:E1652, A654)</f>
        <v>326.42</v>
      </c>
      <c r="E654" s="6">
        <f>AVERAGEIFS('Raw Data Sales'!G654:G1652, 'Raw Data Sales'!E654:E1652, A654)</f>
        <v>523.96</v>
      </c>
      <c r="F654" s="6" t="str">
        <f t="shared" si="2"/>
        <v>Zesty Cilantro Lime Dressing</v>
      </c>
    </row>
    <row r="655">
      <c r="A655" s="6" t="str">
        <f>IFERROR(__xludf.DUMMYFUNCTION("""COMPUTED_VALUE"""),"Fleece Throw Blanket")</f>
        <v>Fleece Throw Blanket</v>
      </c>
      <c r="B655" s="6" t="str">
        <f t="array" ref="B655">INDEX('Raw Data Sales'!F655:F1653, MATCH(A655, 'Raw Data Sales'!E655:E1653, 0))</f>
        <v>Home</v>
      </c>
      <c r="C655" s="6">
        <f>SUMIFS('Raw Data Sales'!M655:M1653, 'Raw Data Sales'!E655:E1653,A655)</f>
        <v>32</v>
      </c>
      <c r="D655" s="6">
        <f>SUMIFS('Raw Data Sales'!N655:N1653, 'Raw Data Sales'!E655:E1653, A655)</f>
        <v>5208.86</v>
      </c>
      <c r="E655" s="6">
        <f>AVERAGEIFS('Raw Data Sales'!G655:G1653, 'Raw Data Sales'!E655:E1653, A655)</f>
        <v>888.4</v>
      </c>
      <c r="F655" s="6" t="str">
        <f t="shared" si="2"/>
        <v>Zesty Cilantro Lime Dressing</v>
      </c>
    </row>
    <row r="656">
      <c r="A656" s="6" t="str">
        <f>IFERROR(__xludf.DUMMYFUNCTION("""COMPUTED_VALUE"""),"Sweet Potato Noodles")</f>
        <v>Sweet Potato Noodles</v>
      </c>
      <c r="B656" s="6" t="str">
        <f t="array" ref="B656">INDEX('Raw Data Sales'!F656:F1654, MATCH(A656, 'Raw Data Sales'!E656:E1654, 0))</f>
        <v>Food - Pasta</v>
      </c>
      <c r="C656" s="6">
        <f>SUMIFS('Raw Data Sales'!M656:M1654, 'Raw Data Sales'!E656:E1654,A656)</f>
        <v>115</v>
      </c>
      <c r="D656" s="6">
        <f>SUMIFS('Raw Data Sales'!N656:N1654, 'Raw Data Sales'!E656:E1654, A656)</f>
        <v>8887.33</v>
      </c>
      <c r="E656" s="6">
        <f>AVERAGEIFS('Raw Data Sales'!G656:G1654, 'Raw Data Sales'!E656:E1654, A656)</f>
        <v>537.66</v>
      </c>
      <c r="F656" s="6" t="str">
        <f t="shared" si="2"/>
        <v>Zesty Cilantro Lime Dressing</v>
      </c>
    </row>
    <row r="657">
      <c r="A657" s="6" t="str">
        <f>IFERROR(__xludf.DUMMYFUNCTION("""COMPUTED_VALUE"""),"Silicone Baking Mats")</f>
        <v>Silicone Baking Mats</v>
      </c>
      <c r="B657" s="6" t="str">
        <f t="array" ref="B657">INDEX('Raw Data Sales'!F657:F1655, MATCH(A657, 'Raw Data Sales'!E657:E1655, 0))</f>
        <v>Kitchen</v>
      </c>
      <c r="C657" s="6">
        <f>SUMIFS('Raw Data Sales'!M657:M1655, 'Raw Data Sales'!E657:E1655,A657)</f>
        <v>55</v>
      </c>
      <c r="D657" s="6">
        <f>SUMIFS('Raw Data Sales'!N657:N1655, 'Raw Data Sales'!E657:E1655, A657)</f>
        <v>9370.19</v>
      </c>
      <c r="E657" s="6">
        <f>AVERAGEIFS('Raw Data Sales'!G657:G1655, 'Raw Data Sales'!E657:E1655, A657)</f>
        <v>929.96</v>
      </c>
      <c r="F657" s="6" t="str">
        <f t="shared" si="2"/>
        <v>Zesty Cilantro Lime Dressing</v>
      </c>
    </row>
    <row r="658">
      <c r="A658" s="6" t="str">
        <f>IFERROR(__xludf.DUMMYFUNCTION("""COMPUTED_VALUE"""),"Portable Solar Phone Charger")</f>
        <v>Portable Solar Phone Charger</v>
      </c>
      <c r="B658" s="6" t="str">
        <f t="array" ref="B658">INDEX('Raw Data Sales'!F658:F1656, MATCH(A658, 'Raw Data Sales'!E658:E1656, 0))</f>
        <v>Electronics</v>
      </c>
      <c r="C658" s="6">
        <f>SUMIFS('Raw Data Sales'!M658:M1656, 'Raw Data Sales'!E658:E1656,A658)</f>
        <v>7</v>
      </c>
      <c r="D658" s="6">
        <f>SUMIFS('Raw Data Sales'!N658:N1656, 'Raw Data Sales'!E658:E1656, A658)</f>
        <v>5915.13</v>
      </c>
      <c r="E658" s="6">
        <f>AVERAGEIFS('Raw Data Sales'!G658:G1656, 'Raw Data Sales'!E658:E1656, A658)</f>
        <v>904.76</v>
      </c>
      <c r="F658" s="6" t="str">
        <f t="shared" si="2"/>
        <v>Zesty Cilantro Lime Dressing</v>
      </c>
    </row>
    <row r="659">
      <c r="A659" s="6" t="str">
        <f>IFERROR(__xludf.DUMMYFUNCTION("""COMPUTED_VALUE"""),"Mini Projector")</f>
        <v>Mini Projector</v>
      </c>
      <c r="B659" s="6" t="str">
        <f t="array" ref="B659">INDEX('Raw Data Sales'!F659:F1657, MATCH(A659, 'Raw Data Sales'!E659:E1657, 0))</f>
        <v>Electronics</v>
      </c>
      <c r="C659" s="6">
        <f>SUMIFS('Raw Data Sales'!M659:M1657, 'Raw Data Sales'!E659:E1657,A659)</f>
        <v>59</v>
      </c>
      <c r="D659" s="6">
        <f>SUMIFS('Raw Data Sales'!N659:N1657, 'Raw Data Sales'!E659:E1657, A659)</f>
        <v>5728.84</v>
      </c>
      <c r="E659" s="6">
        <f>AVERAGEIFS('Raw Data Sales'!G659:G1657, 'Raw Data Sales'!E659:E1657, A659)</f>
        <v>823.7</v>
      </c>
      <c r="F659" s="6" t="str">
        <f t="shared" si="2"/>
        <v>Zesty Cilantro Lime Dressing</v>
      </c>
    </row>
    <row r="660">
      <c r="A660" s="6" t="str">
        <f>IFERROR(__xludf.DUMMYFUNCTION("""COMPUTED_VALUE"""),"Electric Pressure Washer")</f>
        <v>Electric Pressure Washer</v>
      </c>
      <c r="B660" s="6" t="str">
        <f t="array" ref="B660">INDEX('Raw Data Sales'!F660:F1658, MATCH(A660, 'Raw Data Sales'!E660:E1658, 0))</f>
        <v>Home Improvement</v>
      </c>
      <c r="C660" s="6">
        <f>SUMIFS('Raw Data Sales'!M660:M1658, 'Raw Data Sales'!E660:E1658,A660)</f>
        <v>79</v>
      </c>
      <c r="D660" s="6">
        <f>SUMIFS('Raw Data Sales'!N660:N1658, 'Raw Data Sales'!E660:E1658, A660)</f>
        <v>7011.25</v>
      </c>
      <c r="E660" s="6">
        <f>AVERAGEIFS('Raw Data Sales'!G660:G1658, 'Raw Data Sales'!E660:E1658, A660)</f>
        <v>142.82</v>
      </c>
      <c r="F660" s="6" t="str">
        <f t="shared" si="2"/>
        <v>Zesty Cilantro Lime Dressing</v>
      </c>
    </row>
    <row r="661">
      <c r="A661" s="6" t="str">
        <f>IFERROR(__xludf.DUMMYFUNCTION("""COMPUTED_VALUE"""),"Yoga Strap")</f>
        <v>Yoga Strap</v>
      </c>
      <c r="B661" s="6" t="str">
        <f t="array" ref="B661">INDEX('Raw Data Sales'!F661:F1659, MATCH(A661, 'Raw Data Sales'!E661:E1659, 0))</f>
        <v>Fitness</v>
      </c>
      <c r="C661" s="6">
        <f>SUMIFS('Raw Data Sales'!M661:M1659, 'Raw Data Sales'!E661:E1659,A661)</f>
        <v>78</v>
      </c>
      <c r="D661" s="6">
        <f>SUMIFS('Raw Data Sales'!N661:N1659, 'Raw Data Sales'!E661:E1659, A661)</f>
        <v>2610.3</v>
      </c>
      <c r="E661" s="6">
        <f>AVERAGEIFS('Raw Data Sales'!G661:G1659, 'Raw Data Sales'!E661:E1659, A661)</f>
        <v>586.73</v>
      </c>
      <c r="F661" s="6" t="str">
        <f t="shared" si="2"/>
        <v>Zesty Cilantro Lime Dressing</v>
      </c>
    </row>
    <row r="662">
      <c r="A662" s="6" t="str">
        <f>IFERROR(__xludf.DUMMYFUNCTION("""COMPUTED_VALUE"""),"Coconut Curry Lentil Soup")</f>
        <v>Coconut Curry Lentil Soup</v>
      </c>
      <c r="B662" s="6" t="str">
        <f t="array" ref="B662">INDEX('Raw Data Sales'!F662:F1660, MATCH(A662, 'Raw Data Sales'!E662:E1660, 0))</f>
        <v>Food - Canned Goods</v>
      </c>
      <c r="C662" s="6">
        <f>SUMIFS('Raw Data Sales'!M662:M1660, 'Raw Data Sales'!E662:E1660,A662)</f>
        <v>55</v>
      </c>
      <c r="D662" s="6">
        <f>SUMIFS('Raw Data Sales'!N662:N1660, 'Raw Data Sales'!E662:E1660, A662)</f>
        <v>4893.03</v>
      </c>
      <c r="E662" s="6">
        <f>AVERAGEIFS('Raw Data Sales'!G662:G1660, 'Raw Data Sales'!E662:E1660, A662)</f>
        <v>924.63</v>
      </c>
      <c r="F662" s="6" t="str">
        <f t="shared" si="2"/>
        <v>Zesty Cilantro Lime Dressing</v>
      </c>
    </row>
    <row r="663">
      <c r="A663" s="6" t="str">
        <f>IFERROR(__xludf.DUMMYFUNCTION("""COMPUTED_VALUE"""),"Breezy Off-The-Shoulder Top")</f>
        <v>Breezy Off-The-Shoulder Top</v>
      </c>
      <c r="B663" s="6" t="str">
        <f t="array" ref="B663">INDEX('Raw Data Sales'!F663:F1661, MATCH(A663, 'Raw Data Sales'!E663:E1661, 0))</f>
        <v>Clothing - Tops</v>
      </c>
      <c r="C663" s="6">
        <f>SUMIFS('Raw Data Sales'!M663:M1661, 'Raw Data Sales'!E663:E1661,A663)</f>
        <v>63</v>
      </c>
      <c r="D663" s="6">
        <f>SUMIFS('Raw Data Sales'!N663:N1661, 'Raw Data Sales'!E663:E1661, A663)</f>
        <v>5560.28</v>
      </c>
      <c r="E663" s="6">
        <f>AVERAGEIFS('Raw Data Sales'!G663:G1661, 'Raw Data Sales'!E663:E1661, A663)</f>
        <v>813.63</v>
      </c>
      <c r="F663" s="6" t="str">
        <f t="shared" si="2"/>
        <v>Zesty Cilantro Lime Dressing</v>
      </c>
    </row>
    <row r="664">
      <c r="A664" s="6" t="str">
        <f>IFERROR(__xludf.DUMMYFUNCTION("""COMPUTED_VALUE"""),"Stick Vacuums Cleaner")</f>
        <v>Stick Vacuums Cleaner</v>
      </c>
      <c r="B664" s="6" t="str">
        <f t="array" ref="B664">INDEX('Raw Data Sales'!F664:F1662, MATCH(A664, 'Raw Data Sales'!E664:E1662, 0))</f>
        <v>Home Appliances</v>
      </c>
      <c r="C664" s="6">
        <f>SUMIFS('Raw Data Sales'!M664:M1662, 'Raw Data Sales'!E664:E1662,A664)</f>
        <v>85</v>
      </c>
      <c r="D664" s="6">
        <f>SUMIFS('Raw Data Sales'!N664:N1662, 'Raw Data Sales'!E664:E1662, A664)</f>
        <v>4349.5</v>
      </c>
      <c r="E664" s="6">
        <f>AVERAGEIFS('Raw Data Sales'!G664:G1662, 'Raw Data Sales'!E664:E1662, A664)</f>
        <v>901.67</v>
      </c>
      <c r="F664" s="6" t="str">
        <f t="shared" si="2"/>
        <v>Zesty Cilantro Lime Dressing</v>
      </c>
    </row>
    <row r="665">
      <c r="A665" s="6" t="str">
        <f>IFERROR(__xludf.DUMMYFUNCTION("""COMPUTED_VALUE"""),"Summer Tank Dress")</f>
        <v>Summer Tank Dress</v>
      </c>
      <c r="B665" s="6" t="str">
        <f t="array" ref="B665">INDEX('Raw Data Sales'!F665:F1663, MATCH(A665, 'Raw Data Sales'!E665:E1663, 0))</f>
        <v>Clothing - Dresses</v>
      </c>
      <c r="C665" s="6">
        <f>SUMIFS('Raw Data Sales'!M665:M1663, 'Raw Data Sales'!E665:E1663,A665)</f>
        <v>88</v>
      </c>
      <c r="D665" s="6">
        <f>SUMIFS('Raw Data Sales'!N665:N1663, 'Raw Data Sales'!E665:E1663, A665)</f>
        <v>194.11</v>
      </c>
      <c r="E665" s="6">
        <f>AVERAGEIFS('Raw Data Sales'!G665:G1663, 'Raw Data Sales'!E665:E1663, A665)</f>
        <v>67.88</v>
      </c>
      <c r="F665" s="6" t="str">
        <f t="shared" si="2"/>
        <v>Zesty Cilantro Lime Dressing</v>
      </c>
    </row>
    <row r="666">
      <c r="A666" s="6" t="str">
        <f>IFERROR(__xludf.DUMMYFUNCTION("""COMPUTED_VALUE"""),"Multi-Tool")</f>
        <v>Multi-Tool</v>
      </c>
      <c r="B666" s="6" t="str">
        <f t="array" ref="B666">INDEX('Raw Data Sales'!F666:F1664, MATCH(A666, 'Raw Data Sales'!E666:E1664, 0))</f>
        <v>Outdoor</v>
      </c>
      <c r="C666" s="6">
        <f>SUMIFS('Raw Data Sales'!M666:M1664, 'Raw Data Sales'!E666:E1664,A666)</f>
        <v>20</v>
      </c>
      <c r="D666" s="6">
        <f>SUMIFS('Raw Data Sales'!N666:N1664, 'Raw Data Sales'!E666:E1664, A666)</f>
        <v>2433.75</v>
      </c>
      <c r="E666" s="6">
        <f>AVERAGEIFS('Raw Data Sales'!G666:G1664, 'Raw Data Sales'!E666:E1664, A666)</f>
        <v>561.11</v>
      </c>
      <c r="F666" s="6" t="str">
        <f t="shared" si="2"/>
        <v>Zesty Cilantro Lime Dressing</v>
      </c>
    </row>
    <row r="667">
      <c r="A667" s="6" t="str">
        <f>IFERROR(__xludf.DUMMYFUNCTION("""COMPUTED_VALUE"""),"Puffed Rice Cake")</f>
        <v>Puffed Rice Cake</v>
      </c>
      <c r="B667" s="6" t="str">
        <f t="array" ref="B667">INDEX('Raw Data Sales'!F667:F1665, MATCH(A667, 'Raw Data Sales'!E667:E1665, 0))</f>
        <v>Food - Snacks</v>
      </c>
      <c r="C667" s="6">
        <f>SUMIFS('Raw Data Sales'!M667:M1665, 'Raw Data Sales'!E667:E1665,A667)</f>
        <v>118</v>
      </c>
      <c r="D667" s="6">
        <f>SUMIFS('Raw Data Sales'!N667:N1665, 'Raw Data Sales'!E667:E1665, A667)</f>
        <v>5897.82</v>
      </c>
      <c r="E667" s="6">
        <f>AVERAGEIFS('Raw Data Sales'!G667:G1665, 'Raw Data Sales'!E667:E1665, A667)</f>
        <v>320.255</v>
      </c>
      <c r="F667" s="6" t="str">
        <f t="shared" si="2"/>
        <v>Zesty Cilantro Lime Dressing</v>
      </c>
    </row>
    <row r="668">
      <c r="A668" s="6" t="str">
        <f>IFERROR(__xludf.DUMMYFUNCTION("""COMPUTED_VALUE"""),"Dried Apricots")</f>
        <v>Dried Apricots</v>
      </c>
      <c r="B668" s="6" t="str">
        <f t="array" ref="B668">INDEX('Raw Data Sales'!F668:F1666, MATCH(A668, 'Raw Data Sales'!E668:E1666, 0))</f>
        <v>Food - Dried Fruits</v>
      </c>
      <c r="C668" s="6">
        <f>SUMIFS('Raw Data Sales'!M668:M1666, 'Raw Data Sales'!E668:E1666,A668)</f>
        <v>57</v>
      </c>
      <c r="D668" s="6">
        <f>SUMIFS('Raw Data Sales'!N668:N1666, 'Raw Data Sales'!E668:E1666, A668)</f>
        <v>5496.3</v>
      </c>
      <c r="E668" s="6">
        <f>AVERAGEIFS('Raw Data Sales'!G668:G1666, 'Raw Data Sales'!E668:E1666, A668)</f>
        <v>776.66</v>
      </c>
      <c r="F668" s="6" t="str">
        <f t="shared" si="2"/>
        <v>Zesty Cilantro Lime Dressing</v>
      </c>
    </row>
    <row r="669">
      <c r="A669" s="6" t="str">
        <f>IFERROR(__xludf.DUMMYFUNCTION("""COMPUTED_VALUE"""),"Solar Power Bank")</f>
        <v>Solar Power Bank</v>
      </c>
      <c r="B669" s="6" t="str">
        <f t="array" ref="B669">INDEX('Raw Data Sales'!F669:F1667, MATCH(A669, 'Raw Data Sales'!E669:E1667, 0))</f>
        <v>Electronics</v>
      </c>
      <c r="C669" s="6">
        <f>SUMIFS('Raw Data Sales'!M669:M1667, 'Raw Data Sales'!E669:E1667,A669)</f>
        <v>68</v>
      </c>
      <c r="D669" s="6">
        <f>SUMIFS('Raw Data Sales'!N669:N1667, 'Raw Data Sales'!E669:E1667, A669)</f>
        <v>2741.51</v>
      </c>
      <c r="E669" s="6">
        <f>AVERAGEIFS('Raw Data Sales'!G669:G1667, 'Raw Data Sales'!E669:E1667, A669)</f>
        <v>676.29</v>
      </c>
      <c r="F669" s="6" t="str">
        <f t="shared" si="2"/>
        <v>Zesty Cilantro Lime Dressing</v>
      </c>
    </row>
    <row r="670">
      <c r="A670" s="6" t="str">
        <f>IFERROR(__xludf.DUMMYFUNCTION("""COMPUTED_VALUE"""),"Cocktail Shaker and Mixing Glass Set")</f>
        <v>Cocktail Shaker and Mixing Glass Set</v>
      </c>
      <c r="B670" s="6" t="str">
        <f t="array" ref="B670">INDEX('Raw Data Sales'!F670:F1668, MATCH(A670, 'Raw Data Sales'!E670:E1668, 0))</f>
        <v>Kitchen</v>
      </c>
      <c r="C670" s="6">
        <f>SUMIFS('Raw Data Sales'!M670:M1668, 'Raw Data Sales'!E670:E1668,A670)</f>
        <v>20</v>
      </c>
      <c r="D670" s="6">
        <f>SUMIFS('Raw Data Sales'!N670:N1668, 'Raw Data Sales'!E670:E1668, A670)</f>
        <v>2279.55</v>
      </c>
      <c r="E670" s="6">
        <f>AVERAGEIFS('Raw Data Sales'!G670:G1668, 'Raw Data Sales'!E670:E1668, A670)</f>
        <v>41.64</v>
      </c>
      <c r="F670" s="6" t="str">
        <f t="shared" si="2"/>
        <v>Zesty Cilantro Lime Dressing</v>
      </c>
    </row>
    <row r="671">
      <c r="A671" s="6" t="str">
        <f>IFERROR(__xludf.DUMMYFUNCTION("""COMPUTED_VALUE"""),"LED Canopy Lights")</f>
        <v>LED Canopy Lights</v>
      </c>
      <c r="B671" s="6" t="str">
        <f t="array" ref="B671">INDEX('Raw Data Sales'!F671:F1669, MATCH(A671, 'Raw Data Sales'!E671:E1669, 0))</f>
        <v>Outdoor</v>
      </c>
      <c r="C671" s="6">
        <f>SUMIFS('Raw Data Sales'!M671:M1669, 'Raw Data Sales'!E671:E1669,A671)</f>
        <v>85</v>
      </c>
      <c r="D671" s="6">
        <f>SUMIFS('Raw Data Sales'!N671:N1669, 'Raw Data Sales'!E671:E1669, A671)</f>
        <v>4633.73</v>
      </c>
      <c r="E671" s="6">
        <f>AVERAGEIFS('Raw Data Sales'!G671:G1669, 'Raw Data Sales'!E671:E1669, A671)</f>
        <v>16.6</v>
      </c>
      <c r="F671" s="6" t="str">
        <f t="shared" si="2"/>
        <v>Zesty Cilantro Lime Dressing</v>
      </c>
    </row>
    <row r="672">
      <c r="A672" s="6" t="str">
        <f>IFERROR(__xludf.DUMMYFUNCTION("""COMPUTED_VALUE"""),"Quinoa &amp; Black Bean Salad")</f>
        <v>Quinoa &amp; Black Bean Salad</v>
      </c>
      <c r="B672" s="6" t="str">
        <f t="array" ref="B672">INDEX('Raw Data Sales'!F672:F1670, MATCH(A672, 'Raw Data Sales'!E672:E1670, 0))</f>
        <v>Food - Salads</v>
      </c>
      <c r="C672" s="6">
        <f>SUMIFS('Raw Data Sales'!M672:M1670, 'Raw Data Sales'!E672:E1670,A672)</f>
        <v>85</v>
      </c>
      <c r="D672" s="6">
        <f>SUMIFS('Raw Data Sales'!N672:N1670, 'Raw Data Sales'!E672:E1670, A672)</f>
        <v>9500.39</v>
      </c>
      <c r="E672" s="6">
        <f>AVERAGEIFS('Raw Data Sales'!G672:G1670, 'Raw Data Sales'!E672:E1670, A672)</f>
        <v>153.61</v>
      </c>
      <c r="F672" s="6" t="str">
        <f t="shared" si="2"/>
        <v>Zesty Cilantro Lime Dressing</v>
      </c>
    </row>
    <row r="673">
      <c r="A673" s="6" t="str">
        <f>IFERROR(__xludf.DUMMYFUNCTION("""COMPUTED_VALUE"""),"Garlic Herb Marinade")</f>
        <v>Garlic Herb Marinade</v>
      </c>
      <c r="B673" s="6" t="str">
        <f t="array" ref="B673">INDEX('Raw Data Sales'!F673:F1671, MATCH(A673, 'Raw Data Sales'!E673:E1671, 0))</f>
        <v>Food - Marinades</v>
      </c>
      <c r="C673" s="6">
        <f>SUMIFS('Raw Data Sales'!M673:M1671, 'Raw Data Sales'!E673:E1671,A673)</f>
        <v>89</v>
      </c>
      <c r="D673" s="6">
        <f>SUMIFS('Raw Data Sales'!N673:N1671, 'Raw Data Sales'!E673:E1671, A673)</f>
        <v>1284.68</v>
      </c>
      <c r="E673" s="6">
        <f>AVERAGEIFS('Raw Data Sales'!G673:G1671, 'Raw Data Sales'!E673:E1671, A673)</f>
        <v>942.03</v>
      </c>
      <c r="F673" s="6" t="str">
        <f t="shared" si="2"/>
        <v>Zesty Cilantro Lime Dressing</v>
      </c>
    </row>
    <row r="674">
      <c r="A674" s="6" t="str">
        <f>IFERROR(__xludf.DUMMYFUNCTION("""COMPUTED_VALUE"""),"Peanut Butter Pretzel Bites")</f>
        <v>Peanut Butter Pretzel Bites</v>
      </c>
      <c r="B674" s="6" t="str">
        <f t="array" ref="B674">INDEX('Raw Data Sales'!F674:F1672, MATCH(A674, 'Raw Data Sales'!E674:E1672, 0))</f>
        <v>Food - Snacks</v>
      </c>
      <c r="C674" s="6">
        <f>SUMIFS('Raw Data Sales'!M674:M1672, 'Raw Data Sales'!E674:E1672,A674)</f>
        <v>77</v>
      </c>
      <c r="D674" s="6">
        <f>SUMIFS('Raw Data Sales'!N674:N1672, 'Raw Data Sales'!E674:E1672, A674)</f>
        <v>6116.31</v>
      </c>
      <c r="E674" s="6">
        <f>AVERAGEIFS('Raw Data Sales'!G674:G1672, 'Raw Data Sales'!E674:E1672, A674)</f>
        <v>703.85</v>
      </c>
      <c r="F674" s="6" t="str">
        <f t="shared" si="2"/>
        <v>Zesty Cilantro Lime Dressing</v>
      </c>
    </row>
    <row r="675">
      <c r="A675" s="6" t="str">
        <f>IFERROR(__xludf.DUMMYFUNCTION("""COMPUTED_VALUE"""),"Vegetable Lentil Soup")</f>
        <v>Vegetable Lentil Soup</v>
      </c>
      <c r="B675" s="6" t="str">
        <f t="array" ref="B675">INDEX('Raw Data Sales'!F675:F1673, MATCH(A675, 'Raw Data Sales'!E675:E1673, 0))</f>
        <v>Food - Canned Goods</v>
      </c>
      <c r="C675" s="6">
        <f>SUMIFS('Raw Data Sales'!M675:M1673, 'Raw Data Sales'!E675:E1673,A675)</f>
        <v>38</v>
      </c>
      <c r="D675" s="6">
        <f>SUMIFS('Raw Data Sales'!N675:N1673, 'Raw Data Sales'!E675:E1673, A675)</f>
        <v>9880.14</v>
      </c>
      <c r="E675" s="6">
        <f>AVERAGEIFS('Raw Data Sales'!G675:G1673, 'Raw Data Sales'!E675:E1673, A675)</f>
        <v>183.23</v>
      </c>
      <c r="F675" s="6" t="str">
        <f t="shared" si="2"/>
        <v>Zesty Cilantro Lime Dressing</v>
      </c>
    </row>
    <row r="676">
      <c r="A676" s="6" t="str">
        <f>IFERROR(__xludf.DUMMYFUNCTION("""COMPUTED_VALUE"""),"Beef Jerky")</f>
        <v>Beef Jerky</v>
      </c>
      <c r="B676" s="6" t="str">
        <f t="array" ref="B676">INDEX('Raw Data Sales'!F676:F1674, MATCH(A676, 'Raw Data Sales'!E676:E1674, 0))</f>
        <v>Food - Snacks</v>
      </c>
      <c r="C676" s="6">
        <f>SUMIFS('Raw Data Sales'!M676:M1674, 'Raw Data Sales'!E676:E1674,A676)</f>
        <v>99</v>
      </c>
      <c r="D676" s="6">
        <f>SUMIFS('Raw Data Sales'!N676:N1674, 'Raw Data Sales'!E676:E1674, A676)</f>
        <v>357.75</v>
      </c>
      <c r="E676" s="6">
        <f>AVERAGEIFS('Raw Data Sales'!G676:G1674, 'Raw Data Sales'!E676:E1674, A676)</f>
        <v>894.98</v>
      </c>
      <c r="F676" s="6" t="str">
        <f t="shared" si="2"/>
        <v>Zesty Cilantro Lime Dressing</v>
      </c>
    </row>
    <row r="677">
      <c r="A677" s="6" t="str">
        <f>IFERROR(__xludf.DUMMYFUNCTION("""COMPUTED_VALUE"""),"Spaghetti Sauce")</f>
        <v>Spaghetti Sauce</v>
      </c>
      <c r="B677" s="6" t="str">
        <f t="array" ref="B677">INDEX('Raw Data Sales'!F677:F1675, MATCH(A677, 'Raw Data Sales'!E677:E1675, 0))</f>
        <v>Food - Canned Goods</v>
      </c>
      <c r="C677" s="6">
        <f>SUMIFS('Raw Data Sales'!M677:M1675, 'Raw Data Sales'!E677:E1675,A677)</f>
        <v>46</v>
      </c>
      <c r="D677" s="6">
        <f>SUMIFS('Raw Data Sales'!N677:N1675, 'Raw Data Sales'!E677:E1675, A677)</f>
        <v>5584.43</v>
      </c>
      <c r="E677" s="6">
        <f>AVERAGEIFS('Raw Data Sales'!G677:G1675, 'Raw Data Sales'!E677:E1675, A677)</f>
        <v>728.04</v>
      </c>
      <c r="F677" s="6" t="str">
        <f t="shared" si="2"/>
        <v>Zesty Cilantro Lime Dressing</v>
      </c>
    </row>
    <row r="678">
      <c r="A678" s="6" t="str">
        <f>IFERROR(__xludf.DUMMYFUNCTION("""COMPUTED_VALUE"""),"Blue Denim Jeans")</f>
        <v>Blue Denim Jeans</v>
      </c>
      <c r="B678" s="6" t="str">
        <f t="array" ref="B678">INDEX('Raw Data Sales'!F678:F1676, MATCH(A678, 'Raw Data Sales'!E678:E1676, 0))</f>
        <v>Clothing - Bottoms</v>
      </c>
      <c r="C678" s="6">
        <f>SUMIFS('Raw Data Sales'!M678:M1676, 'Raw Data Sales'!E678:E1676,A678)</f>
        <v>79</v>
      </c>
      <c r="D678" s="6">
        <f>SUMIFS('Raw Data Sales'!N678:N1676, 'Raw Data Sales'!E678:E1676, A678)</f>
        <v>6037.89</v>
      </c>
      <c r="E678" s="6">
        <f>AVERAGEIFS('Raw Data Sales'!G678:G1676, 'Raw Data Sales'!E678:E1676, A678)</f>
        <v>74.75</v>
      </c>
      <c r="F678" s="6" t="str">
        <f t="shared" si="2"/>
        <v>Zesty Cilantro Lime Dressing</v>
      </c>
    </row>
    <row r="679">
      <c r="A679" s="6" t="str">
        <f>IFERROR(__xludf.DUMMYFUNCTION("""COMPUTED_VALUE"""),"Digital Food Scale")</f>
        <v>Digital Food Scale</v>
      </c>
      <c r="B679" s="6" t="str">
        <f t="array" ref="B679">INDEX('Raw Data Sales'!F679:F1677, MATCH(A679, 'Raw Data Sales'!E679:E1677, 0))</f>
        <v>Kitchen</v>
      </c>
      <c r="C679" s="6">
        <f>SUMIFS('Raw Data Sales'!M679:M1677, 'Raw Data Sales'!E679:E1677,A679)</f>
        <v>26</v>
      </c>
      <c r="D679" s="6">
        <f>SUMIFS('Raw Data Sales'!N679:N1677, 'Raw Data Sales'!E679:E1677, A679)</f>
        <v>1661.51</v>
      </c>
      <c r="E679" s="6">
        <f>AVERAGEIFS('Raw Data Sales'!G679:G1677, 'Raw Data Sales'!E679:E1677, A679)</f>
        <v>187.51</v>
      </c>
      <c r="F679" s="6" t="str">
        <f t="shared" si="2"/>
        <v>Zesty Cilantro Lime Dressing</v>
      </c>
    </row>
    <row r="680">
      <c r="A680" s="6" t="str">
        <f>IFERROR(__xludf.DUMMYFUNCTION("""COMPUTED_VALUE"""),"Butternut Squash Soup")</f>
        <v>Butternut Squash Soup</v>
      </c>
      <c r="B680" s="6" t="str">
        <f t="array" ref="B680">INDEX('Raw Data Sales'!F680:F1678, MATCH(A680, 'Raw Data Sales'!E680:E1678, 0))</f>
        <v>Food - Soups</v>
      </c>
      <c r="C680" s="6">
        <f>SUMIFS('Raw Data Sales'!M680:M1678, 'Raw Data Sales'!E680:E1678,A680)</f>
        <v>75</v>
      </c>
      <c r="D680" s="6">
        <f>SUMIFS('Raw Data Sales'!N680:N1678, 'Raw Data Sales'!E680:E1678, A680)</f>
        <v>9152.05</v>
      </c>
      <c r="E680" s="6">
        <f>AVERAGEIFS('Raw Data Sales'!G680:G1678, 'Raw Data Sales'!E680:E1678, A680)</f>
        <v>733.23</v>
      </c>
      <c r="F680" s="6" t="str">
        <f t="shared" si="2"/>
        <v>Zesty Cilantro Lime Dressing</v>
      </c>
    </row>
    <row r="681">
      <c r="A681" s="6" t="str">
        <f>IFERROR(__xludf.DUMMYFUNCTION("""COMPUTED_VALUE"""),"Caramel Sauce")</f>
        <v>Caramel Sauce</v>
      </c>
      <c r="B681" s="6" t="str">
        <f t="array" ref="B681">INDEX('Raw Data Sales'!F681:F1679, MATCH(A681, 'Raw Data Sales'!E681:E1679, 0))</f>
        <v>Food - Condiments</v>
      </c>
      <c r="C681" s="6">
        <f>SUMIFS('Raw Data Sales'!M681:M1679, 'Raw Data Sales'!E681:E1679,A681)</f>
        <v>95</v>
      </c>
      <c r="D681" s="6">
        <f>SUMIFS('Raw Data Sales'!N681:N1679, 'Raw Data Sales'!E681:E1679, A681)</f>
        <v>2298.82</v>
      </c>
      <c r="E681" s="6">
        <f>AVERAGEIFS('Raw Data Sales'!G681:G1679, 'Raw Data Sales'!E681:E1679, A681)</f>
        <v>759.88</v>
      </c>
      <c r="F681" s="6" t="str">
        <f t="shared" si="2"/>
        <v>Zesty Cilantro Lime Dressing</v>
      </c>
    </row>
    <row r="682">
      <c r="A682" s="6" t="str">
        <f>IFERROR(__xludf.DUMMYFUNCTION("""COMPUTED_VALUE"""),"Baking Powder")</f>
        <v>Baking Powder</v>
      </c>
      <c r="B682" s="6" t="str">
        <f t="array" ref="B682">INDEX('Raw Data Sales'!F682:F1680, MATCH(A682, 'Raw Data Sales'!E682:E1680, 0))</f>
        <v>Food - Baking Goods</v>
      </c>
      <c r="C682" s="6">
        <f>SUMIFS('Raw Data Sales'!M682:M1680, 'Raw Data Sales'!E682:E1680,A682)</f>
        <v>24</v>
      </c>
      <c r="D682" s="6">
        <f>SUMIFS('Raw Data Sales'!N682:N1680, 'Raw Data Sales'!E682:E1680, A682)</f>
        <v>5819.35</v>
      </c>
      <c r="E682" s="6">
        <f>AVERAGEIFS('Raw Data Sales'!G682:G1680, 'Raw Data Sales'!E682:E1680, A682)</f>
        <v>786.57</v>
      </c>
      <c r="F682" s="6" t="str">
        <f t="shared" si="2"/>
        <v>Zesty Cilantro Lime Dressing</v>
      </c>
    </row>
    <row r="683">
      <c r="A683" s="6" t="str">
        <f>IFERROR(__xludf.DUMMYFUNCTION("""COMPUTED_VALUE"""),"Tahini")</f>
        <v>Tahini</v>
      </c>
      <c r="B683" s="6" t="str">
        <f t="array" ref="B683">INDEX('Raw Data Sales'!F683:F1681, MATCH(A683, 'Raw Data Sales'!E683:E1681, 0))</f>
        <v>Food - Condiments</v>
      </c>
      <c r="C683" s="6">
        <f>SUMIFS('Raw Data Sales'!M683:M1681, 'Raw Data Sales'!E683:E1681,A683)</f>
        <v>87</v>
      </c>
      <c r="D683" s="6">
        <f>SUMIFS('Raw Data Sales'!N683:N1681, 'Raw Data Sales'!E683:E1681, A683)</f>
        <v>3211.56</v>
      </c>
      <c r="E683" s="6">
        <f>AVERAGEIFS('Raw Data Sales'!G683:G1681, 'Raw Data Sales'!E683:E1681, A683)</f>
        <v>654.04</v>
      </c>
      <c r="F683" s="6" t="str">
        <f t="shared" si="2"/>
        <v>Zesty Cilantro Lime Dressing</v>
      </c>
    </row>
    <row r="684">
      <c r="A684" s="6" t="str">
        <f>IFERROR(__xludf.DUMMYFUNCTION("""COMPUTED_VALUE"""),"Strawberry Rhubarb Jam")</f>
        <v>Strawberry Rhubarb Jam</v>
      </c>
      <c r="B684" s="6" t="str">
        <f t="array" ref="B684">INDEX('Raw Data Sales'!F684:F1682, MATCH(A684, 'Raw Data Sales'!E684:E1682, 0))</f>
        <v>Food - Condiments</v>
      </c>
      <c r="C684" s="6">
        <f>SUMIFS('Raw Data Sales'!M684:M1682, 'Raw Data Sales'!E684:E1682,A684)</f>
        <v>23</v>
      </c>
      <c r="D684" s="6">
        <f>SUMIFS('Raw Data Sales'!N684:N1682, 'Raw Data Sales'!E684:E1682, A684)</f>
        <v>7681.43</v>
      </c>
      <c r="E684" s="6">
        <f>AVERAGEIFS('Raw Data Sales'!G684:G1682, 'Raw Data Sales'!E684:E1682, A684)</f>
        <v>572.06</v>
      </c>
      <c r="F684" s="6" t="str">
        <f t="shared" si="2"/>
        <v>Zesty Cilantro Lime Dressing</v>
      </c>
    </row>
    <row r="685">
      <c r="A685" s="6" t="str">
        <f>IFERROR(__xludf.DUMMYFUNCTION("""COMPUTED_VALUE"""),"Car Seat Organizer")</f>
        <v>Car Seat Organizer</v>
      </c>
      <c r="B685" s="6" t="str">
        <f t="array" ref="B685">INDEX('Raw Data Sales'!F685:F1683, MATCH(A685, 'Raw Data Sales'!E685:E1683, 0))</f>
        <v>Automotive</v>
      </c>
      <c r="C685" s="6">
        <f>SUMIFS('Raw Data Sales'!M685:M1683, 'Raw Data Sales'!E685:E1683,A685)</f>
        <v>60</v>
      </c>
      <c r="D685" s="6">
        <f>SUMIFS('Raw Data Sales'!N685:N1683, 'Raw Data Sales'!E685:E1683, A685)</f>
        <v>2214</v>
      </c>
      <c r="E685" s="6">
        <f>AVERAGEIFS('Raw Data Sales'!G685:G1683, 'Raw Data Sales'!E685:E1683, A685)</f>
        <v>647.58</v>
      </c>
      <c r="F685" s="6" t="str">
        <f t="shared" si="2"/>
        <v>Zesty Cilantro Lime Dressing</v>
      </c>
    </row>
    <row r="686">
      <c r="A686" s="6" t="str">
        <f>IFERROR(__xludf.DUMMYFUNCTION("""COMPUTED_VALUE"""),"Cinnamon Raisin Bread")</f>
        <v>Cinnamon Raisin Bread</v>
      </c>
      <c r="B686" s="6" t="str">
        <f t="array" ref="B686">INDEX('Raw Data Sales'!F686:F1684, MATCH(A686, 'Raw Data Sales'!E686:E1684, 0))</f>
        <v>Food - Bakery</v>
      </c>
      <c r="C686" s="6">
        <f>SUMIFS('Raw Data Sales'!M686:M1684, 'Raw Data Sales'!E686:E1684,A686)</f>
        <v>1</v>
      </c>
      <c r="D686" s="6">
        <f>SUMIFS('Raw Data Sales'!N686:N1684, 'Raw Data Sales'!E686:E1684, A686)</f>
        <v>5387.44</v>
      </c>
      <c r="E686" s="6">
        <f>AVERAGEIFS('Raw Data Sales'!G686:G1684, 'Raw Data Sales'!E686:E1684, A686)</f>
        <v>775.19</v>
      </c>
      <c r="F686" s="6" t="str">
        <f t="shared" si="2"/>
        <v>Zesty Cilantro Lime Dressing</v>
      </c>
    </row>
    <row r="687">
      <c r="A687" s="6" t="str">
        <f>IFERROR(__xludf.DUMMYFUNCTION("""COMPUTED_VALUE"""),"Essential White Button-Up")</f>
        <v>Essential White Button-Up</v>
      </c>
      <c r="B687" s="6" t="str">
        <f t="array" ref="B687">INDEX('Raw Data Sales'!F687:F1685, MATCH(A687, 'Raw Data Sales'!E687:E1685, 0))</f>
        <v>Clothing - Shirts</v>
      </c>
      <c r="C687" s="6">
        <f>SUMIFS('Raw Data Sales'!M687:M1685, 'Raw Data Sales'!E687:E1685,A687)</f>
        <v>37</v>
      </c>
      <c r="D687" s="6">
        <f>SUMIFS('Raw Data Sales'!N687:N1685, 'Raw Data Sales'!E687:E1685, A687)</f>
        <v>12782.62</v>
      </c>
      <c r="E687" s="6">
        <f>AVERAGEIFS('Raw Data Sales'!G687:G1685, 'Raw Data Sales'!E687:E1685, A687)</f>
        <v>608.495</v>
      </c>
      <c r="F687" s="6" t="str">
        <f t="shared" si="2"/>
        <v>Zesty Cilantro Lime Dressing</v>
      </c>
    </row>
    <row r="688">
      <c r="A688" s="6" t="str">
        <f>IFERROR(__xludf.DUMMYFUNCTION("""COMPUTED_VALUE"""),"Ginger Snaps")</f>
        <v>Ginger Snaps</v>
      </c>
      <c r="B688" s="6" t="str">
        <f t="array" ref="B688">INDEX('Raw Data Sales'!F688:F1686, MATCH(A688, 'Raw Data Sales'!E688:E1686, 0))</f>
        <v>Food - Confectionery</v>
      </c>
      <c r="C688" s="6">
        <f>SUMIFS('Raw Data Sales'!M688:M1686, 'Raw Data Sales'!E688:E1686,A688)</f>
        <v>18</v>
      </c>
      <c r="D688" s="6">
        <f>SUMIFS('Raw Data Sales'!N688:N1686, 'Raw Data Sales'!E688:E1686, A688)</f>
        <v>3430.17</v>
      </c>
      <c r="E688" s="6">
        <f>AVERAGEIFS('Raw Data Sales'!G688:G1686, 'Raw Data Sales'!E688:E1686, A688)</f>
        <v>186.92</v>
      </c>
      <c r="F688" s="6" t="str">
        <f t="shared" si="2"/>
        <v>Zesty Cilantro Lime Dressing</v>
      </c>
    </row>
    <row r="689">
      <c r="A689" s="6" t="str">
        <f>IFERROR(__xludf.DUMMYFUNCTION("""COMPUTED_VALUE"""),"Garam Masala Spice Blend")</f>
        <v>Garam Masala Spice Blend</v>
      </c>
      <c r="B689" s="6" t="str">
        <f t="array" ref="B689">INDEX('Raw Data Sales'!F689:F1687, MATCH(A689, 'Raw Data Sales'!E689:E1687, 0))</f>
        <v>Food - Spices</v>
      </c>
      <c r="C689" s="6">
        <f>SUMIFS('Raw Data Sales'!M689:M1687, 'Raw Data Sales'!E689:E1687,A689)</f>
        <v>156</v>
      </c>
      <c r="D689" s="6">
        <f>SUMIFS('Raw Data Sales'!N689:N1687, 'Raw Data Sales'!E689:E1687, A689)</f>
        <v>7758.21</v>
      </c>
      <c r="E689" s="6">
        <f>AVERAGEIFS('Raw Data Sales'!G689:G1687, 'Raw Data Sales'!E689:E1687, A689)</f>
        <v>949.91</v>
      </c>
      <c r="F689" s="6" t="str">
        <f t="shared" si="2"/>
        <v>Zesty Cilantro Lime Dressing</v>
      </c>
    </row>
    <row r="690">
      <c r="A690" s="6" t="str">
        <f>IFERROR(__xludf.DUMMYFUNCTION("""COMPUTED_VALUE"""),"Outdoor Camping Lantern")</f>
        <v>Outdoor Camping Lantern</v>
      </c>
      <c r="B690" s="6" t="str">
        <f t="array" ref="B690">INDEX('Raw Data Sales'!F690:F1688, MATCH(A690, 'Raw Data Sales'!E690:E1688, 0))</f>
        <v>Outdoor</v>
      </c>
      <c r="C690" s="6">
        <f>SUMIFS('Raw Data Sales'!M690:M1688, 'Raw Data Sales'!E690:E1688,A690)</f>
        <v>7</v>
      </c>
      <c r="D690" s="6">
        <f>SUMIFS('Raw Data Sales'!N690:N1688, 'Raw Data Sales'!E690:E1688, A690)</f>
        <v>2679.86</v>
      </c>
      <c r="E690" s="6">
        <f>AVERAGEIFS('Raw Data Sales'!G690:G1688, 'Raw Data Sales'!E690:E1688, A690)</f>
        <v>479.73</v>
      </c>
      <c r="F690" s="6" t="str">
        <f t="shared" si="2"/>
        <v>Zesty Cilantro Lime Dressing</v>
      </c>
    </row>
    <row r="691">
      <c r="A691" s="6" t="str">
        <f>IFERROR(__xludf.DUMMYFUNCTION("""COMPUTED_VALUE"""),"Smartphone Photography Ring Light")</f>
        <v>Smartphone Photography Ring Light</v>
      </c>
      <c r="B691" s="6" t="str">
        <f t="array" ref="B691">INDEX('Raw Data Sales'!F691:F1689, MATCH(A691, 'Raw Data Sales'!E691:E1689, 0))</f>
        <v>Photography</v>
      </c>
      <c r="C691" s="6">
        <f>SUMIFS('Raw Data Sales'!M691:M1689, 'Raw Data Sales'!E691:E1689,A691)</f>
        <v>60</v>
      </c>
      <c r="D691" s="6">
        <f>SUMIFS('Raw Data Sales'!N691:N1689, 'Raw Data Sales'!E691:E1689, A691)</f>
        <v>5072.98</v>
      </c>
      <c r="E691" s="6">
        <f>AVERAGEIFS('Raw Data Sales'!G691:G1689, 'Raw Data Sales'!E691:E1689, A691)</f>
        <v>56.45</v>
      </c>
      <c r="F691" s="6" t="str">
        <f t="shared" si="2"/>
        <v>Zesty Cilantro Lime Dressing</v>
      </c>
    </row>
    <row r="692">
      <c r="A692" s="6" t="str">
        <f>IFERROR(__xludf.DUMMYFUNCTION("""COMPUTED_VALUE"""),"Scent Diffuser")</f>
        <v>Scent Diffuser</v>
      </c>
      <c r="B692" s="6" t="str">
        <f t="array" ref="B692">INDEX('Raw Data Sales'!F692:F1690, MATCH(A692, 'Raw Data Sales'!E692:E1690, 0))</f>
        <v>Home</v>
      </c>
      <c r="C692" s="6">
        <f>SUMIFS('Raw Data Sales'!M692:M1690, 'Raw Data Sales'!E692:E1690,A692)</f>
        <v>63</v>
      </c>
      <c r="D692" s="6">
        <f>SUMIFS('Raw Data Sales'!N692:N1690, 'Raw Data Sales'!E692:E1690, A692)</f>
        <v>1881.03</v>
      </c>
      <c r="E692" s="6">
        <f>AVERAGEIFS('Raw Data Sales'!G692:G1690, 'Raw Data Sales'!E692:E1690, A692)</f>
        <v>551.86</v>
      </c>
      <c r="F692" s="6" t="str">
        <f t="shared" si="2"/>
        <v>Zesty Cilantro Lime Dressing</v>
      </c>
    </row>
    <row r="693">
      <c r="A693" s="6" t="str">
        <f>IFERROR(__xludf.DUMMYFUNCTION("""COMPUTED_VALUE"""),"Dish Rack")</f>
        <v>Dish Rack</v>
      </c>
      <c r="B693" s="6" t="str">
        <f t="array" ref="B693">INDEX('Raw Data Sales'!F693:F1691, MATCH(A693, 'Raw Data Sales'!E693:E1691, 0))</f>
        <v>Kitchen</v>
      </c>
      <c r="C693" s="6">
        <f>SUMIFS('Raw Data Sales'!M693:M1691, 'Raw Data Sales'!E693:E1691,A693)</f>
        <v>93</v>
      </c>
      <c r="D693" s="6">
        <f>SUMIFS('Raw Data Sales'!N693:N1691, 'Raw Data Sales'!E693:E1691, A693)</f>
        <v>9316.45</v>
      </c>
      <c r="E693" s="6">
        <f>AVERAGEIFS('Raw Data Sales'!G693:G1691, 'Raw Data Sales'!E693:E1691, A693)</f>
        <v>39.69</v>
      </c>
      <c r="F693" s="6" t="str">
        <f t="shared" si="2"/>
        <v>Zesty Cilantro Lime Dressing</v>
      </c>
    </row>
    <row r="694">
      <c r="A694" s="6" t="str">
        <f>IFERROR(__xludf.DUMMYFUNCTION("""COMPUTED_VALUE"""),"Compact Digital Camera")</f>
        <v>Compact Digital Camera</v>
      </c>
      <c r="B694" s="6" t="str">
        <f t="array" ref="B694">INDEX('Raw Data Sales'!F694:F1692, MATCH(A694, 'Raw Data Sales'!E694:E1692, 0))</f>
        <v>Photography</v>
      </c>
      <c r="C694" s="6">
        <f>SUMIFS('Raw Data Sales'!M694:M1692, 'Raw Data Sales'!E694:E1692,A694)</f>
        <v>27</v>
      </c>
      <c r="D694" s="6">
        <f>SUMIFS('Raw Data Sales'!N694:N1692, 'Raw Data Sales'!E694:E1692, A694)</f>
        <v>9399.51</v>
      </c>
      <c r="E694" s="6">
        <f>AVERAGEIFS('Raw Data Sales'!G694:G1692, 'Raw Data Sales'!E694:E1692, A694)</f>
        <v>837.01</v>
      </c>
      <c r="F694" s="6" t="str">
        <f t="shared" si="2"/>
        <v>Zesty Cilantro Lime Dressing</v>
      </c>
    </row>
    <row r="695">
      <c r="A695" s="6" t="str">
        <f>IFERROR(__xludf.DUMMYFUNCTION("""COMPUTED_VALUE"""),"Whole Chicken")</f>
        <v>Whole Chicken</v>
      </c>
      <c r="B695" s="6" t="str">
        <f t="array" ref="B695">INDEX('Raw Data Sales'!F695:F1693, MATCH(A695, 'Raw Data Sales'!E695:E1693, 0))</f>
        <v>Food - Meat</v>
      </c>
      <c r="C695" s="6">
        <f>SUMIFS('Raw Data Sales'!M695:M1693, 'Raw Data Sales'!E695:E1693,A695)</f>
        <v>24</v>
      </c>
      <c r="D695" s="6">
        <f>SUMIFS('Raw Data Sales'!N695:N1693, 'Raw Data Sales'!E695:E1693, A695)</f>
        <v>5229.8</v>
      </c>
      <c r="E695" s="6">
        <f>AVERAGEIFS('Raw Data Sales'!G695:G1693, 'Raw Data Sales'!E695:E1693, A695)</f>
        <v>977.44</v>
      </c>
      <c r="F695" s="6" t="str">
        <f t="shared" si="2"/>
        <v>Zesty Cilantro Lime Dressing</v>
      </c>
    </row>
    <row r="696">
      <c r="A696" s="6" t="str">
        <f>IFERROR(__xludf.DUMMYFUNCTION("""COMPUTED_VALUE"""),"Cajun Seasoning")</f>
        <v>Cajun Seasoning</v>
      </c>
      <c r="B696" s="6" t="str">
        <f t="array" ref="B696">INDEX('Raw Data Sales'!F696:F1694, MATCH(A696, 'Raw Data Sales'!E696:E1694, 0))</f>
        <v>Food - Spices</v>
      </c>
      <c r="C696" s="6">
        <f>SUMIFS('Raw Data Sales'!M696:M1694, 'Raw Data Sales'!E696:E1694,A696)</f>
        <v>52</v>
      </c>
      <c r="D696" s="6">
        <f>SUMIFS('Raw Data Sales'!N696:N1694, 'Raw Data Sales'!E696:E1694, A696)</f>
        <v>5838.39</v>
      </c>
      <c r="E696" s="6">
        <f>AVERAGEIFS('Raw Data Sales'!G696:G1694, 'Raw Data Sales'!E696:E1694, A696)</f>
        <v>307.3</v>
      </c>
      <c r="F696" s="6" t="str">
        <f t="shared" si="2"/>
        <v>Zesty Cilantro Lime Dressing</v>
      </c>
    </row>
    <row r="697">
      <c r="A697" s="6" t="str">
        <f>IFERROR(__xludf.DUMMYFUNCTION("""COMPUTED_VALUE"""),"Men's Waterproof Hiking Boots")</f>
        <v>Men's Waterproof Hiking Boots</v>
      </c>
      <c r="B697" s="6" t="str">
        <f t="array" ref="B697">INDEX('Raw Data Sales'!F697:F1695, MATCH(A697, 'Raw Data Sales'!E697:E1695, 0))</f>
        <v>Footwear</v>
      </c>
      <c r="C697" s="6">
        <f>SUMIFS('Raw Data Sales'!M697:M1695, 'Raw Data Sales'!E697:E1695,A697)</f>
        <v>90</v>
      </c>
      <c r="D697" s="6">
        <f>SUMIFS('Raw Data Sales'!N697:N1695, 'Raw Data Sales'!E697:E1695, A697)</f>
        <v>1607.64</v>
      </c>
      <c r="E697" s="6">
        <f>AVERAGEIFS('Raw Data Sales'!G697:G1695, 'Raw Data Sales'!E697:E1695, A697)</f>
        <v>948.38</v>
      </c>
      <c r="F697" s="6" t="str">
        <f t="shared" si="2"/>
        <v>Zesty Cilantro Lime Dressing</v>
      </c>
    </row>
    <row r="698">
      <c r="A698" s="6" t="str">
        <f>IFERROR(__xludf.DUMMYFUNCTION("""COMPUTED_VALUE"""),"Athletic Jogging Jacket")</f>
        <v>Athletic Jogging Jacket</v>
      </c>
      <c r="B698" s="6" t="str">
        <f t="array" ref="B698">INDEX('Raw Data Sales'!F698:F1696, MATCH(A698, 'Raw Data Sales'!E698:E1696, 0))</f>
        <v>Clothing - Outerwear</v>
      </c>
      <c r="C698" s="6">
        <f>SUMIFS('Raw Data Sales'!M698:M1696, 'Raw Data Sales'!E698:E1696,A698)</f>
        <v>92</v>
      </c>
      <c r="D698" s="6">
        <f>SUMIFS('Raw Data Sales'!N698:N1696, 'Raw Data Sales'!E698:E1696, A698)</f>
        <v>8234.77</v>
      </c>
      <c r="E698" s="6">
        <f>AVERAGEIFS('Raw Data Sales'!G698:G1696, 'Raw Data Sales'!E698:E1696, A698)</f>
        <v>731.84</v>
      </c>
      <c r="F698" s="6" t="str">
        <f t="shared" si="2"/>
        <v>Zesty Cilantro Lime Dressing</v>
      </c>
    </row>
    <row r="699">
      <c r="A699" s="6" t="str">
        <f>IFERROR(__xludf.DUMMYFUNCTION("""COMPUTED_VALUE"""),"Wine Glasses")</f>
        <v>Wine Glasses</v>
      </c>
      <c r="B699" s="6" t="str">
        <f t="array" ref="B699">INDEX('Raw Data Sales'!F699:F1697, MATCH(A699, 'Raw Data Sales'!E699:E1697, 0))</f>
        <v>Home</v>
      </c>
      <c r="C699" s="6">
        <f>SUMIFS('Raw Data Sales'!M699:M1697, 'Raw Data Sales'!E699:E1697,A699)</f>
        <v>83</v>
      </c>
      <c r="D699" s="6">
        <f>SUMIFS('Raw Data Sales'!N699:N1697, 'Raw Data Sales'!E699:E1697, A699)</f>
        <v>4207.97</v>
      </c>
      <c r="E699" s="6">
        <f>AVERAGEIFS('Raw Data Sales'!G699:G1697, 'Raw Data Sales'!E699:E1697, A699)</f>
        <v>486.1</v>
      </c>
      <c r="F699" s="6" t="str">
        <f t="shared" si="2"/>
        <v>Zesty Cilantro Lime Dressing</v>
      </c>
    </row>
    <row r="700">
      <c r="A700" s="6" t="str">
        <f>IFERROR(__xludf.DUMMYFUNCTION("""COMPUTED_VALUE"""),"Kettle BBQ Grill")</f>
        <v>Kettle BBQ Grill</v>
      </c>
      <c r="B700" s="6" t="str">
        <f t="array" ref="B700">INDEX('Raw Data Sales'!F700:F1698, MATCH(A700, 'Raw Data Sales'!E700:E1698, 0))</f>
        <v>Outdoor</v>
      </c>
      <c r="C700" s="6">
        <f>SUMIFS('Raw Data Sales'!M700:M1698, 'Raw Data Sales'!E700:E1698,A700)</f>
        <v>36</v>
      </c>
      <c r="D700" s="6">
        <f>SUMIFS('Raw Data Sales'!N700:N1698, 'Raw Data Sales'!E700:E1698, A700)</f>
        <v>754.85</v>
      </c>
      <c r="E700" s="6">
        <f>AVERAGEIFS('Raw Data Sales'!G700:G1698, 'Raw Data Sales'!E700:E1698, A700)</f>
        <v>41.99</v>
      </c>
      <c r="F700" s="6" t="str">
        <f t="shared" si="2"/>
        <v>Zesty Cilantro Lime Dressing</v>
      </c>
    </row>
    <row r="701">
      <c r="A701" s="6" t="str">
        <f>IFERROR(__xludf.DUMMYFUNCTION("""COMPUTED_VALUE"""),"Honey Mustard Sauce")</f>
        <v>Honey Mustard Sauce</v>
      </c>
      <c r="B701" s="6" t="str">
        <f t="array" ref="B701">INDEX('Raw Data Sales'!F701:F1699, MATCH(A701, 'Raw Data Sales'!E701:E1699, 0))</f>
        <v>Food - Condiments</v>
      </c>
      <c r="C701" s="6">
        <f>SUMIFS('Raw Data Sales'!M701:M1699, 'Raw Data Sales'!E701:E1699,A701)</f>
        <v>7</v>
      </c>
      <c r="D701" s="6">
        <f>SUMIFS('Raw Data Sales'!N701:N1699, 'Raw Data Sales'!E701:E1699, A701)</f>
        <v>3153.48</v>
      </c>
      <c r="E701" s="6">
        <f>AVERAGEIFS('Raw Data Sales'!G701:G1699, 'Raw Data Sales'!E701:E1699, A701)</f>
        <v>441.47</v>
      </c>
      <c r="F701" s="6" t="str">
        <f t="shared" si="2"/>
        <v>Zesty Cilantro Lime Dressing</v>
      </c>
    </row>
    <row r="702">
      <c r="A702" s="6" t="str">
        <f>IFERROR(__xludf.DUMMYFUNCTION("""COMPUTED_VALUE"""),"Handheld Vacuum")</f>
        <v>Handheld Vacuum</v>
      </c>
      <c r="B702" s="6" t="str">
        <f t="array" ref="B702">INDEX('Raw Data Sales'!F702:F1700, MATCH(A702, 'Raw Data Sales'!E702:E1700, 0))</f>
        <v>Home Appliances</v>
      </c>
      <c r="C702" s="6">
        <f>SUMIFS('Raw Data Sales'!M702:M1700, 'Raw Data Sales'!E702:E1700,A702)</f>
        <v>63</v>
      </c>
      <c r="D702" s="6">
        <f>SUMIFS('Raw Data Sales'!N702:N1700, 'Raw Data Sales'!E702:E1700, A702)</f>
        <v>5727.84</v>
      </c>
      <c r="E702" s="6">
        <f>AVERAGEIFS('Raw Data Sales'!G702:G1700, 'Raw Data Sales'!E702:E1700, A702)</f>
        <v>586.2</v>
      </c>
      <c r="F702" s="6" t="str">
        <f t="shared" si="2"/>
        <v>Zesty Cilantro Lime Dressing</v>
      </c>
    </row>
    <row r="703">
      <c r="A703" s="6" t="str">
        <f>IFERROR(__xludf.DUMMYFUNCTION("""COMPUTED_VALUE"""),"Canvas High-Top Sneakers")</f>
        <v>Canvas High-Top Sneakers</v>
      </c>
      <c r="B703" s="6" t="str">
        <f t="array" ref="B703">INDEX('Raw Data Sales'!F703:F1701, MATCH(A703, 'Raw Data Sales'!E703:E1701, 0))</f>
        <v>Clothing - Footwear</v>
      </c>
      <c r="C703" s="6">
        <f>SUMIFS('Raw Data Sales'!M703:M1701, 'Raw Data Sales'!E703:E1701,A703)</f>
        <v>79</v>
      </c>
      <c r="D703" s="6">
        <f>SUMIFS('Raw Data Sales'!N703:N1701, 'Raw Data Sales'!E703:E1701, A703)</f>
        <v>6223.86</v>
      </c>
      <c r="E703" s="6">
        <f>AVERAGEIFS('Raw Data Sales'!G703:G1701, 'Raw Data Sales'!E703:E1701, A703)</f>
        <v>692.18</v>
      </c>
      <c r="F703" s="6" t="str">
        <f t="shared" si="2"/>
        <v>Zesty Cilantro Lime Dressing</v>
      </c>
    </row>
    <row r="704">
      <c r="A704" s="6" t="str">
        <f>IFERROR(__xludf.DUMMYFUNCTION("""COMPUTED_VALUE"""),"Lemon Zest Olive Oil")</f>
        <v>Lemon Zest Olive Oil</v>
      </c>
      <c r="B704" s="6" t="str">
        <f t="array" ref="B704">INDEX('Raw Data Sales'!F704:F1702, MATCH(A704, 'Raw Data Sales'!E704:E1702, 0))</f>
        <v>Food - Oils &amp; Vinegars</v>
      </c>
      <c r="C704" s="6">
        <f>SUMIFS('Raw Data Sales'!M704:M1702, 'Raw Data Sales'!E704:E1702,A704)</f>
        <v>20</v>
      </c>
      <c r="D704" s="6">
        <f>SUMIFS('Raw Data Sales'!N704:N1702, 'Raw Data Sales'!E704:E1702, A704)</f>
        <v>2158.29</v>
      </c>
      <c r="E704" s="6">
        <f>AVERAGEIFS('Raw Data Sales'!G704:G1702, 'Raw Data Sales'!E704:E1702, A704)</f>
        <v>384.7</v>
      </c>
      <c r="F704" s="6" t="str">
        <f t="shared" si="2"/>
        <v>Zesty Cilantro Lime Dressing</v>
      </c>
    </row>
    <row r="705">
      <c r="A705" s="6" t="str">
        <f>IFERROR(__xludf.DUMMYFUNCTION("""COMPUTED_VALUE"""),"Natural Peanut Butter")</f>
        <v>Natural Peanut Butter</v>
      </c>
      <c r="B705" s="6" t="str">
        <f t="array" ref="B705">INDEX('Raw Data Sales'!F705:F1703, MATCH(A705, 'Raw Data Sales'!E705:E1703, 0))</f>
        <v>Food - Spreads</v>
      </c>
      <c r="C705" s="6">
        <f>SUMIFS('Raw Data Sales'!M705:M1703, 'Raw Data Sales'!E705:E1703,A705)</f>
        <v>36</v>
      </c>
      <c r="D705" s="6">
        <f>SUMIFS('Raw Data Sales'!N705:N1703, 'Raw Data Sales'!E705:E1703, A705)</f>
        <v>9699.62</v>
      </c>
      <c r="E705" s="6">
        <f>AVERAGEIFS('Raw Data Sales'!G705:G1703, 'Raw Data Sales'!E705:E1703, A705)</f>
        <v>314.5</v>
      </c>
      <c r="F705" s="6" t="str">
        <f t="shared" si="2"/>
        <v>Zesty Cilantro Lime Dressing</v>
      </c>
    </row>
    <row r="706">
      <c r="A706" s="6" t="str">
        <f>IFERROR(__xludf.DUMMYFUNCTION("""COMPUTED_VALUE"""),"Pet Travel Backpack Carrier")</f>
        <v>Pet Travel Backpack Carrier</v>
      </c>
      <c r="B706" s="6" t="str">
        <f t="array" ref="B706">INDEX('Raw Data Sales'!F706:F1704, MATCH(A706, 'Raw Data Sales'!E706:E1704, 0))</f>
        <v>Pets</v>
      </c>
      <c r="C706" s="6">
        <f>SUMIFS('Raw Data Sales'!M706:M1704, 'Raw Data Sales'!E706:E1704,A706)</f>
        <v>80</v>
      </c>
      <c r="D706" s="6">
        <f>SUMIFS('Raw Data Sales'!N706:N1704, 'Raw Data Sales'!E706:E1704, A706)</f>
        <v>11371.02</v>
      </c>
      <c r="E706" s="6">
        <f>AVERAGEIFS('Raw Data Sales'!G706:G1704, 'Raw Data Sales'!E706:E1704, A706)</f>
        <v>571.985</v>
      </c>
      <c r="F706" s="6" t="str">
        <f t="shared" si="2"/>
        <v>Zesty Cilantro Lime Dressing</v>
      </c>
    </row>
    <row r="707">
      <c r="A707" s="6" t="str">
        <f>IFERROR(__xludf.DUMMYFUNCTION("""COMPUTED_VALUE"""),"Wildflower Honey")</f>
        <v>Wildflower Honey</v>
      </c>
      <c r="B707" s="6" t="str">
        <f t="array" ref="B707">INDEX('Raw Data Sales'!F707:F1705, MATCH(A707, 'Raw Data Sales'!E707:E1705, 0))</f>
        <v>Food - Condiments</v>
      </c>
      <c r="C707" s="6">
        <f>SUMIFS('Raw Data Sales'!M707:M1705, 'Raw Data Sales'!E707:E1705,A707)</f>
        <v>40</v>
      </c>
      <c r="D707" s="6">
        <f>SUMIFS('Raw Data Sales'!N707:N1705, 'Raw Data Sales'!E707:E1705, A707)</f>
        <v>3123.59</v>
      </c>
      <c r="E707" s="6">
        <f>AVERAGEIFS('Raw Data Sales'!G707:G1705, 'Raw Data Sales'!E707:E1705, A707)</f>
        <v>654.85</v>
      </c>
      <c r="F707" s="6" t="str">
        <f t="shared" si="2"/>
        <v>Zesty Cilantro Lime Dressing</v>
      </c>
    </row>
    <row r="708">
      <c r="A708" s="6" t="str">
        <f>IFERROR(__xludf.DUMMYFUNCTION("""COMPUTED_VALUE"""),"Organic Chia Seeds")</f>
        <v>Organic Chia Seeds</v>
      </c>
      <c r="B708" s="6" t="str">
        <f t="array" ref="B708">INDEX('Raw Data Sales'!F708:F1706, MATCH(A708, 'Raw Data Sales'!E708:E1706, 0))</f>
        <v>Food - Health Foods</v>
      </c>
      <c r="C708" s="6">
        <f>SUMIFS('Raw Data Sales'!M708:M1706, 'Raw Data Sales'!E708:E1706,A708)</f>
        <v>99</v>
      </c>
      <c r="D708" s="6">
        <f>SUMIFS('Raw Data Sales'!N708:N1706, 'Raw Data Sales'!E708:E1706, A708)</f>
        <v>7361.51</v>
      </c>
      <c r="E708" s="6">
        <f>AVERAGEIFS('Raw Data Sales'!G708:G1706, 'Raw Data Sales'!E708:E1706, A708)</f>
        <v>19.95</v>
      </c>
      <c r="F708" s="6" t="str">
        <f t="shared" si="2"/>
        <v>Zesty Cilantro Lime Dressing</v>
      </c>
    </row>
    <row r="709">
      <c r="A709" s="6" t="str">
        <f>IFERROR(__xludf.DUMMYFUNCTION("""COMPUTED_VALUE"""),"Noise Reduction Headphones")</f>
        <v>Noise Reduction Headphones</v>
      </c>
      <c r="B709" s="6" t="str">
        <f t="array" ref="B709">INDEX('Raw Data Sales'!F709:F1707, MATCH(A709, 'Raw Data Sales'!E709:E1707, 0))</f>
        <v>Audio</v>
      </c>
      <c r="C709" s="6">
        <f>SUMIFS('Raw Data Sales'!M709:M1707, 'Raw Data Sales'!E709:E1707,A709)</f>
        <v>64</v>
      </c>
      <c r="D709" s="6">
        <f>SUMIFS('Raw Data Sales'!N709:N1707, 'Raw Data Sales'!E709:E1707, A709)</f>
        <v>5616.71</v>
      </c>
      <c r="E709" s="6">
        <f>AVERAGEIFS('Raw Data Sales'!G709:G1707, 'Raw Data Sales'!E709:E1707, A709)</f>
        <v>713.62</v>
      </c>
      <c r="F709" s="6" t="str">
        <f t="shared" si="2"/>
        <v>Zesty Cilantro Lime Dressing</v>
      </c>
    </row>
    <row r="710">
      <c r="A710" s="6" t="str">
        <f>IFERROR(__xludf.DUMMYFUNCTION("""COMPUTED_VALUE"""),"LED Christmas Lights")</f>
        <v>LED Christmas Lights</v>
      </c>
      <c r="B710" s="6" t="str">
        <f t="array" ref="B710">INDEX('Raw Data Sales'!F710:F1708, MATCH(A710, 'Raw Data Sales'!E710:E1708, 0))</f>
        <v>Home</v>
      </c>
      <c r="C710" s="6">
        <f>SUMIFS('Raw Data Sales'!M710:M1708, 'Raw Data Sales'!E710:E1708,A710)</f>
        <v>53</v>
      </c>
      <c r="D710" s="6">
        <f>SUMIFS('Raw Data Sales'!N710:N1708, 'Raw Data Sales'!E710:E1708, A710)</f>
        <v>6720.91</v>
      </c>
      <c r="E710" s="6">
        <f>AVERAGEIFS('Raw Data Sales'!G710:G1708, 'Raw Data Sales'!E710:E1708, A710)</f>
        <v>906.29</v>
      </c>
      <c r="F710" s="6" t="str">
        <f t="shared" si="2"/>
        <v>Zesty Cilantro Lime Dressing</v>
      </c>
    </row>
    <row r="711">
      <c r="A711" s="6" t="str">
        <f>IFERROR(__xludf.DUMMYFUNCTION("""COMPUTED_VALUE"""),"Breathable Face Mask Set")</f>
        <v>Breathable Face Mask Set</v>
      </c>
      <c r="B711" s="6" t="str">
        <f t="array" ref="B711">INDEX('Raw Data Sales'!F711:F1709, MATCH(A711, 'Raw Data Sales'!E711:E1709, 0))</f>
        <v>Health</v>
      </c>
      <c r="C711" s="6">
        <f>SUMIFS('Raw Data Sales'!M711:M1709, 'Raw Data Sales'!E711:E1709,A711)</f>
        <v>49</v>
      </c>
      <c r="D711" s="6">
        <f>SUMIFS('Raw Data Sales'!N711:N1709, 'Raw Data Sales'!E711:E1709, A711)</f>
        <v>7420.73</v>
      </c>
      <c r="E711" s="6">
        <f>AVERAGEIFS('Raw Data Sales'!G711:G1709, 'Raw Data Sales'!E711:E1709, A711)</f>
        <v>465.83</v>
      </c>
      <c r="F711" s="6" t="str">
        <f t="shared" si="2"/>
        <v>Zesty Cilantro Lime Dressing</v>
      </c>
    </row>
    <row r="712">
      <c r="A712" s="6" t="str">
        <f>IFERROR(__xludf.DUMMYFUNCTION("""COMPUTED_VALUE"""),"Classic Caesar Salad Kit")</f>
        <v>Classic Caesar Salad Kit</v>
      </c>
      <c r="B712" s="6" t="str">
        <f t="array" ref="B712">INDEX('Raw Data Sales'!F712:F1710, MATCH(A712, 'Raw Data Sales'!E712:E1710, 0))</f>
        <v>Food - Salads</v>
      </c>
      <c r="C712" s="6">
        <f>SUMIFS('Raw Data Sales'!M712:M1710, 'Raw Data Sales'!E712:E1710,A712)</f>
        <v>114</v>
      </c>
      <c r="D712" s="6">
        <f>SUMIFS('Raw Data Sales'!N712:N1710, 'Raw Data Sales'!E712:E1710, A712)</f>
        <v>8684.04</v>
      </c>
      <c r="E712" s="6">
        <f>AVERAGEIFS('Raw Data Sales'!G712:G1710, 'Raw Data Sales'!E712:E1710, A712)</f>
        <v>779.205</v>
      </c>
      <c r="F712" s="6" t="str">
        <f t="shared" si="2"/>
        <v>Zesty Cilantro Lime Dressing</v>
      </c>
    </row>
    <row r="713">
      <c r="A713" s="6" t="str">
        <f>IFERROR(__xludf.DUMMYFUNCTION("""COMPUTED_VALUE"""),"Self-Inflating Camping Mattress")</f>
        <v>Self-Inflating Camping Mattress</v>
      </c>
      <c r="B713" s="6" t="str">
        <f t="array" ref="B713">INDEX('Raw Data Sales'!F713:F1711, MATCH(A713, 'Raw Data Sales'!E713:E1711, 0))</f>
        <v>Outdoor</v>
      </c>
      <c r="C713" s="6">
        <f>SUMIFS('Raw Data Sales'!M713:M1711, 'Raw Data Sales'!E713:E1711,A713)</f>
        <v>92</v>
      </c>
      <c r="D713" s="6">
        <f>SUMIFS('Raw Data Sales'!N713:N1711, 'Raw Data Sales'!E713:E1711, A713)</f>
        <v>4089.06</v>
      </c>
      <c r="E713" s="6">
        <f>AVERAGEIFS('Raw Data Sales'!G713:G1711, 'Raw Data Sales'!E713:E1711, A713)</f>
        <v>893.34</v>
      </c>
      <c r="F713" s="6" t="str">
        <f t="shared" si="2"/>
        <v>Zesty Cilantro Lime Dressing</v>
      </c>
    </row>
    <row r="714">
      <c r="A714" s="6" t="str">
        <f>IFERROR(__xludf.DUMMYFUNCTION("""COMPUTED_VALUE"""),"Decorative Throw Blanket")</f>
        <v>Decorative Throw Blanket</v>
      </c>
      <c r="B714" s="6" t="str">
        <f t="array" ref="B714">INDEX('Raw Data Sales'!F714:F1712, MATCH(A714, 'Raw Data Sales'!E714:E1712, 0))</f>
        <v>Home</v>
      </c>
      <c r="C714" s="6">
        <f>SUMIFS('Raw Data Sales'!M714:M1712, 'Raw Data Sales'!E714:E1712,A714)</f>
        <v>24</v>
      </c>
      <c r="D714" s="6">
        <f>SUMIFS('Raw Data Sales'!N714:N1712, 'Raw Data Sales'!E714:E1712, A714)</f>
        <v>9536.18</v>
      </c>
      <c r="E714" s="6">
        <f>AVERAGEIFS('Raw Data Sales'!G714:G1712, 'Raw Data Sales'!E714:E1712, A714)</f>
        <v>454.51</v>
      </c>
      <c r="F714" s="6" t="str">
        <f t="shared" si="2"/>
        <v>Zesty Cilantro Lime Dressing</v>
      </c>
    </row>
    <row r="715">
      <c r="A715" s="6" t="str">
        <f>IFERROR(__xludf.DUMMYFUNCTION("""COMPUTED_VALUE"""),"Electric Heat Pad")</f>
        <v>Electric Heat Pad</v>
      </c>
      <c r="B715" s="6" t="str">
        <f t="array" ref="B715">INDEX('Raw Data Sales'!F715:F1713, MATCH(A715, 'Raw Data Sales'!E715:E1713, 0))</f>
        <v>Health</v>
      </c>
      <c r="C715" s="6">
        <f>SUMIFS('Raw Data Sales'!M715:M1713, 'Raw Data Sales'!E715:E1713,A715)</f>
        <v>96</v>
      </c>
      <c r="D715" s="6">
        <f>SUMIFS('Raw Data Sales'!N715:N1713, 'Raw Data Sales'!E715:E1713, A715)</f>
        <v>7199.08</v>
      </c>
      <c r="E715" s="6">
        <f>AVERAGEIFS('Raw Data Sales'!G715:G1713, 'Raw Data Sales'!E715:E1713, A715)</f>
        <v>961.23</v>
      </c>
      <c r="F715" s="6" t="str">
        <f t="shared" si="2"/>
        <v>Zesty Cilantro Lime Dressing</v>
      </c>
    </row>
    <row r="716">
      <c r="A716" s="6" t="str">
        <f>IFERROR(__xludf.DUMMYFUNCTION("""COMPUTED_VALUE"""),"Action Camera")</f>
        <v>Action Camera</v>
      </c>
      <c r="B716" s="6" t="str">
        <f t="array" ref="B716">INDEX('Raw Data Sales'!F716:F1714, MATCH(A716, 'Raw Data Sales'!E716:E1714, 0))</f>
        <v>Electronics</v>
      </c>
      <c r="C716" s="6">
        <f>SUMIFS('Raw Data Sales'!M716:M1714, 'Raw Data Sales'!E716:E1714,A716)</f>
        <v>80</v>
      </c>
      <c r="D716" s="6">
        <f>SUMIFS('Raw Data Sales'!N716:N1714, 'Raw Data Sales'!E716:E1714, A716)</f>
        <v>4948.69</v>
      </c>
      <c r="E716" s="6">
        <f>AVERAGEIFS('Raw Data Sales'!G716:G1714, 'Raw Data Sales'!E716:E1714, A716)</f>
        <v>556.44</v>
      </c>
      <c r="F716" s="6" t="str">
        <f t="array" ref="F716">INDEX(A716:A1714, MATCH(MAX(D716:D1714), D716:D1714, 0))</f>
        <v>Zesty Cilantro Lime Dressing</v>
      </c>
    </row>
    <row r="717">
      <c r="A717" s="6" t="str">
        <f>IFERROR(__xludf.DUMMYFUNCTION("""COMPUTED_VALUE"""),"Cork Yoga Mat")</f>
        <v>Cork Yoga Mat</v>
      </c>
      <c r="B717" s="6" t="str">
        <f t="array" ref="B717">INDEX('Raw Data Sales'!F717:F1715, MATCH(A717, 'Raw Data Sales'!E717:E1715, 0))</f>
        <v>Fitness</v>
      </c>
      <c r="C717" s="6">
        <f>SUMIFS('Raw Data Sales'!M717:M1715, 'Raw Data Sales'!E717:E1715,A717)</f>
        <v>93</v>
      </c>
      <c r="D717" s="6">
        <f>SUMIFS('Raw Data Sales'!N717:N1715, 'Raw Data Sales'!E717:E1715, A717)</f>
        <v>1314.75</v>
      </c>
      <c r="E717" s="6">
        <f>AVERAGEIFS('Raw Data Sales'!G717:G1715, 'Raw Data Sales'!E717:E1715, A717)</f>
        <v>194.95</v>
      </c>
      <c r="F717" s="6" t="str">
        <f t="shared" ref="F717:F775" si="3">INDEX(A717:A2710, MATCH(MAX(D717:D2710), D717:D2710, 0))</f>
        <v>Zesty Cilantro Lime Dressing</v>
      </c>
    </row>
    <row r="718">
      <c r="A718" s="6" t="str">
        <f>IFERROR(__xludf.DUMMYFUNCTION("""COMPUTED_VALUE"""),"Weighted Blanket for Adults")</f>
        <v>Weighted Blanket for Adults</v>
      </c>
      <c r="B718" s="6" t="str">
        <f t="array" ref="B718">INDEX('Raw Data Sales'!F718:F1716, MATCH(A718, 'Raw Data Sales'!E718:E1716, 0))</f>
        <v>Health</v>
      </c>
      <c r="C718" s="6">
        <f>SUMIFS('Raw Data Sales'!M718:M1716, 'Raw Data Sales'!E718:E1716,A718)</f>
        <v>65</v>
      </c>
      <c r="D718" s="6">
        <f>SUMIFS('Raw Data Sales'!N718:N1716, 'Raw Data Sales'!E718:E1716, A718)</f>
        <v>4800.4</v>
      </c>
      <c r="E718" s="6">
        <f>AVERAGEIFS('Raw Data Sales'!G718:G1716, 'Raw Data Sales'!E718:E1716, A718)</f>
        <v>491.21</v>
      </c>
      <c r="F718" s="6" t="str">
        <f t="shared" si="3"/>
        <v>Zesty Cilantro Lime Dressing</v>
      </c>
    </row>
    <row r="719">
      <c r="A719" s="6" t="str">
        <f>IFERROR(__xludf.DUMMYFUNCTION("""COMPUTED_VALUE"""),"Salt and Pepper Grinder Set")</f>
        <v>Salt and Pepper Grinder Set</v>
      </c>
      <c r="B719" s="6" t="str">
        <f t="array" ref="B719">INDEX('Raw Data Sales'!F719:F1717, MATCH(A719, 'Raw Data Sales'!E719:E1717, 0))</f>
        <v>Kitchen</v>
      </c>
      <c r="C719" s="6">
        <f>SUMIFS('Raw Data Sales'!M719:M1717, 'Raw Data Sales'!E719:E1717,A719)</f>
        <v>37</v>
      </c>
      <c r="D719" s="6">
        <f>SUMIFS('Raw Data Sales'!N719:N1717, 'Raw Data Sales'!E719:E1717, A719)</f>
        <v>8245.14</v>
      </c>
      <c r="E719" s="6">
        <f>AVERAGEIFS('Raw Data Sales'!G719:G1717, 'Raw Data Sales'!E719:E1717, A719)</f>
        <v>871.57</v>
      </c>
      <c r="F719" s="6" t="str">
        <f t="shared" si="3"/>
        <v>Zesty Cilantro Lime Dressing</v>
      </c>
    </row>
    <row r="720">
      <c r="A720" s="6" t="str">
        <f>IFERROR(__xludf.DUMMYFUNCTION("""COMPUTED_VALUE"""),"Craft Beer Mustard")</f>
        <v>Craft Beer Mustard</v>
      </c>
      <c r="B720" s="6" t="str">
        <f t="array" ref="B720">INDEX('Raw Data Sales'!F720:F1718, MATCH(A720, 'Raw Data Sales'!E720:E1718, 0))</f>
        <v>Food - Condiments</v>
      </c>
      <c r="C720" s="6">
        <f>SUMIFS('Raw Data Sales'!M720:M1718, 'Raw Data Sales'!E720:E1718,A720)</f>
        <v>91</v>
      </c>
      <c r="D720" s="6">
        <f>SUMIFS('Raw Data Sales'!N720:N1718, 'Raw Data Sales'!E720:E1718, A720)</f>
        <v>863.32</v>
      </c>
      <c r="E720" s="6">
        <f>AVERAGEIFS('Raw Data Sales'!G720:G1718, 'Raw Data Sales'!E720:E1718, A720)</f>
        <v>21.14</v>
      </c>
      <c r="F720" s="6" t="str">
        <f t="shared" si="3"/>
        <v>Zesty Cilantro Lime Dressing</v>
      </c>
    </row>
    <row r="721">
      <c r="A721" s="6" t="str">
        <f>IFERROR(__xludf.DUMMYFUNCTION("""COMPUTED_VALUE"""),"Kale Salad Kit")</f>
        <v>Kale Salad Kit</v>
      </c>
      <c r="B721" s="6" t="str">
        <f t="array" ref="B721">INDEX('Raw Data Sales'!F721:F1719, MATCH(A721, 'Raw Data Sales'!E721:E1719, 0))</f>
        <v>Food - Salads</v>
      </c>
      <c r="C721" s="6">
        <f>SUMIFS('Raw Data Sales'!M721:M1719, 'Raw Data Sales'!E721:E1719,A721)</f>
        <v>88</v>
      </c>
      <c r="D721" s="6">
        <f>SUMIFS('Raw Data Sales'!N721:N1719, 'Raw Data Sales'!E721:E1719, A721)</f>
        <v>4945.74</v>
      </c>
      <c r="E721" s="6">
        <f>AVERAGEIFS('Raw Data Sales'!G721:G1719, 'Raw Data Sales'!E721:E1719, A721)</f>
        <v>534.93</v>
      </c>
      <c r="F721" s="6" t="str">
        <f t="shared" si="3"/>
        <v>Zesty Cilantro Lime Dressing</v>
      </c>
    </row>
    <row r="722">
      <c r="A722" s="6" t="str">
        <f>IFERROR(__xludf.DUMMYFUNCTION("""COMPUTED_VALUE"""),"Hiking Boots")</f>
        <v>Hiking Boots</v>
      </c>
      <c r="B722" s="6" t="str">
        <f t="array" ref="B722">INDEX('Raw Data Sales'!F722:F1720, MATCH(A722, 'Raw Data Sales'!E722:E1720, 0))</f>
        <v>Footwear</v>
      </c>
      <c r="C722" s="6">
        <f>SUMIFS('Raw Data Sales'!M722:M1720, 'Raw Data Sales'!E722:E1720,A722)</f>
        <v>51</v>
      </c>
      <c r="D722" s="6">
        <f>SUMIFS('Raw Data Sales'!N722:N1720, 'Raw Data Sales'!E722:E1720, A722)</f>
        <v>91.4</v>
      </c>
      <c r="E722" s="6">
        <f>AVERAGEIFS('Raw Data Sales'!G722:G1720, 'Raw Data Sales'!E722:E1720, A722)</f>
        <v>300.16</v>
      </c>
      <c r="F722" s="6" t="str">
        <f t="shared" si="3"/>
        <v>Zesty Cilantro Lime Dressing</v>
      </c>
    </row>
    <row r="723">
      <c r="A723" s="6" t="str">
        <f>IFERROR(__xludf.DUMMYFUNCTION("""COMPUTED_VALUE"""),"Athletic Compression Tights")</f>
        <v>Athletic Compression Tights</v>
      </c>
      <c r="B723" s="6" t="str">
        <f t="array" ref="B723">INDEX('Raw Data Sales'!F723:F1721, MATCH(A723, 'Raw Data Sales'!E723:E1721, 0))</f>
        <v>Clothing - Activewear</v>
      </c>
      <c r="C723" s="6">
        <f>SUMIFS('Raw Data Sales'!M723:M1721, 'Raw Data Sales'!E723:E1721,A723)</f>
        <v>88</v>
      </c>
      <c r="D723" s="6">
        <f>SUMIFS('Raw Data Sales'!N723:N1721, 'Raw Data Sales'!E723:E1721, A723)</f>
        <v>4553.71</v>
      </c>
      <c r="E723" s="6">
        <f>AVERAGEIFS('Raw Data Sales'!G723:G1721, 'Raw Data Sales'!E723:E1721, A723)</f>
        <v>864.29</v>
      </c>
      <c r="F723" s="6" t="str">
        <f t="shared" si="3"/>
        <v>Zesty Cilantro Lime Dressing</v>
      </c>
    </row>
    <row r="724">
      <c r="A724" s="6" t="str">
        <f>IFERROR(__xludf.DUMMYFUNCTION("""COMPUTED_VALUE"""),"Foldable Electric Scooter")</f>
        <v>Foldable Electric Scooter</v>
      </c>
      <c r="B724" s="6" t="str">
        <f t="array" ref="B724">INDEX('Raw Data Sales'!F724:F1722, MATCH(A724, 'Raw Data Sales'!E724:E1722, 0))</f>
        <v>Outdoor</v>
      </c>
      <c r="C724" s="6">
        <f>SUMIFS('Raw Data Sales'!M724:M1722, 'Raw Data Sales'!E724:E1722,A724)</f>
        <v>65</v>
      </c>
      <c r="D724" s="6">
        <f>SUMIFS('Raw Data Sales'!N724:N1722, 'Raw Data Sales'!E724:E1722, A724)</f>
        <v>9798.62</v>
      </c>
      <c r="E724" s="6">
        <f>AVERAGEIFS('Raw Data Sales'!G724:G1722, 'Raw Data Sales'!E724:E1722, A724)</f>
        <v>597.87</v>
      </c>
      <c r="F724" s="6" t="str">
        <f t="shared" si="3"/>
        <v>Zesty Cilantro Lime Dressing</v>
      </c>
    </row>
    <row r="725">
      <c r="A725" s="6" t="str">
        <f>IFERROR(__xludf.DUMMYFUNCTION("""COMPUTED_VALUE"""),"Decorative Wall Tapestry")</f>
        <v>Decorative Wall Tapestry</v>
      </c>
      <c r="B725" s="6" t="str">
        <f t="array" ref="B725">INDEX('Raw Data Sales'!F725:F1723, MATCH(A725, 'Raw Data Sales'!E725:E1723, 0))</f>
        <v>Home</v>
      </c>
      <c r="C725" s="6">
        <f>SUMIFS('Raw Data Sales'!M725:M1723, 'Raw Data Sales'!E725:E1723,A725)</f>
        <v>91</v>
      </c>
      <c r="D725" s="6">
        <f>SUMIFS('Raw Data Sales'!N725:N1723, 'Raw Data Sales'!E725:E1723, A725)</f>
        <v>6607.66</v>
      </c>
      <c r="E725" s="6">
        <f>AVERAGEIFS('Raw Data Sales'!G725:G1723, 'Raw Data Sales'!E725:E1723, A725)</f>
        <v>378.68</v>
      </c>
      <c r="F725" s="6" t="str">
        <f t="shared" si="3"/>
        <v>Zesty Cilantro Lime Dressing</v>
      </c>
    </row>
    <row r="726">
      <c r="A726" s="6" t="str">
        <f>IFERROR(__xludf.DUMMYFUNCTION("""COMPUTED_VALUE"""),"Peanut Butter Banana Smoothie Mix")</f>
        <v>Peanut Butter Banana Smoothie Mix</v>
      </c>
      <c r="B726" s="6" t="str">
        <f t="array" ref="B726">INDEX('Raw Data Sales'!F726:F1724, MATCH(A726, 'Raw Data Sales'!E726:E1724, 0))</f>
        <v>Food - Beverages</v>
      </c>
      <c r="C726" s="6">
        <f>SUMIFS('Raw Data Sales'!M726:M1724, 'Raw Data Sales'!E726:E1724,A726)</f>
        <v>41</v>
      </c>
      <c r="D726" s="6">
        <f>SUMIFS('Raw Data Sales'!N726:N1724, 'Raw Data Sales'!E726:E1724, A726)</f>
        <v>133.96</v>
      </c>
      <c r="E726" s="6">
        <f>AVERAGEIFS('Raw Data Sales'!G726:G1724, 'Raw Data Sales'!E726:E1724, A726)</f>
        <v>941.38</v>
      </c>
      <c r="F726" s="6" t="str">
        <f t="shared" si="3"/>
        <v>Zesty Cilantro Lime Dressing</v>
      </c>
    </row>
    <row r="727">
      <c r="A727" s="6" t="str">
        <f>IFERROR(__xludf.DUMMYFUNCTION("""COMPUTED_VALUE"""),"Electric Butter Churn")</f>
        <v>Electric Butter Churn</v>
      </c>
      <c r="B727" s="6" t="str">
        <f t="array" ref="B727">INDEX('Raw Data Sales'!F727:F1725, MATCH(A727, 'Raw Data Sales'!E727:E1725, 0))</f>
        <v>Kitchen</v>
      </c>
      <c r="C727" s="6">
        <f>SUMIFS('Raw Data Sales'!M727:M1725, 'Raw Data Sales'!E727:E1725,A727)</f>
        <v>64</v>
      </c>
      <c r="D727" s="6">
        <f>SUMIFS('Raw Data Sales'!N727:N1725, 'Raw Data Sales'!E727:E1725, A727)</f>
        <v>4926.75</v>
      </c>
      <c r="E727" s="6">
        <f>AVERAGEIFS('Raw Data Sales'!G727:G1725, 'Raw Data Sales'!E727:E1725, A727)</f>
        <v>513.49</v>
      </c>
      <c r="F727" s="6" t="str">
        <f t="shared" si="3"/>
        <v>Zesty Cilantro Lime Dressing</v>
      </c>
    </row>
    <row r="728">
      <c r="A728" s="6" t="str">
        <f>IFERROR(__xludf.DUMMYFUNCTION("""COMPUTED_VALUE"""),"Garlic Herb Cream Cheese")</f>
        <v>Garlic Herb Cream Cheese</v>
      </c>
      <c r="B728" s="6" t="str">
        <f t="array" ref="B728">INDEX('Raw Data Sales'!F728:F1726, MATCH(A728, 'Raw Data Sales'!E728:E1726, 0))</f>
        <v>Food - Dairy</v>
      </c>
      <c r="C728" s="6">
        <f>SUMIFS('Raw Data Sales'!M728:M1726, 'Raw Data Sales'!E728:E1726,A728)</f>
        <v>44</v>
      </c>
      <c r="D728" s="6">
        <f>SUMIFS('Raw Data Sales'!N728:N1726, 'Raw Data Sales'!E728:E1726, A728)</f>
        <v>8749.74</v>
      </c>
      <c r="E728" s="6">
        <f>AVERAGEIFS('Raw Data Sales'!G728:G1726, 'Raw Data Sales'!E728:E1726, A728)</f>
        <v>594.58</v>
      </c>
      <c r="F728" s="6" t="str">
        <f t="shared" si="3"/>
        <v>Zesty Cilantro Lime Dressing</v>
      </c>
    </row>
    <row r="729">
      <c r="A729" s="6" t="str">
        <f>IFERROR(__xludf.DUMMYFUNCTION("""COMPUTED_VALUE"""),"Smart Air Purifier")</f>
        <v>Smart Air Purifier</v>
      </c>
      <c r="B729" s="6" t="str">
        <f t="array" ref="B729">INDEX('Raw Data Sales'!F729:F1727, MATCH(A729, 'Raw Data Sales'!E729:E1727, 0))</f>
        <v>Home</v>
      </c>
      <c r="C729" s="6">
        <f>SUMIFS('Raw Data Sales'!M729:M1727, 'Raw Data Sales'!E729:E1727,A729)</f>
        <v>68</v>
      </c>
      <c r="D729" s="6">
        <f>SUMIFS('Raw Data Sales'!N729:N1727, 'Raw Data Sales'!E729:E1727, A729)</f>
        <v>6921.43</v>
      </c>
      <c r="E729" s="6">
        <f>AVERAGEIFS('Raw Data Sales'!G729:G1727, 'Raw Data Sales'!E729:E1727, A729)</f>
        <v>39.54</v>
      </c>
      <c r="F729" s="6" t="str">
        <f t="shared" si="3"/>
        <v>Zesty Cilantro Lime Dressing</v>
      </c>
    </row>
    <row r="730">
      <c r="A730" s="6" t="str">
        <f>IFERROR(__xludf.DUMMYFUNCTION("""COMPUTED_VALUE"""),"Phone Case")</f>
        <v>Phone Case</v>
      </c>
      <c r="B730" s="6" t="str">
        <f t="array" ref="B730">INDEX('Raw Data Sales'!F730:F1728, MATCH(A730, 'Raw Data Sales'!E730:E1728, 0))</f>
        <v>Accessories</v>
      </c>
      <c r="C730" s="6">
        <f>SUMIFS('Raw Data Sales'!M730:M1728, 'Raw Data Sales'!E730:E1728,A730)</f>
        <v>21</v>
      </c>
      <c r="D730" s="6">
        <f>SUMIFS('Raw Data Sales'!N730:N1728, 'Raw Data Sales'!E730:E1728, A730)</f>
        <v>925.79</v>
      </c>
      <c r="E730" s="6">
        <f>AVERAGEIFS('Raw Data Sales'!G730:G1728, 'Raw Data Sales'!E730:E1728, A730)</f>
        <v>448.63</v>
      </c>
      <c r="F730" s="6" t="str">
        <f t="shared" si="3"/>
        <v>Zesty Cilantro Lime Dressing</v>
      </c>
    </row>
    <row r="731">
      <c r="A731" s="6" t="str">
        <f>IFERROR(__xludf.DUMMYFUNCTION("""COMPUTED_VALUE"""),"Spinach and Cheese Stuffed Shells")</f>
        <v>Spinach and Cheese Stuffed Shells</v>
      </c>
      <c r="B731" s="6" t="str">
        <f t="array" ref="B731">INDEX('Raw Data Sales'!F731:F1729, MATCH(A731, 'Raw Data Sales'!E731:E1729, 0))</f>
        <v>Food - Frozen Meals</v>
      </c>
      <c r="C731" s="6">
        <f>SUMIFS('Raw Data Sales'!M731:M1729, 'Raw Data Sales'!E731:E1729,A731)</f>
        <v>98</v>
      </c>
      <c r="D731" s="6">
        <f>SUMIFS('Raw Data Sales'!N731:N1729, 'Raw Data Sales'!E731:E1729, A731)</f>
        <v>3109.25</v>
      </c>
      <c r="E731" s="6">
        <f>AVERAGEIFS('Raw Data Sales'!G731:G1729, 'Raw Data Sales'!E731:E1729, A731)</f>
        <v>594.09</v>
      </c>
      <c r="F731" s="6" t="str">
        <f t="shared" si="3"/>
        <v>Zesty Cilantro Lime Dressing</v>
      </c>
    </row>
    <row r="732">
      <c r="A732" s="6" t="str">
        <f>IFERROR(__xludf.DUMMYFUNCTION("""COMPUTED_VALUE"""),"Chocolate Coconut Granola")</f>
        <v>Chocolate Coconut Granola</v>
      </c>
      <c r="B732" s="6" t="str">
        <f t="array" ref="B732">INDEX('Raw Data Sales'!F732:F1730, MATCH(A732, 'Raw Data Sales'!E732:E1730, 0))</f>
        <v>Food - Cereals</v>
      </c>
      <c r="C732" s="6">
        <f>SUMIFS('Raw Data Sales'!M732:M1730, 'Raw Data Sales'!E732:E1730,A732)</f>
        <v>87</v>
      </c>
      <c r="D732" s="6">
        <f>SUMIFS('Raw Data Sales'!N732:N1730, 'Raw Data Sales'!E732:E1730, A732)</f>
        <v>7057.84</v>
      </c>
      <c r="E732" s="6">
        <f>AVERAGEIFS('Raw Data Sales'!G732:G1730, 'Raw Data Sales'!E732:E1730, A732)</f>
        <v>373.16</v>
      </c>
      <c r="F732" s="6" t="str">
        <f t="shared" si="3"/>
        <v>Zesty Cilantro Lime Dressing</v>
      </c>
    </row>
    <row r="733">
      <c r="A733" s="6" t="str">
        <f>IFERROR(__xludf.DUMMYFUNCTION("""COMPUTED_VALUE"""),"Self-Cleaning Cat Litter Box")</f>
        <v>Self-Cleaning Cat Litter Box</v>
      </c>
      <c r="B733" s="6" t="str">
        <f t="array" ref="B733">INDEX('Raw Data Sales'!F733:F1731, MATCH(A733, 'Raw Data Sales'!E733:E1731, 0))</f>
        <v>Pets</v>
      </c>
      <c r="C733" s="6">
        <f>SUMIFS('Raw Data Sales'!M733:M1731, 'Raw Data Sales'!E733:E1731,A733)</f>
        <v>47</v>
      </c>
      <c r="D733" s="6">
        <f>SUMIFS('Raw Data Sales'!N733:N1731, 'Raw Data Sales'!E733:E1731, A733)</f>
        <v>1694.36</v>
      </c>
      <c r="E733" s="6">
        <f>AVERAGEIFS('Raw Data Sales'!G733:G1731, 'Raw Data Sales'!E733:E1731, A733)</f>
        <v>414.62</v>
      </c>
      <c r="F733" s="6" t="str">
        <f t="shared" si="3"/>
        <v>Zesty Cilantro Lime Dressing</v>
      </c>
    </row>
    <row r="734">
      <c r="A734" s="6" t="str">
        <f>IFERROR(__xludf.DUMMYFUNCTION("""COMPUTED_VALUE"""),"Personal Blender with Cups")</f>
        <v>Personal Blender with Cups</v>
      </c>
      <c r="B734" s="6" t="str">
        <f t="array" ref="B734">INDEX('Raw Data Sales'!F734:F1732, MATCH(A734, 'Raw Data Sales'!E734:E1732, 0))</f>
        <v>Kitchen</v>
      </c>
      <c r="C734" s="6">
        <f>SUMIFS('Raw Data Sales'!M734:M1732, 'Raw Data Sales'!E734:E1732,A734)</f>
        <v>53</v>
      </c>
      <c r="D734" s="6">
        <f>SUMIFS('Raw Data Sales'!N734:N1732, 'Raw Data Sales'!E734:E1732, A734)</f>
        <v>1917.23</v>
      </c>
      <c r="E734" s="6">
        <f>AVERAGEIFS('Raw Data Sales'!G734:G1732, 'Raw Data Sales'!E734:E1732, A734)</f>
        <v>622.12</v>
      </c>
      <c r="F734" s="6" t="str">
        <f t="shared" si="3"/>
        <v>Zesty Cilantro Lime Dressing</v>
      </c>
    </row>
    <row r="735">
      <c r="A735" s="6" t="str">
        <f>IFERROR(__xludf.DUMMYFUNCTION("""COMPUTED_VALUE"""),"Falafel Mix")</f>
        <v>Falafel Mix</v>
      </c>
      <c r="B735" s="6" t="str">
        <f t="array" ref="B735">INDEX('Raw Data Sales'!F735:F1733, MATCH(A735, 'Raw Data Sales'!E735:E1733, 0))</f>
        <v>Food - Baking &amp; Cooking</v>
      </c>
      <c r="C735" s="6">
        <f>SUMIFS('Raw Data Sales'!M735:M1733, 'Raw Data Sales'!E735:E1733,A735)</f>
        <v>84</v>
      </c>
      <c r="D735" s="6">
        <f>SUMIFS('Raw Data Sales'!N735:N1733, 'Raw Data Sales'!E735:E1733, A735)</f>
        <v>6600.73</v>
      </c>
      <c r="E735" s="6">
        <f>AVERAGEIFS('Raw Data Sales'!G735:G1733, 'Raw Data Sales'!E735:E1733, A735)</f>
        <v>60.05</v>
      </c>
      <c r="F735" s="6" t="str">
        <f t="shared" si="3"/>
        <v>Zesty Cilantro Lime Dressing</v>
      </c>
    </row>
    <row r="736">
      <c r="A736" s="6" t="str">
        <f>IFERROR(__xludf.DUMMYFUNCTION("""COMPUTED_VALUE"""),"Chocolate Hazelnut Granola")</f>
        <v>Chocolate Hazelnut Granola</v>
      </c>
      <c r="B736" s="6" t="str">
        <f t="array" ref="B736">INDEX('Raw Data Sales'!F736:F1734, MATCH(A736, 'Raw Data Sales'!E736:E1734, 0))</f>
        <v>Food - Cereal</v>
      </c>
      <c r="C736" s="6">
        <f>SUMIFS('Raw Data Sales'!M736:M1734, 'Raw Data Sales'!E736:E1734,A736)</f>
        <v>60</v>
      </c>
      <c r="D736" s="6">
        <f>SUMIFS('Raw Data Sales'!N736:N1734, 'Raw Data Sales'!E736:E1734, A736)</f>
        <v>3063.86</v>
      </c>
      <c r="E736" s="6">
        <f>AVERAGEIFS('Raw Data Sales'!G736:G1734, 'Raw Data Sales'!E736:E1734, A736)</f>
        <v>447.88</v>
      </c>
      <c r="F736" s="6" t="str">
        <f t="shared" si="3"/>
        <v>Zesty Cilantro Lime Dressing</v>
      </c>
    </row>
    <row r="737">
      <c r="A737" s="6" t="str">
        <f>IFERROR(__xludf.DUMMYFUNCTION("""COMPUTED_VALUE"""),"Chocolate Coconut Protein Balls")</f>
        <v>Chocolate Coconut Protein Balls</v>
      </c>
      <c r="B737" s="6" t="str">
        <f t="array" ref="B737">INDEX('Raw Data Sales'!F737:F1735, MATCH(A737, 'Raw Data Sales'!E737:E1735, 0))</f>
        <v>Food - Snacks</v>
      </c>
      <c r="C737" s="6">
        <f>SUMIFS('Raw Data Sales'!M737:M1735, 'Raw Data Sales'!E737:E1735,A737)</f>
        <v>89</v>
      </c>
      <c r="D737" s="6">
        <f>SUMIFS('Raw Data Sales'!N737:N1735, 'Raw Data Sales'!E737:E1735, A737)</f>
        <v>5715.14</v>
      </c>
      <c r="E737" s="6">
        <f>AVERAGEIFS('Raw Data Sales'!G737:G1735, 'Raw Data Sales'!E737:E1735, A737)</f>
        <v>813.34</v>
      </c>
      <c r="F737" s="6" t="str">
        <f t="shared" si="3"/>
        <v>Zesty Cilantro Lime Dressing</v>
      </c>
    </row>
    <row r="738">
      <c r="A738" s="6" t="str">
        <f>IFERROR(__xludf.DUMMYFUNCTION("""COMPUTED_VALUE"""),"Kettle Chip Variety Pack")</f>
        <v>Kettle Chip Variety Pack</v>
      </c>
      <c r="B738" s="6" t="str">
        <f t="array" ref="B738">INDEX('Raw Data Sales'!F738:F1736, MATCH(A738, 'Raw Data Sales'!E738:E1736, 0))</f>
        <v>Food - Snacks</v>
      </c>
      <c r="C738" s="6">
        <f>SUMIFS('Raw Data Sales'!M738:M1736, 'Raw Data Sales'!E738:E1736,A738)</f>
        <v>87</v>
      </c>
      <c r="D738" s="6">
        <f>SUMIFS('Raw Data Sales'!N738:N1736, 'Raw Data Sales'!E738:E1736, A738)</f>
        <v>1423.7</v>
      </c>
      <c r="E738" s="6">
        <f>AVERAGEIFS('Raw Data Sales'!G738:G1736, 'Raw Data Sales'!E738:E1736, A738)</f>
        <v>501.79</v>
      </c>
      <c r="F738" s="6" t="str">
        <f t="shared" si="3"/>
        <v>Zesty Cilantro Lime Dressing</v>
      </c>
    </row>
    <row r="739">
      <c r="A739" s="6" t="str">
        <f>IFERROR(__xludf.DUMMYFUNCTION("""COMPUTED_VALUE"""),"Coconut Water")</f>
        <v>Coconut Water</v>
      </c>
      <c r="B739" s="6" t="str">
        <f t="array" ref="B739">INDEX('Raw Data Sales'!F739:F1737, MATCH(A739, 'Raw Data Sales'!E739:E1737, 0))</f>
        <v>Food - Beverages</v>
      </c>
      <c r="C739" s="6">
        <f>SUMIFS('Raw Data Sales'!M739:M1737, 'Raw Data Sales'!E739:E1737,A739)</f>
        <v>28</v>
      </c>
      <c r="D739" s="6">
        <f>SUMIFS('Raw Data Sales'!N739:N1737, 'Raw Data Sales'!E739:E1737, A739)</f>
        <v>9915.27</v>
      </c>
      <c r="E739" s="6">
        <f>AVERAGEIFS('Raw Data Sales'!G739:G1737, 'Raw Data Sales'!E739:E1737, A739)</f>
        <v>92.45</v>
      </c>
      <c r="F739" s="6" t="str">
        <f t="shared" si="3"/>
        <v>Zesty Cilantro Lime Dressing</v>
      </c>
    </row>
    <row r="740">
      <c r="A740" s="6" t="str">
        <f>IFERROR(__xludf.DUMMYFUNCTION("""COMPUTED_VALUE"""),"Ice Cream Scoop")</f>
        <v>Ice Cream Scoop</v>
      </c>
      <c r="B740" s="6" t="str">
        <f t="array" ref="B740">INDEX('Raw Data Sales'!F740:F1738, MATCH(A740, 'Raw Data Sales'!E740:E1738, 0))</f>
        <v>Kitchen</v>
      </c>
      <c r="C740" s="6">
        <f>SUMIFS('Raw Data Sales'!M740:M1738, 'Raw Data Sales'!E740:E1738,A740)</f>
        <v>67</v>
      </c>
      <c r="D740" s="6">
        <f>SUMIFS('Raw Data Sales'!N740:N1738, 'Raw Data Sales'!E740:E1738, A740)</f>
        <v>8415.78</v>
      </c>
      <c r="E740" s="6">
        <f>AVERAGEIFS('Raw Data Sales'!G740:G1738, 'Raw Data Sales'!E740:E1738, A740)</f>
        <v>189.35</v>
      </c>
      <c r="F740" s="6" t="str">
        <f t="shared" si="3"/>
        <v>Zesty Cilantro Lime Dressing</v>
      </c>
    </row>
    <row r="741">
      <c r="A741" s="6" t="str">
        <f>IFERROR(__xludf.DUMMYFUNCTION("""COMPUTED_VALUE"""),"Safety Goggles")</f>
        <v>Safety Goggles</v>
      </c>
      <c r="B741" s="6" t="str">
        <f t="array" ref="B741">INDEX('Raw Data Sales'!F741:F1739, MATCH(A741, 'Raw Data Sales'!E741:E1739, 0))</f>
        <v>Safety</v>
      </c>
      <c r="C741" s="6">
        <f>SUMIFS('Raw Data Sales'!M741:M1739, 'Raw Data Sales'!E741:E1739,A741)</f>
        <v>58</v>
      </c>
      <c r="D741" s="6">
        <f>SUMIFS('Raw Data Sales'!N741:N1739, 'Raw Data Sales'!E741:E1739, A741)</f>
        <v>9769.16</v>
      </c>
      <c r="E741" s="6">
        <f>AVERAGEIFS('Raw Data Sales'!G741:G1739, 'Raw Data Sales'!E741:E1739, A741)</f>
        <v>423.59</v>
      </c>
      <c r="F741" s="6" t="str">
        <f t="shared" si="3"/>
        <v>Zesty Cilantro Lime Dressing</v>
      </c>
    </row>
    <row r="742">
      <c r="A742" s="6" t="str">
        <f>IFERROR(__xludf.DUMMYFUNCTION("""COMPUTED_VALUE"""),"Italian Marinara Sauce")</f>
        <v>Italian Marinara Sauce</v>
      </c>
      <c r="B742" s="6" t="str">
        <f t="array" ref="B742">INDEX('Raw Data Sales'!F742:F1740, MATCH(A742, 'Raw Data Sales'!E742:E1740, 0))</f>
        <v>Food - Sauces</v>
      </c>
      <c r="C742" s="6">
        <f>SUMIFS('Raw Data Sales'!M742:M1740, 'Raw Data Sales'!E742:E1740,A742)</f>
        <v>6</v>
      </c>
      <c r="D742" s="6">
        <f>SUMIFS('Raw Data Sales'!N742:N1740, 'Raw Data Sales'!E742:E1740, A742)</f>
        <v>6360.98</v>
      </c>
      <c r="E742" s="6">
        <f>AVERAGEIFS('Raw Data Sales'!G742:G1740, 'Raw Data Sales'!E742:E1740, A742)</f>
        <v>722.42</v>
      </c>
      <c r="F742" s="6" t="str">
        <f t="shared" si="3"/>
        <v>Zesty Cilantro Lime Dressing</v>
      </c>
    </row>
    <row r="743">
      <c r="A743" s="6" t="str">
        <f>IFERROR(__xludf.DUMMYFUNCTION("""COMPUTED_VALUE"""),"Feta Cheese")</f>
        <v>Feta Cheese</v>
      </c>
      <c r="B743" s="6" t="str">
        <f t="array" ref="B743">INDEX('Raw Data Sales'!F743:F1741, MATCH(A743, 'Raw Data Sales'!E743:E1741, 0))</f>
        <v>Food - Dairy</v>
      </c>
      <c r="C743" s="6">
        <f>SUMIFS('Raw Data Sales'!M743:M1741, 'Raw Data Sales'!E743:E1741,A743)</f>
        <v>1</v>
      </c>
      <c r="D743" s="6">
        <f>SUMIFS('Raw Data Sales'!N743:N1741, 'Raw Data Sales'!E743:E1741, A743)</f>
        <v>8364.45</v>
      </c>
      <c r="E743" s="6">
        <f>AVERAGEIFS('Raw Data Sales'!G743:G1741, 'Raw Data Sales'!E743:E1741, A743)</f>
        <v>384.38</v>
      </c>
      <c r="F743" s="6" t="str">
        <f t="shared" si="3"/>
        <v>Zesty Cilantro Lime Dressing</v>
      </c>
    </row>
    <row r="744">
      <c r="A744" s="6" t="str">
        <f>IFERROR(__xludf.DUMMYFUNCTION("""COMPUTED_VALUE"""),"Ultraviolet Phone Sanitizer")</f>
        <v>Ultraviolet Phone Sanitizer</v>
      </c>
      <c r="B744" s="6" t="str">
        <f t="array" ref="B744">INDEX('Raw Data Sales'!F744:F1742, MATCH(A744, 'Raw Data Sales'!E744:E1742, 0))</f>
        <v>Health</v>
      </c>
      <c r="C744" s="6">
        <f>SUMIFS('Raw Data Sales'!M744:M1742, 'Raw Data Sales'!E744:E1742,A744)</f>
        <v>90</v>
      </c>
      <c r="D744" s="6">
        <f>SUMIFS('Raw Data Sales'!N744:N1742, 'Raw Data Sales'!E744:E1742, A744)</f>
        <v>2704.87</v>
      </c>
      <c r="E744" s="6">
        <f>AVERAGEIFS('Raw Data Sales'!G744:G1742, 'Raw Data Sales'!E744:E1742, A744)</f>
        <v>46.54</v>
      </c>
      <c r="F744" s="6" t="str">
        <f t="shared" si="3"/>
        <v>Zesty Cilantro Lime Dressing</v>
      </c>
    </row>
    <row r="745">
      <c r="A745" s="6" t="str">
        <f>IFERROR(__xludf.DUMMYFUNCTION("""COMPUTED_VALUE"""),"Outdoor String Lights")</f>
        <v>Outdoor String Lights</v>
      </c>
      <c r="B745" s="6" t="str">
        <f t="array" ref="B745">INDEX('Raw Data Sales'!F745:F1743, MATCH(A745, 'Raw Data Sales'!E745:E1743, 0))</f>
        <v>Outdoor</v>
      </c>
      <c r="C745" s="6">
        <f>SUMIFS('Raw Data Sales'!M745:M1743, 'Raw Data Sales'!E745:E1743,A745)</f>
        <v>75</v>
      </c>
      <c r="D745" s="6">
        <f>SUMIFS('Raw Data Sales'!N745:N1743, 'Raw Data Sales'!E745:E1743, A745)</f>
        <v>9359.64</v>
      </c>
      <c r="E745" s="6">
        <f>AVERAGEIFS('Raw Data Sales'!G745:G1743, 'Raw Data Sales'!E745:E1743, A745)</f>
        <v>500.54</v>
      </c>
      <c r="F745" s="6" t="str">
        <f t="shared" si="3"/>
        <v>Zesty Cilantro Lime Dressing</v>
      </c>
    </row>
    <row r="746">
      <c r="A746" s="6" t="str">
        <f>IFERROR(__xludf.DUMMYFUNCTION("""COMPUTED_VALUE"""),"Tattoo Kit")</f>
        <v>Tattoo Kit</v>
      </c>
      <c r="B746" s="6" t="str">
        <f t="array" ref="B746">INDEX('Raw Data Sales'!F746:F1744, MATCH(A746, 'Raw Data Sales'!E746:E1744, 0))</f>
        <v>Art Supplies</v>
      </c>
      <c r="C746" s="6">
        <f>SUMIFS('Raw Data Sales'!M746:M1744, 'Raw Data Sales'!E746:E1744,A746)</f>
        <v>15</v>
      </c>
      <c r="D746" s="6">
        <f>SUMIFS('Raw Data Sales'!N746:N1744, 'Raw Data Sales'!E746:E1744, A746)</f>
        <v>3566.08</v>
      </c>
      <c r="E746" s="6">
        <f>AVERAGEIFS('Raw Data Sales'!G746:G1744, 'Raw Data Sales'!E746:E1744, A746)</f>
        <v>831.83</v>
      </c>
      <c r="F746" s="6" t="str">
        <f t="shared" si="3"/>
        <v>Zesty Cilantro Lime Dressing</v>
      </c>
    </row>
    <row r="747">
      <c r="A747" s="6" t="str">
        <f>IFERROR(__xludf.DUMMYFUNCTION("""COMPUTED_VALUE"""),"Chipotle Seasoning Blend")</f>
        <v>Chipotle Seasoning Blend</v>
      </c>
      <c r="B747" s="6" t="str">
        <f t="array" ref="B747">INDEX('Raw Data Sales'!F747:F1745, MATCH(A747, 'Raw Data Sales'!E747:E1745, 0))</f>
        <v>Food - Spices</v>
      </c>
      <c r="C747" s="6">
        <f>SUMIFS('Raw Data Sales'!M747:M1745, 'Raw Data Sales'!E747:E1745,A747)</f>
        <v>83</v>
      </c>
      <c r="D747" s="6">
        <f>SUMIFS('Raw Data Sales'!N747:N1745, 'Raw Data Sales'!E747:E1745, A747)</f>
        <v>6340.26</v>
      </c>
      <c r="E747" s="6">
        <f>AVERAGEIFS('Raw Data Sales'!G747:G1745, 'Raw Data Sales'!E747:E1745, A747)</f>
        <v>600.37</v>
      </c>
      <c r="F747" s="6" t="str">
        <f t="shared" si="3"/>
        <v>Zesty Cilantro Lime Dressing</v>
      </c>
    </row>
    <row r="748">
      <c r="A748" s="6" t="str">
        <f>IFERROR(__xludf.DUMMYFUNCTION("""COMPUTED_VALUE"""),"Zesty Cilantro Lime Dressing")</f>
        <v>Zesty Cilantro Lime Dressing</v>
      </c>
      <c r="B748" s="6" t="str">
        <f t="array" ref="B748">INDEX('Raw Data Sales'!F748:F1746, MATCH(A748, 'Raw Data Sales'!E748:E1746, 0))</f>
        <v>Food - Condiments</v>
      </c>
      <c r="C748" s="6">
        <f>SUMIFS('Raw Data Sales'!M748:M1746, 'Raw Data Sales'!E748:E1746,A748)</f>
        <v>106</v>
      </c>
      <c r="D748" s="6">
        <f>SUMIFS('Raw Data Sales'!N748:N1746, 'Raw Data Sales'!E748:E1746, A748)</f>
        <v>19014.94</v>
      </c>
      <c r="E748" s="6">
        <f>AVERAGEIFS('Raw Data Sales'!G748:G1746, 'Raw Data Sales'!E748:E1746, A748)</f>
        <v>280.32</v>
      </c>
      <c r="F748" s="6" t="str">
        <f t="shared" si="3"/>
        <v>Zesty Cilantro Lime Dressing</v>
      </c>
    </row>
    <row r="749">
      <c r="A749" s="6" t="str">
        <f>IFERROR(__xludf.DUMMYFUNCTION("""COMPUTED_VALUE"""),"Handmade Leather Wallet")</f>
        <v>Handmade Leather Wallet</v>
      </c>
      <c r="B749" s="6" t="str">
        <f t="array" ref="B749">INDEX('Raw Data Sales'!F749:F1747, MATCH(A749, 'Raw Data Sales'!E749:E1747, 0))</f>
        <v>Accessories</v>
      </c>
      <c r="C749" s="6">
        <f>SUMIFS('Raw Data Sales'!M749:M1747, 'Raw Data Sales'!E749:E1747,A749)</f>
        <v>59</v>
      </c>
      <c r="D749" s="6">
        <f>SUMIFS('Raw Data Sales'!N749:N1747, 'Raw Data Sales'!E749:E1747, A749)</f>
        <v>534.19</v>
      </c>
      <c r="E749" s="6">
        <f>AVERAGEIFS('Raw Data Sales'!G749:G1747, 'Raw Data Sales'!E749:E1747, A749)</f>
        <v>216.47</v>
      </c>
      <c r="F749" s="6" t="str">
        <f t="shared" si="3"/>
        <v>Chiffon Blouse</v>
      </c>
    </row>
    <row r="750">
      <c r="A750" s="6" t="str">
        <f>IFERROR(__xludf.DUMMYFUNCTION("""COMPUTED_VALUE"""),"Tomato Basil Soup")</f>
        <v>Tomato Basil Soup</v>
      </c>
      <c r="B750" s="6" t="str">
        <f t="array" ref="B750">INDEX('Raw Data Sales'!F750:F1748, MATCH(A750, 'Raw Data Sales'!E750:E1748, 0))</f>
        <v>Food - Canned Goods</v>
      </c>
      <c r="C750" s="6">
        <f>SUMIFS('Raw Data Sales'!M750:M1748, 'Raw Data Sales'!E750:E1748,A750)</f>
        <v>78</v>
      </c>
      <c r="D750" s="6">
        <f>SUMIFS('Raw Data Sales'!N750:N1748, 'Raw Data Sales'!E750:E1748, A750)</f>
        <v>9048.3</v>
      </c>
      <c r="E750" s="6">
        <f>AVERAGEIFS('Raw Data Sales'!G750:G1748, 'Raw Data Sales'!E750:E1748, A750)</f>
        <v>463.44</v>
      </c>
      <c r="F750" s="6" t="str">
        <f t="shared" si="3"/>
        <v>Chiffon Blouse</v>
      </c>
    </row>
    <row r="751">
      <c r="A751" s="6" t="str">
        <f>IFERROR(__xludf.DUMMYFUNCTION("""COMPUTED_VALUE"""),"Applewood Smoked Bacon")</f>
        <v>Applewood Smoked Bacon</v>
      </c>
      <c r="B751" s="6" t="str">
        <f t="array" ref="B751">INDEX('Raw Data Sales'!F751:F1749, MATCH(A751, 'Raw Data Sales'!E751:E1749, 0))</f>
        <v>Food - Meat</v>
      </c>
      <c r="C751" s="6">
        <f>SUMIFS('Raw Data Sales'!M751:M1749, 'Raw Data Sales'!E751:E1749,A751)</f>
        <v>38</v>
      </c>
      <c r="D751" s="6">
        <f>SUMIFS('Raw Data Sales'!N751:N1749, 'Raw Data Sales'!E751:E1749, A751)</f>
        <v>8352.15</v>
      </c>
      <c r="E751" s="6">
        <f>AVERAGEIFS('Raw Data Sales'!G751:G1749, 'Raw Data Sales'!E751:E1749, A751)</f>
        <v>469.97</v>
      </c>
      <c r="F751" s="6" t="str">
        <f t="shared" si="3"/>
        <v>Chiffon Blouse</v>
      </c>
    </row>
    <row r="752">
      <c r="A752" s="6" t="str">
        <f>IFERROR(__xludf.DUMMYFUNCTION("""COMPUTED_VALUE"""),"Chiffon Blouse")</f>
        <v>Chiffon Blouse</v>
      </c>
      <c r="B752" s="6" t="str">
        <f t="array" ref="B752">INDEX('Raw Data Sales'!F752:F1750, MATCH(A752, 'Raw Data Sales'!E752:E1750, 0))</f>
        <v>Clothing - Shirts</v>
      </c>
      <c r="C752" s="6">
        <f>SUMIFS('Raw Data Sales'!M752:M1750, 'Raw Data Sales'!E752:E1750,A752)</f>
        <v>48</v>
      </c>
      <c r="D752" s="6">
        <f>SUMIFS('Raw Data Sales'!N752:N1750, 'Raw Data Sales'!E752:E1750, A752)</f>
        <v>9959.42</v>
      </c>
      <c r="E752" s="6">
        <f>AVERAGEIFS('Raw Data Sales'!G752:G1750, 'Raw Data Sales'!E752:E1750, A752)</f>
        <v>177.96</v>
      </c>
      <c r="F752" s="6" t="str">
        <f t="shared" si="3"/>
        <v>Chiffon Blouse</v>
      </c>
    </row>
    <row r="753">
      <c r="A753" s="6" t="str">
        <f>IFERROR(__xludf.DUMMYFUNCTION("""COMPUTED_VALUE"""),"Organic Baby Spinach")</f>
        <v>Organic Baby Spinach</v>
      </c>
      <c r="B753" s="6" t="str">
        <f t="array" ref="B753">INDEX('Raw Data Sales'!F753:F1751, MATCH(A753, 'Raw Data Sales'!E753:E1751, 0))</f>
        <v>Food - Produce</v>
      </c>
      <c r="C753" s="6">
        <f>SUMIFS('Raw Data Sales'!M753:M1751, 'Raw Data Sales'!E753:E1751,A753)</f>
        <v>43</v>
      </c>
      <c r="D753" s="6">
        <f>SUMIFS('Raw Data Sales'!N753:N1751, 'Raw Data Sales'!E753:E1751, A753)</f>
        <v>8307.35</v>
      </c>
      <c r="E753" s="6">
        <f>AVERAGEIFS('Raw Data Sales'!G753:G1751, 'Raw Data Sales'!E753:E1751, A753)</f>
        <v>745.85</v>
      </c>
      <c r="F753" s="6" t="str">
        <f t="shared" si="3"/>
        <v>Whole Wheat Pasta</v>
      </c>
    </row>
    <row r="754">
      <c r="A754" s="6" t="str">
        <f>IFERROR(__xludf.DUMMYFUNCTION("""COMPUTED_VALUE"""),"Hibiscus Herbal Tea")</f>
        <v>Hibiscus Herbal Tea</v>
      </c>
      <c r="B754" s="6" t="str">
        <f t="array" ref="B754">INDEX('Raw Data Sales'!F754:F1752, MATCH(A754, 'Raw Data Sales'!E754:E1752, 0))</f>
        <v>Food - Beverages</v>
      </c>
      <c r="C754" s="6">
        <f>SUMIFS('Raw Data Sales'!M754:M1752, 'Raw Data Sales'!E754:E1752,A754)</f>
        <v>19</v>
      </c>
      <c r="D754" s="6">
        <f>SUMIFS('Raw Data Sales'!N754:N1752, 'Raw Data Sales'!E754:E1752, A754)</f>
        <v>1066.11</v>
      </c>
      <c r="E754" s="6">
        <f>AVERAGEIFS('Raw Data Sales'!G754:G1752, 'Raw Data Sales'!E754:E1752, A754)</f>
        <v>505.43</v>
      </c>
      <c r="F754" s="6" t="str">
        <f t="shared" si="3"/>
        <v>Whole Wheat Pasta</v>
      </c>
    </row>
    <row r="755">
      <c r="A755" s="6" t="str">
        <f>IFERROR(__xludf.DUMMYFUNCTION("""COMPUTED_VALUE"""),"Asian Noodle Salad Kit")</f>
        <v>Asian Noodle Salad Kit</v>
      </c>
      <c r="B755" s="6" t="str">
        <f t="array" ref="B755">INDEX('Raw Data Sales'!F755:F1753, MATCH(A755, 'Raw Data Sales'!E755:E1753, 0))</f>
        <v>Food - Salads</v>
      </c>
      <c r="C755" s="6">
        <f>SUMIFS('Raw Data Sales'!M755:M1753, 'Raw Data Sales'!E755:E1753,A755)</f>
        <v>24</v>
      </c>
      <c r="D755" s="6">
        <f>SUMIFS('Raw Data Sales'!N755:N1753, 'Raw Data Sales'!E755:E1753, A755)</f>
        <v>8361.13</v>
      </c>
      <c r="E755" s="6">
        <f>AVERAGEIFS('Raw Data Sales'!G755:G1753, 'Raw Data Sales'!E755:E1753, A755)</f>
        <v>699.06</v>
      </c>
      <c r="F755" s="6" t="str">
        <f t="shared" si="3"/>
        <v>Whole Wheat Pasta</v>
      </c>
    </row>
    <row r="756">
      <c r="A756" s="6" t="str">
        <f>IFERROR(__xludf.DUMMYFUNCTION("""COMPUTED_VALUE"""),"Cranberry Almond Biscotti")</f>
        <v>Cranberry Almond Biscotti</v>
      </c>
      <c r="B756" s="6" t="str">
        <f t="array" ref="B756">INDEX('Raw Data Sales'!F756:F1754, MATCH(A756, 'Raw Data Sales'!E756:E1754, 0))</f>
        <v>Food - Bakery</v>
      </c>
      <c r="C756" s="6">
        <f>SUMIFS('Raw Data Sales'!M756:M1754, 'Raw Data Sales'!E756:E1754,A756)</f>
        <v>87</v>
      </c>
      <c r="D756" s="6">
        <f>SUMIFS('Raw Data Sales'!N756:N1754, 'Raw Data Sales'!E756:E1754, A756)</f>
        <v>8270.05</v>
      </c>
      <c r="E756" s="6">
        <f>AVERAGEIFS('Raw Data Sales'!G756:G1754, 'Raw Data Sales'!E756:E1754, A756)</f>
        <v>561.15</v>
      </c>
      <c r="F756" s="6" t="str">
        <f t="shared" si="3"/>
        <v>Whole Wheat Pasta</v>
      </c>
    </row>
    <row r="757">
      <c r="A757" s="6" t="str">
        <f>IFERROR(__xludf.DUMMYFUNCTION("""COMPUTED_VALUE"""),"Desk Organizer Set")</f>
        <v>Desk Organizer Set</v>
      </c>
      <c r="B757" s="6" t="str">
        <f t="array" ref="B757">INDEX('Raw Data Sales'!F757:F1755, MATCH(A757, 'Raw Data Sales'!E757:E1755, 0))</f>
        <v>Office</v>
      </c>
      <c r="C757" s="6">
        <f>SUMIFS('Raw Data Sales'!M757:M1755, 'Raw Data Sales'!E757:E1755,A757)</f>
        <v>23</v>
      </c>
      <c r="D757" s="6">
        <f>SUMIFS('Raw Data Sales'!N757:N1755, 'Raw Data Sales'!E757:E1755, A757)</f>
        <v>8591.76</v>
      </c>
      <c r="E757" s="6">
        <f>AVERAGEIFS('Raw Data Sales'!G757:G1755, 'Raw Data Sales'!E757:E1755, A757)</f>
        <v>832.46</v>
      </c>
      <c r="F757" s="6" t="str">
        <f t="shared" si="3"/>
        <v>Whole Wheat Pasta</v>
      </c>
    </row>
    <row r="758">
      <c r="A758" s="6" t="str">
        <f>IFERROR(__xludf.DUMMYFUNCTION("""COMPUTED_VALUE"""),"Spice Rack")</f>
        <v>Spice Rack</v>
      </c>
      <c r="B758" s="6" t="str">
        <f t="array" ref="B758">INDEX('Raw Data Sales'!F758:F1756, MATCH(A758, 'Raw Data Sales'!E758:E1756, 0))</f>
        <v>Kitchen</v>
      </c>
      <c r="C758" s="6">
        <f>SUMIFS('Raw Data Sales'!M758:M1756, 'Raw Data Sales'!E758:E1756,A758)</f>
        <v>11</v>
      </c>
      <c r="D758" s="6">
        <f>SUMIFS('Raw Data Sales'!N758:N1756, 'Raw Data Sales'!E758:E1756, A758)</f>
        <v>7839.73</v>
      </c>
      <c r="E758" s="6">
        <f>AVERAGEIFS('Raw Data Sales'!G758:G1756, 'Raw Data Sales'!E758:E1756, A758)</f>
        <v>246.59</v>
      </c>
      <c r="F758" s="6" t="str">
        <f t="shared" si="3"/>
        <v>Whole Wheat Pasta</v>
      </c>
    </row>
    <row r="759">
      <c r="A759" s="6" t="str">
        <f>IFERROR(__xludf.DUMMYFUNCTION("""COMPUTED_VALUE"""),"Creamy Spinach Dip")</f>
        <v>Creamy Spinach Dip</v>
      </c>
      <c r="B759" s="6" t="str">
        <f t="array" ref="B759">INDEX('Raw Data Sales'!F759:F1757, MATCH(A759, 'Raw Data Sales'!E759:E1757, 0))</f>
        <v>Food - Prepared Foods</v>
      </c>
      <c r="C759" s="6">
        <f>SUMIFS('Raw Data Sales'!M759:M1757, 'Raw Data Sales'!E759:E1757,A759)</f>
        <v>57</v>
      </c>
      <c r="D759" s="6">
        <f>SUMIFS('Raw Data Sales'!N759:N1757, 'Raw Data Sales'!E759:E1757, A759)</f>
        <v>8830.13</v>
      </c>
      <c r="E759" s="6">
        <f>AVERAGEIFS('Raw Data Sales'!G759:G1757, 'Raw Data Sales'!E759:E1757, A759)</f>
        <v>515.02</v>
      </c>
      <c r="F759" s="6" t="str">
        <f t="shared" si="3"/>
        <v>Whole Wheat Pasta</v>
      </c>
    </row>
    <row r="760">
      <c r="A760" s="6" t="str">
        <f>IFERROR(__xludf.DUMMYFUNCTION("""COMPUTED_VALUE"""),"Pesto Pasta Salad")</f>
        <v>Pesto Pasta Salad</v>
      </c>
      <c r="B760" s="6" t="str">
        <f t="array" ref="B760">INDEX('Raw Data Sales'!F760:F1758, MATCH(A760, 'Raw Data Sales'!E760:E1758, 0))</f>
        <v>Food - Prepared Foods</v>
      </c>
      <c r="C760" s="6">
        <f>SUMIFS('Raw Data Sales'!M760:M1758, 'Raw Data Sales'!E760:E1758,A760)</f>
        <v>83</v>
      </c>
      <c r="D760" s="6">
        <f>SUMIFS('Raw Data Sales'!N760:N1758, 'Raw Data Sales'!E760:E1758, A760)</f>
        <v>2647.89</v>
      </c>
      <c r="E760" s="6">
        <f>AVERAGEIFS('Raw Data Sales'!G760:G1758, 'Raw Data Sales'!E760:E1758, A760)</f>
        <v>509.54</v>
      </c>
      <c r="F760" s="6" t="str">
        <f t="shared" si="3"/>
        <v>Whole Wheat Pasta</v>
      </c>
    </row>
    <row r="761">
      <c r="A761" s="6" t="str">
        <f>IFERROR(__xludf.DUMMYFUNCTION("""COMPUTED_VALUE"""),"Beef Tacos")</f>
        <v>Beef Tacos</v>
      </c>
      <c r="B761" s="6" t="str">
        <f t="array" ref="B761">INDEX('Raw Data Sales'!F761:F1759, MATCH(A761, 'Raw Data Sales'!E761:E1759, 0))</f>
        <v>Food - Meat</v>
      </c>
      <c r="C761" s="6">
        <f>SUMIFS('Raw Data Sales'!M761:M1759, 'Raw Data Sales'!E761:E1759,A761)</f>
        <v>54</v>
      </c>
      <c r="D761" s="6">
        <f>SUMIFS('Raw Data Sales'!N761:N1759, 'Raw Data Sales'!E761:E1759, A761)</f>
        <v>6828.11</v>
      </c>
      <c r="E761" s="6">
        <f>AVERAGEIFS('Raw Data Sales'!G761:G1759, 'Raw Data Sales'!E761:E1759, A761)</f>
        <v>282.5</v>
      </c>
      <c r="F761" s="6" t="str">
        <f t="shared" si="3"/>
        <v>Whole Wheat Pasta</v>
      </c>
    </row>
    <row r="762">
      <c r="A762" s="6" t="str">
        <f>IFERROR(__xludf.DUMMYFUNCTION("""COMPUTED_VALUE"""),"Professional Chef Knife")</f>
        <v>Professional Chef Knife</v>
      </c>
      <c r="B762" s="6" t="str">
        <f t="array" ref="B762">INDEX('Raw Data Sales'!F762:F1760, MATCH(A762, 'Raw Data Sales'!E762:E1760, 0))</f>
        <v>Kitchen</v>
      </c>
      <c r="C762" s="6">
        <f>SUMIFS('Raw Data Sales'!M762:M1760, 'Raw Data Sales'!E762:E1760,A762)</f>
        <v>37</v>
      </c>
      <c r="D762" s="6">
        <f>SUMIFS('Raw Data Sales'!N762:N1760, 'Raw Data Sales'!E762:E1760, A762)</f>
        <v>2865.92</v>
      </c>
      <c r="E762" s="6">
        <f>AVERAGEIFS('Raw Data Sales'!G762:G1760, 'Raw Data Sales'!E762:E1760, A762)</f>
        <v>458.29</v>
      </c>
      <c r="F762" s="6" t="str">
        <f t="shared" si="3"/>
        <v>Whole Wheat Pasta</v>
      </c>
    </row>
    <row r="763">
      <c r="A763" s="6" t="str">
        <f>IFERROR(__xludf.DUMMYFUNCTION("""COMPUTED_VALUE"""),"Cereal Dispenser with Portion Control")</f>
        <v>Cereal Dispenser with Portion Control</v>
      </c>
      <c r="B763" s="6" t="str">
        <f t="array" ref="B763">INDEX('Raw Data Sales'!F763:F1761, MATCH(A763, 'Raw Data Sales'!E763:E1761, 0))</f>
        <v>Kitchen</v>
      </c>
      <c r="C763" s="6">
        <f>SUMIFS('Raw Data Sales'!M763:M1761, 'Raw Data Sales'!E763:E1761,A763)</f>
        <v>1</v>
      </c>
      <c r="D763" s="6">
        <f>SUMIFS('Raw Data Sales'!N763:N1761, 'Raw Data Sales'!E763:E1761, A763)</f>
        <v>9057.31</v>
      </c>
      <c r="E763" s="6">
        <f>AVERAGEIFS('Raw Data Sales'!G763:G1761, 'Raw Data Sales'!E763:E1761, A763)</f>
        <v>700.26</v>
      </c>
      <c r="F763" s="6" t="str">
        <f t="shared" si="3"/>
        <v>Whole Wheat Pasta</v>
      </c>
    </row>
    <row r="764">
      <c r="A764" s="6" t="str">
        <f>IFERROR(__xludf.DUMMYFUNCTION("""COMPUTED_VALUE"""),"Chicken Parmesan Dinner Kit")</f>
        <v>Chicken Parmesan Dinner Kit</v>
      </c>
      <c r="B764" s="6" t="str">
        <f t="array" ref="B764">INDEX('Raw Data Sales'!F764:F1762, MATCH(A764, 'Raw Data Sales'!E764:E1762, 0))</f>
        <v>Food - Frozen Meals</v>
      </c>
      <c r="C764" s="6">
        <f>SUMIFS('Raw Data Sales'!M764:M1762, 'Raw Data Sales'!E764:E1762,A764)</f>
        <v>79</v>
      </c>
      <c r="D764" s="6">
        <f>SUMIFS('Raw Data Sales'!N764:N1762, 'Raw Data Sales'!E764:E1762, A764)</f>
        <v>611.57</v>
      </c>
      <c r="E764" s="6">
        <f>AVERAGEIFS('Raw Data Sales'!G764:G1762, 'Raw Data Sales'!E764:E1762, A764)</f>
        <v>771.97</v>
      </c>
      <c r="F764" s="6" t="str">
        <f t="shared" si="3"/>
        <v>Whole Wheat Pasta</v>
      </c>
    </row>
    <row r="765">
      <c r="A765" s="6" t="str">
        <f>IFERROR(__xludf.DUMMYFUNCTION("""COMPUTED_VALUE"""),"Silicone Cooking Utensils Set")</f>
        <v>Silicone Cooking Utensils Set</v>
      </c>
      <c r="B765" s="6" t="str">
        <f t="array" ref="B765">INDEX('Raw Data Sales'!F765:F1763, MATCH(A765, 'Raw Data Sales'!E765:E1763, 0))</f>
        <v>Kitchen</v>
      </c>
      <c r="C765" s="6">
        <f>SUMIFS('Raw Data Sales'!M765:M1763, 'Raw Data Sales'!E765:E1763,A765)</f>
        <v>26</v>
      </c>
      <c r="D765" s="6">
        <f>SUMIFS('Raw Data Sales'!N765:N1763, 'Raw Data Sales'!E765:E1763, A765)</f>
        <v>3211.12</v>
      </c>
      <c r="E765" s="6">
        <f>AVERAGEIFS('Raw Data Sales'!G765:G1763, 'Raw Data Sales'!E765:E1763, A765)</f>
        <v>172.5</v>
      </c>
      <c r="F765" s="6" t="str">
        <f t="shared" si="3"/>
        <v>Whole Wheat Pasta</v>
      </c>
    </row>
    <row r="766">
      <c r="A766" s="6" t="str">
        <f>IFERROR(__xludf.DUMMYFUNCTION("""COMPUTED_VALUE"""),"Peanut Butter Protein Balls")</f>
        <v>Peanut Butter Protein Balls</v>
      </c>
      <c r="B766" s="6" t="str">
        <f t="array" ref="B766">INDEX('Raw Data Sales'!F766:F1764, MATCH(A766, 'Raw Data Sales'!E766:E1764, 0))</f>
        <v>Food - Snacks</v>
      </c>
      <c r="C766" s="6">
        <f>SUMIFS('Raw Data Sales'!M766:M1764, 'Raw Data Sales'!E766:E1764,A766)</f>
        <v>16</v>
      </c>
      <c r="D766" s="6">
        <f>SUMIFS('Raw Data Sales'!N766:N1764, 'Raw Data Sales'!E766:E1764, A766)</f>
        <v>2190.68</v>
      </c>
      <c r="E766" s="6">
        <f>AVERAGEIFS('Raw Data Sales'!G766:G1764, 'Raw Data Sales'!E766:E1764, A766)</f>
        <v>47.06</v>
      </c>
      <c r="F766" s="6" t="str">
        <f t="shared" si="3"/>
        <v>Whole Wheat Pasta</v>
      </c>
    </row>
    <row r="767">
      <c r="A767" s="6" t="str">
        <f>IFERROR(__xludf.DUMMYFUNCTION("""COMPUTED_VALUE"""),"Vegetable Sushi Rolls")</f>
        <v>Vegetable Sushi Rolls</v>
      </c>
      <c r="B767" s="6" t="str">
        <f t="array" ref="B767">INDEX('Raw Data Sales'!F767:F1765, MATCH(A767, 'Raw Data Sales'!E767:E1765, 0))</f>
        <v>Food - Prepared Meals</v>
      </c>
      <c r="C767" s="6">
        <f>SUMIFS('Raw Data Sales'!M767:M1765, 'Raw Data Sales'!E767:E1765,A767)</f>
        <v>90</v>
      </c>
      <c r="D767" s="6">
        <f>SUMIFS('Raw Data Sales'!N767:N1765, 'Raw Data Sales'!E767:E1765, A767)</f>
        <v>4642.98</v>
      </c>
      <c r="E767" s="6">
        <f>AVERAGEIFS('Raw Data Sales'!G767:G1765, 'Raw Data Sales'!E767:E1765, A767)</f>
        <v>632.24</v>
      </c>
      <c r="F767" s="6" t="str">
        <f t="shared" si="3"/>
        <v>Whole Wheat Pasta</v>
      </c>
    </row>
    <row r="768">
      <c r="A768" s="6" t="str">
        <f>IFERROR(__xludf.DUMMYFUNCTION("""COMPUTED_VALUE"""),"Outdoor Picnic Blanket")</f>
        <v>Outdoor Picnic Blanket</v>
      </c>
      <c r="B768" s="6" t="str">
        <f t="array" ref="B768">INDEX('Raw Data Sales'!F768:F1766, MATCH(A768, 'Raw Data Sales'!E768:E1766, 0))</f>
        <v>Outdoor</v>
      </c>
      <c r="C768" s="6">
        <f>SUMIFS('Raw Data Sales'!M768:M1766, 'Raw Data Sales'!E768:E1766,A768)</f>
        <v>1</v>
      </c>
      <c r="D768" s="6">
        <f>SUMIFS('Raw Data Sales'!N768:N1766, 'Raw Data Sales'!E768:E1766, A768)</f>
        <v>6803.85</v>
      </c>
      <c r="E768" s="6">
        <f>AVERAGEIFS('Raw Data Sales'!G768:G1766, 'Raw Data Sales'!E768:E1766, A768)</f>
        <v>820.64</v>
      </c>
      <c r="F768" s="6" t="str">
        <f t="shared" si="3"/>
        <v>Whole Wheat Pasta</v>
      </c>
    </row>
    <row r="769">
      <c r="A769" s="6" t="str">
        <f>IFERROR(__xludf.DUMMYFUNCTION("""COMPUTED_VALUE"""),"Peach Preserves")</f>
        <v>Peach Preserves</v>
      </c>
      <c r="B769" s="6" t="str">
        <f t="array" ref="B769">INDEX('Raw Data Sales'!F769:F1767, MATCH(A769, 'Raw Data Sales'!E769:E1767, 0))</f>
        <v>Food - Condiments</v>
      </c>
      <c r="C769" s="6">
        <f>SUMIFS('Raw Data Sales'!M769:M1767, 'Raw Data Sales'!E769:E1767,A769)</f>
        <v>93</v>
      </c>
      <c r="D769" s="6">
        <f>SUMIFS('Raw Data Sales'!N769:N1767, 'Raw Data Sales'!E769:E1767, A769)</f>
        <v>3755.48</v>
      </c>
      <c r="E769" s="6">
        <f>AVERAGEIFS('Raw Data Sales'!G769:G1767, 'Raw Data Sales'!E769:E1767, A769)</f>
        <v>825.53</v>
      </c>
      <c r="F769" s="6" t="str">
        <f t="shared" si="3"/>
        <v>Whole Wheat Pasta</v>
      </c>
    </row>
    <row r="770">
      <c r="A770" s="6" t="str">
        <f>IFERROR(__xludf.DUMMYFUNCTION("""COMPUTED_VALUE"""),"Paprika")</f>
        <v>Paprika</v>
      </c>
      <c r="B770" s="6" t="str">
        <f t="array" ref="B770">INDEX('Raw Data Sales'!F770:F1768, MATCH(A770, 'Raw Data Sales'!E770:E1768, 0))</f>
        <v>Food - Spices</v>
      </c>
      <c r="C770" s="6">
        <f>SUMIFS('Raw Data Sales'!M770:M1768, 'Raw Data Sales'!E770:E1768,A770)</f>
        <v>78</v>
      </c>
      <c r="D770" s="6">
        <f>SUMIFS('Raw Data Sales'!N770:N1768, 'Raw Data Sales'!E770:E1768, A770)</f>
        <v>5257.2</v>
      </c>
      <c r="E770" s="6">
        <f>AVERAGEIFS('Raw Data Sales'!G770:G1768, 'Raw Data Sales'!E770:E1768, A770)</f>
        <v>528.8</v>
      </c>
      <c r="F770" s="6" t="str">
        <f t="shared" si="3"/>
        <v>Whole Wheat Pasta</v>
      </c>
    </row>
    <row r="771">
      <c r="A771" s="6" t="str">
        <f>IFERROR(__xludf.DUMMYFUNCTION("""COMPUTED_VALUE"""),"Fashionable Belt Bag")</f>
        <v>Fashionable Belt Bag</v>
      </c>
      <c r="B771" s="6" t="str">
        <f t="array" ref="B771">INDEX('Raw Data Sales'!F771:F1769, MATCH(A771, 'Raw Data Sales'!E771:E1769, 0))</f>
        <v>Accessories</v>
      </c>
      <c r="C771" s="6">
        <f>SUMIFS('Raw Data Sales'!M771:M1769, 'Raw Data Sales'!E771:E1769,A771)</f>
        <v>22</v>
      </c>
      <c r="D771" s="6">
        <f>SUMIFS('Raw Data Sales'!N771:N1769, 'Raw Data Sales'!E771:E1769, A771)</f>
        <v>1811.91</v>
      </c>
      <c r="E771" s="6">
        <f>AVERAGEIFS('Raw Data Sales'!G771:G1769, 'Raw Data Sales'!E771:E1769, A771)</f>
        <v>278.13</v>
      </c>
      <c r="F771" s="6" t="str">
        <f t="shared" si="3"/>
        <v>Whole Wheat Pasta</v>
      </c>
    </row>
    <row r="772">
      <c r="A772" s="6" t="str">
        <f>IFERROR(__xludf.DUMMYFUNCTION("""COMPUTED_VALUE"""),"Whole Wheat Pasta")</f>
        <v>Whole Wheat Pasta</v>
      </c>
      <c r="B772" s="6" t="str">
        <f t="array" ref="B772">INDEX('Raw Data Sales'!F772:F1770, MATCH(A772, 'Raw Data Sales'!E772:E1770, 0))</f>
        <v>Food - Grains</v>
      </c>
      <c r="C772" s="6">
        <f>SUMIFS('Raw Data Sales'!M772:M1770, 'Raw Data Sales'!E772:E1770,A772)</f>
        <v>88</v>
      </c>
      <c r="D772" s="6">
        <f>SUMIFS('Raw Data Sales'!N772:N1770, 'Raw Data Sales'!E772:E1770, A772)</f>
        <v>9689.65</v>
      </c>
      <c r="E772" s="6">
        <f>AVERAGEIFS('Raw Data Sales'!G772:G1770, 'Raw Data Sales'!E772:E1770, A772)</f>
        <v>557.78</v>
      </c>
      <c r="F772" s="6" t="str">
        <f t="shared" si="3"/>
        <v>Whole Wheat Pasta</v>
      </c>
    </row>
    <row r="773">
      <c r="A773" s="6" t="str">
        <f>IFERROR(__xludf.DUMMYFUNCTION("""COMPUTED_VALUE"""),"Blueberry Oatmeal Cups")</f>
        <v>Blueberry Oatmeal Cups</v>
      </c>
      <c r="B773" s="6" t="str">
        <f t="array" ref="B773">INDEX('Raw Data Sales'!F773:F1771, MATCH(A773, 'Raw Data Sales'!E773:E1771, 0))</f>
        <v>Food - Breakfast</v>
      </c>
      <c r="C773" s="6">
        <f>SUMIFS('Raw Data Sales'!M773:M1771, 'Raw Data Sales'!E773:E1771,A773)</f>
        <v>88</v>
      </c>
      <c r="D773" s="6">
        <f>SUMIFS('Raw Data Sales'!N773:N1771, 'Raw Data Sales'!E773:E1771, A773)</f>
        <v>2735.73</v>
      </c>
      <c r="E773" s="6">
        <f>AVERAGEIFS('Raw Data Sales'!G773:G1771, 'Raw Data Sales'!E773:E1771, A773)</f>
        <v>428.97</v>
      </c>
      <c r="F773" s="6" t="str">
        <f t="shared" si="3"/>
        <v>Fitness Tracker Watch</v>
      </c>
    </row>
    <row r="774">
      <c r="A774" s="6" t="str">
        <f>IFERROR(__xludf.DUMMYFUNCTION("""COMPUTED_VALUE"""),"Fitness Tracker Watch")</f>
        <v>Fitness Tracker Watch</v>
      </c>
      <c r="B774" s="6" t="str">
        <f t="array" ref="B774">INDEX('Raw Data Sales'!F774:F1772, MATCH(A774, 'Raw Data Sales'!E774:E1772, 0))</f>
        <v>Wearable Tech</v>
      </c>
      <c r="C774" s="6">
        <f>SUMIFS('Raw Data Sales'!M774:M1772, 'Raw Data Sales'!E774:E1772,A774)</f>
        <v>52</v>
      </c>
      <c r="D774" s="6">
        <f>SUMIFS('Raw Data Sales'!N774:N1772, 'Raw Data Sales'!E774:E1772, A774)</f>
        <v>9056.99</v>
      </c>
      <c r="E774" s="6">
        <f>AVERAGEIFS('Raw Data Sales'!G774:G1772, 'Raw Data Sales'!E774:E1772, A774)</f>
        <v>433.33</v>
      </c>
      <c r="F774" s="6" t="str">
        <f t="shared" si="3"/>
        <v>Fitness Tracker Watch</v>
      </c>
    </row>
    <row r="775">
      <c r="A775" s="6" t="str">
        <f>IFERROR(__xludf.DUMMYFUNCTION("""COMPUTED_VALUE"""),"Organic Quinoa")</f>
        <v>Organic Quinoa</v>
      </c>
      <c r="B775" s="6" t="str">
        <f t="array" ref="B775">INDEX('Raw Data Sales'!F775:F1773, MATCH(A775, 'Raw Data Sales'!E775:E1773, 0))</f>
        <v>Food - Grains</v>
      </c>
      <c r="C775" s="6">
        <f>SUMIFS('Raw Data Sales'!M775:M1773, 'Raw Data Sales'!E775:E1773,A775)</f>
        <v>96</v>
      </c>
      <c r="D775" s="6">
        <f>SUMIFS('Raw Data Sales'!N775:N1773, 'Raw Data Sales'!E775:E1773, A775)</f>
        <v>2209.09</v>
      </c>
      <c r="E775" s="6">
        <f>AVERAGEIFS('Raw Data Sales'!G775:G1773, 'Raw Data Sales'!E775:E1773, A775)</f>
        <v>147.89</v>
      </c>
      <c r="F775" s="6" t="str">
        <f t="shared" si="3"/>
        <v>Organic Quinoa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0.88"/>
    <col customWidth="1" min="3" max="3" width="26.38"/>
    <col customWidth="1" min="4" max="4" width="12.75"/>
    <col customWidth="1" min="5" max="5" width="14.25"/>
    <col customWidth="1" min="6" max="6" width="13.88"/>
  </cols>
  <sheetData>
    <row r="1">
      <c r="A1" s="4" t="s">
        <v>6187</v>
      </c>
      <c r="B1" s="4" t="s">
        <v>6188</v>
      </c>
      <c r="C1" s="4" t="s">
        <v>6189</v>
      </c>
      <c r="D1" s="4" t="s">
        <v>6190</v>
      </c>
      <c r="E1" s="4" t="s">
        <v>6191</v>
      </c>
      <c r="F1" s="4" t="s">
        <v>6192</v>
      </c>
      <c r="G1" s="5"/>
    </row>
    <row r="2">
      <c r="A2" s="6" t="str">
        <f>IFERROR(__xludf.DUMMYFUNCTION("UNIQUE('Raw Data Sales'!H2:H1000 &amp; "" "" &amp; 'Raw Data Sales'!I2:I1000)"),"Gayelord Vieyra")</f>
        <v>Gayelord Vieyra</v>
      </c>
      <c r="B2" s="6" t="str">
        <f>IFERROR(__xludf.DUMMYFUNCTION("UNIQUE('Raw Data Sales'!J2:J1000)"),"gvieyra0@noaa.gov")</f>
        <v>gvieyra0@noaa.gov</v>
      </c>
      <c r="C2" s="6" t="str">
        <f>IFERROR(__xludf.DUMMYFUNCTION("UNIQUE('Raw Data Sales'!K2:K1000, MATCH(A2, 'Raw Data Sales'!H2:H1000 &amp; "" "" &amp; 'Raw Data Sales'!I2:I1000, 0))"),"France")</f>
        <v>France</v>
      </c>
      <c r="D2" s="6">
        <f>COUNTIFS('Raw Data Sales'!H2:H1000, LEFT(A2, FIND(" ",A2)-1), 'Raw Data Sales'!I2:I1000, MID(A2, FIND(" ",A2)+1, 100))</f>
        <v>1</v>
      </c>
      <c r="E2" s="6">
        <f>SUMIFS('Raw Data Sales'!M2:M1000, 'Raw Data Sales'!H2:H1000, LEFT(A2, FIND(" ",A2)-1), 'Raw Data Sales'!I2:I1000, MID(A2, FIND(" ",A2)+1, 100))</f>
        <v>54</v>
      </c>
      <c r="F2" s="6">
        <f>SUMIFS('Raw Data Sales'!N2:N1000, 'Raw Data Sales'!H2:H1000, LEFT(A2, FIND(" ",A2)-1), 'Raw Data Sales'!I2:I1000, MID(A2, FIND(" ",A2)+1, 100))</f>
        <v>2305.58</v>
      </c>
    </row>
    <row r="3">
      <c r="A3" s="6" t="str">
        <f>IFERROR(__xludf.DUMMYFUNCTION("UNIQUE('Raw Data Sales'!H3:H1001 &amp; "" "" &amp; 'Raw Data Sales'!I3:I1001)"),"Luce McIlwraith")</f>
        <v>Luce McIlwraith</v>
      </c>
      <c r="B3" s="6" t="str">
        <f>IFERROR(__xludf.DUMMYFUNCTION("""COMPUTED_VALUE"""),"lmcilwraith1@eventbrite.com")</f>
        <v>lmcilwraith1@eventbrite.com</v>
      </c>
      <c r="C3" s="6" t="str">
        <f>IFERROR(__xludf.DUMMYFUNCTION("""COMPUTED_VALUE"""),"Sweden")</f>
        <v>Sweden</v>
      </c>
      <c r="D3" s="6">
        <f>COUNTIFS('Raw Data Sales'!H3:H1001, LEFT(A3, FIND(" ",A3)-1), 'Raw Data Sales'!I3:I1001, MID(A3, FIND(" ",A3)+1, 100))</f>
        <v>1</v>
      </c>
      <c r="E3" s="6">
        <f>SUMIFS('Raw Data Sales'!M3:M1001, 'Raw Data Sales'!H3:H1001, LEFT(A3, FIND(" ",A3)-1), 'Raw Data Sales'!I3:I1001, MID(A3, FIND(" ",A3)+1, 100))</f>
        <v>75</v>
      </c>
      <c r="F3" s="6">
        <f>SUMIFS('Raw Data Sales'!N3:N1001, 'Raw Data Sales'!H3:H1001, LEFT(A3, FIND(" ",A3)-1), 'Raw Data Sales'!I3:I1001, MID(A3, FIND(" ",A3)+1, 100))</f>
        <v>2292.82</v>
      </c>
    </row>
    <row r="4">
      <c r="A4" s="6" t="str">
        <f>IFERROR(__xludf.DUMMYFUNCTION("UNIQUE('Raw Data Sales'!H4:H1002 &amp; "" "" &amp; 'Raw Data Sales'!I4:I1002)"),"Melisent Beglin")</f>
        <v>Melisent Beglin</v>
      </c>
      <c r="B4" s="6" t="str">
        <f>IFERROR(__xludf.DUMMYFUNCTION("""COMPUTED_VALUE"""),"mbeglin2@webs.com")</f>
        <v>mbeglin2@webs.com</v>
      </c>
      <c r="C4" s="6" t="str">
        <f>IFERROR(__xludf.DUMMYFUNCTION("""COMPUTED_VALUE"""),"China")</f>
        <v>China</v>
      </c>
      <c r="D4" s="6">
        <f>COUNTIFS('Raw Data Sales'!H4:H1002, LEFT(A4, FIND(" ",A4)-1), 'Raw Data Sales'!I4:I1002, MID(A4, FIND(" ",A4)+1, 100))</f>
        <v>1</v>
      </c>
      <c r="E4" s="6">
        <f>SUMIFS('Raw Data Sales'!M4:M1002, 'Raw Data Sales'!H4:H1002, LEFT(A4, FIND(" ",A4)-1), 'Raw Data Sales'!I4:I1002, MID(A4, FIND(" ",A4)+1, 100))</f>
        <v>70</v>
      </c>
      <c r="F4" s="6">
        <f>SUMIFS('Raw Data Sales'!N4:N1002, 'Raw Data Sales'!H4:H1002, LEFT(A4, FIND(" ",A4)-1), 'Raw Data Sales'!I4:I1002, MID(A4, FIND(" ",A4)+1, 100))</f>
        <v>205.91</v>
      </c>
    </row>
    <row r="5">
      <c r="A5" s="6" t="str">
        <f>IFERROR(__xludf.DUMMYFUNCTION("UNIQUE('Raw Data Sales'!H5:H1003 &amp; "" "" &amp; 'Raw Data Sales'!I5:I1003)"),"Giustina Hares")</f>
        <v>Giustina Hares</v>
      </c>
      <c r="B5" s="6" t="str">
        <f>IFERROR(__xludf.DUMMYFUNCTION("""COMPUTED_VALUE"""),"ghares3@phoca.cz")</f>
        <v>ghares3@phoca.cz</v>
      </c>
      <c r="C5" s="6" t="str">
        <f>IFERROR(__xludf.DUMMYFUNCTION("""COMPUTED_VALUE"""),"China")</f>
        <v>China</v>
      </c>
      <c r="D5" s="6">
        <f>COUNTIFS('Raw Data Sales'!H5:H1003, LEFT(A5, FIND(" ",A5)-1), 'Raw Data Sales'!I5:I1003, MID(A5, FIND(" ",A5)+1, 100))</f>
        <v>1</v>
      </c>
      <c r="E5" s="6">
        <f>SUMIFS('Raw Data Sales'!M5:M1003, 'Raw Data Sales'!H5:H1003, LEFT(A5, FIND(" ",A5)-1), 'Raw Data Sales'!I5:I1003, MID(A5, FIND(" ",A5)+1, 100))</f>
        <v>93</v>
      </c>
      <c r="F5" s="6">
        <f>SUMIFS('Raw Data Sales'!N5:N1003, 'Raw Data Sales'!H5:H1003, LEFT(A5, FIND(" ",A5)-1), 'Raw Data Sales'!I5:I1003, MID(A5, FIND(" ",A5)+1, 100))</f>
        <v>8714.41</v>
      </c>
    </row>
    <row r="6">
      <c r="A6" s="6" t="str">
        <f>IFERROR(__xludf.DUMMYFUNCTION("UNIQUE('Raw Data Sales'!H6:H1004 &amp; "" "" &amp; 'Raw Data Sales'!I6:I1004)"),"Burch Spurden")</f>
        <v>Burch Spurden</v>
      </c>
      <c r="B6" s="6" t="str">
        <f>IFERROR(__xludf.DUMMYFUNCTION("""COMPUTED_VALUE"""),"bspurden4@chicagotribune.com")</f>
        <v>bspurden4@chicagotribune.com</v>
      </c>
      <c r="C6" s="6" t="str">
        <f>IFERROR(__xludf.DUMMYFUNCTION("""COMPUTED_VALUE"""),"Russia")</f>
        <v>Russia</v>
      </c>
      <c r="D6" s="6">
        <f>COUNTIFS('Raw Data Sales'!H6:H1004, LEFT(A6, FIND(" ",A6)-1), 'Raw Data Sales'!I6:I1004, MID(A6, FIND(" ",A6)+1, 100))</f>
        <v>1</v>
      </c>
      <c r="E6" s="6">
        <f>SUMIFS('Raw Data Sales'!M6:M1004, 'Raw Data Sales'!H6:H1004, LEFT(A6, FIND(" ",A6)-1), 'Raw Data Sales'!I6:I1004, MID(A6, FIND(" ",A6)+1, 100))</f>
        <v>25</v>
      </c>
      <c r="F6" s="6">
        <f>SUMIFS('Raw Data Sales'!N6:N1004, 'Raw Data Sales'!H6:H1004, LEFT(A6, FIND(" ",A6)-1), 'Raw Data Sales'!I6:I1004, MID(A6, FIND(" ",A6)+1, 100))</f>
        <v>1881.39</v>
      </c>
    </row>
    <row r="7">
      <c r="A7" s="6" t="str">
        <f>IFERROR(__xludf.DUMMYFUNCTION("UNIQUE('Raw Data Sales'!H7:H1005 &amp; "" "" &amp; 'Raw Data Sales'!I7:I1005)"),"D'arcy Norvel")</f>
        <v>D'arcy Norvel</v>
      </c>
      <c r="B7" s="6" t="str">
        <f>IFERROR(__xludf.DUMMYFUNCTION("""COMPUTED_VALUE"""),"dnorvel5@deviantart.com")</f>
        <v>dnorvel5@deviantart.com</v>
      </c>
      <c r="C7" s="6" t="str">
        <f>IFERROR(__xludf.DUMMYFUNCTION("""COMPUTED_VALUE"""),"Tanzania")</f>
        <v>Tanzania</v>
      </c>
      <c r="D7" s="6">
        <f>COUNTIFS('Raw Data Sales'!H7:H1005, LEFT(A7, FIND(" ",A7)-1), 'Raw Data Sales'!I7:I1005, MID(A7, FIND(" ",A7)+1, 100))</f>
        <v>1</v>
      </c>
      <c r="E7" s="6">
        <f>SUMIFS('Raw Data Sales'!M7:M1005, 'Raw Data Sales'!H7:H1005, LEFT(A7, FIND(" ",A7)-1), 'Raw Data Sales'!I7:I1005, MID(A7, FIND(" ",A7)+1, 100))</f>
        <v>36</v>
      </c>
      <c r="F7" s="6">
        <f>SUMIFS('Raw Data Sales'!N7:N1005, 'Raw Data Sales'!H7:H1005, LEFT(A7, FIND(" ",A7)-1), 'Raw Data Sales'!I7:I1005, MID(A7, FIND(" ",A7)+1, 100))</f>
        <v>9400.42</v>
      </c>
    </row>
    <row r="8">
      <c r="A8" s="6" t="str">
        <f>IFERROR(__xludf.DUMMYFUNCTION("UNIQUE('Raw Data Sales'!H8:H1006 &amp; "" "" &amp; 'Raw Data Sales'!I8:I1006)"),"Westley Krier")</f>
        <v>Westley Krier</v>
      </c>
      <c r="B8" s="6" t="str">
        <f>IFERROR(__xludf.DUMMYFUNCTION("""COMPUTED_VALUE"""),"wkrier6@jalbum.net")</f>
        <v>wkrier6@jalbum.net</v>
      </c>
      <c r="C8" s="6" t="str">
        <f>IFERROR(__xludf.DUMMYFUNCTION("""COMPUTED_VALUE"""),"China")</f>
        <v>China</v>
      </c>
      <c r="D8" s="6">
        <f>COUNTIFS('Raw Data Sales'!H8:H1006, LEFT(A8, FIND(" ",A8)-1), 'Raw Data Sales'!I8:I1006, MID(A8, FIND(" ",A8)+1, 100))</f>
        <v>1</v>
      </c>
      <c r="E8" s="6">
        <f>SUMIFS('Raw Data Sales'!M8:M1006, 'Raw Data Sales'!H8:H1006, LEFT(A8, FIND(" ",A8)-1), 'Raw Data Sales'!I8:I1006, MID(A8, FIND(" ",A8)+1, 100))</f>
        <v>69</v>
      </c>
      <c r="F8" s="6">
        <f>SUMIFS('Raw Data Sales'!N8:N1006, 'Raw Data Sales'!H8:H1006, LEFT(A8, FIND(" ",A8)-1), 'Raw Data Sales'!I8:I1006, MID(A8, FIND(" ",A8)+1, 100))</f>
        <v>3048.02</v>
      </c>
    </row>
    <row r="9">
      <c r="A9" s="6" t="str">
        <f>IFERROR(__xludf.DUMMYFUNCTION("UNIQUE('Raw Data Sales'!H9:H1007 &amp; "" "" &amp; 'Raw Data Sales'!I9:I1007)"),"Clayton Quenby")</f>
        <v>Clayton Quenby</v>
      </c>
      <c r="B9" s="6" t="str">
        <f>IFERROR(__xludf.DUMMYFUNCTION("""COMPUTED_VALUE"""),"cquenby7@ebay.com")</f>
        <v>cquenby7@ebay.com</v>
      </c>
      <c r="C9" s="6" t="str">
        <f>IFERROR(__xludf.DUMMYFUNCTION("""COMPUTED_VALUE"""),"South Korea")</f>
        <v>South Korea</v>
      </c>
      <c r="D9" s="6">
        <f>COUNTIFS('Raw Data Sales'!H9:H1007, LEFT(A9, FIND(" ",A9)-1), 'Raw Data Sales'!I9:I1007, MID(A9, FIND(" ",A9)+1, 100))</f>
        <v>1</v>
      </c>
      <c r="E9" s="6">
        <f>SUMIFS('Raw Data Sales'!M9:M1007, 'Raw Data Sales'!H9:H1007, LEFT(A9, FIND(" ",A9)-1), 'Raw Data Sales'!I9:I1007, MID(A9, FIND(" ",A9)+1, 100))</f>
        <v>25</v>
      </c>
      <c r="F9" s="6">
        <f>SUMIFS('Raw Data Sales'!N9:N1007, 'Raw Data Sales'!H9:H1007, LEFT(A9, FIND(" ",A9)-1), 'Raw Data Sales'!I9:I1007, MID(A9, FIND(" ",A9)+1, 100))</f>
        <v>1135.79</v>
      </c>
    </row>
    <row r="10">
      <c r="A10" s="6" t="str">
        <f>IFERROR(__xludf.DUMMYFUNCTION("UNIQUE('Raw Data Sales'!H10:H1008 &amp; "" "" &amp; 'Raw Data Sales'!I10:I1008)"),"Dalston Darkins")</f>
        <v>Dalston Darkins</v>
      </c>
      <c r="B10" s="6" t="str">
        <f>IFERROR(__xludf.DUMMYFUNCTION("""COMPUTED_VALUE"""),"ddarkins8@vinaora.com")</f>
        <v>ddarkins8@vinaora.com</v>
      </c>
      <c r="C10" s="6" t="str">
        <f>IFERROR(__xludf.DUMMYFUNCTION("""COMPUTED_VALUE"""),"United States")</f>
        <v>United States</v>
      </c>
      <c r="D10" s="6">
        <f>COUNTIFS('Raw Data Sales'!H10:H1008, LEFT(A10, FIND(" ",A10)-1), 'Raw Data Sales'!I10:I1008, MID(A10, FIND(" ",A10)+1, 100))</f>
        <v>1</v>
      </c>
      <c r="E10" s="6">
        <f>SUMIFS('Raw Data Sales'!M10:M1008, 'Raw Data Sales'!H10:H1008, LEFT(A10, FIND(" ",A10)-1), 'Raw Data Sales'!I10:I1008, MID(A10, FIND(" ",A10)+1, 100))</f>
        <v>20</v>
      </c>
      <c r="F10" s="6">
        <f>SUMIFS('Raw Data Sales'!N10:N1008, 'Raw Data Sales'!H10:H1008, LEFT(A10, FIND(" ",A10)-1), 'Raw Data Sales'!I10:I1008, MID(A10, FIND(" ",A10)+1, 100))</f>
        <v>7919.81</v>
      </c>
    </row>
    <row r="11">
      <c r="A11" s="6" t="str">
        <f>IFERROR(__xludf.DUMMYFUNCTION("UNIQUE('Raw Data Sales'!H11:H1009 &amp; "" "" &amp; 'Raw Data Sales'!I11:I1009)"),"Courtenay Gilpillan")</f>
        <v>Courtenay Gilpillan</v>
      </c>
      <c r="B11" s="6" t="str">
        <f>IFERROR(__xludf.DUMMYFUNCTION("""COMPUTED_VALUE"""),"cgilpillan9@elpais.com")</f>
        <v>cgilpillan9@elpais.com</v>
      </c>
      <c r="C11" s="6" t="str">
        <f>IFERROR(__xludf.DUMMYFUNCTION("""COMPUTED_VALUE"""),"China")</f>
        <v>China</v>
      </c>
      <c r="D11" s="6">
        <f>COUNTIFS('Raw Data Sales'!H11:H1009, LEFT(A11, FIND(" ",A11)-1), 'Raw Data Sales'!I11:I1009, MID(A11, FIND(" ",A11)+1, 100))</f>
        <v>1</v>
      </c>
      <c r="E11" s="6">
        <f>SUMIFS('Raw Data Sales'!M11:M1009, 'Raw Data Sales'!H11:H1009, LEFT(A11, FIND(" ",A11)-1), 'Raw Data Sales'!I11:I1009, MID(A11, FIND(" ",A11)+1, 100))</f>
        <v>39</v>
      </c>
      <c r="F11" s="6">
        <f>SUMIFS('Raw Data Sales'!N11:N1009, 'Raw Data Sales'!H11:H1009, LEFT(A11, FIND(" ",A11)-1), 'Raw Data Sales'!I11:I1009, MID(A11, FIND(" ",A11)+1, 100))</f>
        <v>9904.39</v>
      </c>
    </row>
    <row r="12">
      <c r="A12" s="6" t="str">
        <f>IFERROR(__xludf.DUMMYFUNCTION("UNIQUE('Raw Data Sales'!H12:H1010 &amp; "" "" &amp; 'Raw Data Sales'!I12:I1010)"),"Pernell Sawley")</f>
        <v>Pernell Sawley</v>
      </c>
      <c r="B12" s="6" t="str">
        <f>IFERROR(__xludf.DUMMYFUNCTION("""COMPUTED_VALUE"""),"psawleya@nydailynews.com")</f>
        <v>psawleya@nydailynews.com</v>
      </c>
      <c r="C12" s="6" t="str">
        <f>IFERROR(__xludf.DUMMYFUNCTION("""COMPUTED_VALUE"""),"Indonesia")</f>
        <v>Indonesia</v>
      </c>
      <c r="D12" s="6">
        <f>COUNTIFS('Raw Data Sales'!H12:H1010, LEFT(A12, FIND(" ",A12)-1), 'Raw Data Sales'!I12:I1010, MID(A12, FIND(" ",A12)+1, 100))</f>
        <v>1</v>
      </c>
      <c r="E12" s="6">
        <f>SUMIFS('Raw Data Sales'!M12:M1010, 'Raw Data Sales'!H12:H1010, LEFT(A12, FIND(" ",A12)-1), 'Raw Data Sales'!I12:I1010, MID(A12, FIND(" ",A12)+1, 100))</f>
        <v>1</v>
      </c>
      <c r="F12" s="6">
        <f>SUMIFS('Raw Data Sales'!N12:N1010, 'Raw Data Sales'!H12:H1010, LEFT(A12, FIND(" ",A12)-1), 'Raw Data Sales'!I12:I1010, MID(A12, FIND(" ",A12)+1, 100))</f>
        <v>5119.51</v>
      </c>
    </row>
    <row r="13">
      <c r="A13" s="6" t="str">
        <f>IFERROR(__xludf.DUMMYFUNCTION("UNIQUE('Raw Data Sales'!H13:H1011 &amp; "" "" &amp; 'Raw Data Sales'!I13:I1011)"),"Kristyn Alejandre")</f>
        <v>Kristyn Alejandre</v>
      </c>
      <c r="B13" s="6" t="str">
        <f>IFERROR(__xludf.DUMMYFUNCTION("""COMPUTED_VALUE"""),"kalejandreb@google.fr")</f>
        <v>kalejandreb@google.fr</v>
      </c>
      <c r="C13" s="6" t="str">
        <f>IFERROR(__xludf.DUMMYFUNCTION("""COMPUTED_VALUE"""),"Czech Republic")</f>
        <v>Czech Republic</v>
      </c>
      <c r="D13" s="6">
        <f>COUNTIFS('Raw Data Sales'!H13:H1011, LEFT(A13, FIND(" ",A13)-1), 'Raw Data Sales'!I13:I1011, MID(A13, FIND(" ",A13)+1, 100))</f>
        <v>1</v>
      </c>
      <c r="E13" s="6">
        <f>SUMIFS('Raw Data Sales'!M13:M1011, 'Raw Data Sales'!H13:H1011, LEFT(A13, FIND(" ",A13)-1), 'Raw Data Sales'!I13:I1011, MID(A13, FIND(" ",A13)+1, 100))</f>
        <v>49</v>
      </c>
      <c r="F13" s="6">
        <f>SUMIFS('Raw Data Sales'!N13:N1011, 'Raw Data Sales'!H13:H1011, LEFT(A13, FIND(" ",A13)-1), 'Raw Data Sales'!I13:I1011, MID(A13, FIND(" ",A13)+1, 100))</f>
        <v>1482.23</v>
      </c>
    </row>
    <row r="14">
      <c r="A14" s="6" t="str">
        <f>IFERROR(__xludf.DUMMYFUNCTION("UNIQUE('Raw Data Sales'!H14:H1012 &amp; "" "" &amp; 'Raw Data Sales'!I14:I1012)"),"Donnajean Truitt")</f>
        <v>Donnajean Truitt</v>
      </c>
      <c r="B14" s="6" t="str">
        <f>IFERROR(__xludf.DUMMYFUNCTION("""COMPUTED_VALUE"""),"dtruittc@networkadvertising.org")</f>
        <v>dtruittc@networkadvertising.org</v>
      </c>
      <c r="C14" s="6" t="str">
        <f>IFERROR(__xludf.DUMMYFUNCTION("""COMPUTED_VALUE"""),"Peru")</f>
        <v>Peru</v>
      </c>
      <c r="D14" s="6">
        <f>COUNTIFS('Raw Data Sales'!H14:H1012, LEFT(A14, FIND(" ",A14)-1), 'Raw Data Sales'!I14:I1012, MID(A14, FIND(" ",A14)+1, 100))</f>
        <v>1</v>
      </c>
      <c r="E14" s="6">
        <f>SUMIFS('Raw Data Sales'!M14:M1012, 'Raw Data Sales'!H14:H1012, LEFT(A14, FIND(" ",A14)-1), 'Raw Data Sales'!I14:I1012, MID(A14, FIND(" ",A14)+1, 100))</f>
        <v>78</v>
      </c>
      <c r="F14" s="6">
        <f>SUMIFS('Raw Data Sales'!N14:N1012, 'Raw Data Sales'!H14:H1012, LEFT(A14, FIND(" ",A14)-1), 'Raw Data Sales'!I14:I1012, MID(A14, FIND(" ",A14)+1, 100))</f>
        <v>7984.75</v>
      </c>
    </row>
    <row r="15">
      <c r="A15" s="6" t="str">
        <f>IFERROR(__xludf.DUMMYFUNCTION("UNIQUE('Raw Data Sales'!H15:H1013 &amp; "" "" &amp; 'Raw Data Sales'!I15:I1013)"),"Moe Siebart")</f>
        <v>Moe Siebart</v>
      </c>
      <c r="B15" s="6" t="str">
        <f>IFERROR(__xludf.DUMMYFUNCTION("""COMPUTED_VALUE"""),"msiebartd@census.gov")</f>
        <v>msiebartd@census.gov</v>
      </c>
      <c r="C15" s="6" t="str">
        <f>IFERROR(__xludf.DUMMYFUNCTION("""COMPUTED_VALUE"""),"Belarus")</f>
        <v>Belarus</v>
      </c>
      <c r="D15" s="6">
        <f>COUNTIFS('Raw Data Sales'!H15:H1013, LEFT(A15, FIND(" ",A15)-1), 'Raw Data Sales'!I15:I1013, MID(A15, FIND(" ",A15)+1, 100))</f>
        <v>1</v>
      </c>
      <c r="E15" s="6">
        <f>SUMIFS('Raw Data Sales'!M15:M1013, 'Raw Data Sales'!H15:H1013, LEFT(A15, FIND(" ",A15)-1), 'Raw Data Sales'!I15:I1013, MID(A15, FIND(" ",A15)+1, 100))</f>
        <v>11</v>
      </c>
      <c r="F15" s="6">
        <f>SUMIFS('Raw Data Sales'!N15:N1013, 'Raw Data Sales'!H15:H1013, LEFT(A15, FIND(" ",A15)-1), 'Raw Data Sales'!I15:I1013, MID(A15, FIND(" ",A15)+1, 100))</f>
        <v>6223.28</v>
      </c>
    </row>
    <row r="16">
      <c r="A16" s="6" t="str">
        <f>IFERROR(__xludf.DUMMYFUNCTION("UNIQUE('Raw Data Sales'!H16:H1014 &amp; "" "" &amp; 'Raw Data Sales'!I16:I1014)"),"Gibby Ibanez")</f>
        <v>Gibby Ibanez</v>
      </c>
      <c r="B16" s="6" t="str">
        <f>IFERROR(__xludf.DUMMYFUNCTION("""COMPUTED_VALUE"""),"gibaneze@oakley.com")</f>
        <v>gibaneze@oakley.com</v>
      </c>
      <c r="C16" s="6" t="str">
        <f>IFERROR(__xludf.DUMMYFUNCTION("""COMPUTED_VALUE"""),"Indonesia")</f>
        <v>Indonesia</v>
      </c>
      <c r="D16" s="6">
        <f>COUNTIFS('Raw Data Sales'!H16:H1014, LEFT(A16, FIND(" ",A16)-1), 'Raw Data Sales'!I16:I1014, MID(A16, FIND(" ",A16)+1, 100))</f>
        <v>1</v>
      </c>
      <c r="E16" s="6">
        <f>SUMIFS('Raw Data Sales'!M16:M1014, 'Raw Data Sales'!H16:H1014, LEFT(A16, FIND(" ",A16)-1), 'Raw Data Sales'!I16:I1014, MID(A16, FIND(" ",A16)+1, 100))</f>
        <v>21</v>
      </c>
      <c r="F16" s="6">
        <f>SUMIFS('Raw Data Sales'!N16:N1014, 'Raw Data Sales'!H16:H1014, LEFT(A16, FIND(" ",A16)-1), 'Raw Data Sales'!I16:I1014, MID(A16, FIND(" ",A16)+1, 100))</f>
        <v>6990.63</v>
      </c>
    </row>
    <row r="17">
      <c r="A17" s="6" t="str">
        <f>IFERROR(__xludf.DUMMYFUNCTION("UNIQUE('Raw Data Sales'!H17:H1015 &amp; "" "" &amp; 'Raw Data Sales'!I17:I1015)"),"Bartholomeo Huggons")</f>
        <v>Bartholomeo Huggons</v>
      </c>
      <c r="B17" s="6" t="str">
        <f>IFERROR(__xludf.DUMMYFUNCTION("""COMPUTED_VALUE"""),"bhuggonsf@bandcamp.com")</f>
        <v>bhuggonsf@bandcamp.com</v>
      </c>
      <c r="C17" s="6" t="str">
        <f>IFERROR(__xludf.DUMMYFUNCTION("""COMPUTED_VALUE"""),"Indonesia")</f>
        <v>Indonesia</v>
      </c>
      <c r="D17" s="6">
        <f>COUNTIFS('Raw Data Sales'!H17:H1015, LEFT(A17, FIND(" ",A17)-1), 'Raw Data Sales'!I17:I1015, MID(A17, FIND(" ",A17)+1, 100))</f>
        <v>1</v>
      </c>
      <c r="E17" s="6">
        <f>SUMIFS('Raw Data Sales'!M17:M1015, 'Raw Data Sales'!H17:H1015, LEFT(A17, FIND(" ",A17)-1), 'Raw Data Sales'!I17:I1015, MID(A17, FIND(" ",A17)+1, 100))</f>
        <v>29</v>
      </c>
      <c r="F17" s="6">
        <f>SUMIFS('Raw Data Sales'!N17:N1015, 'Raw Data Sales'!H17:H1015, LEFT(A17, FIND(" ",A17)-1), 'Raw Data Sales'!I17:I1015, MID(A17, FIND(" ",A17)+1, 100))</f>
        <v>4354.31</v>
      </c>
    </row>
    <row r="18">
      <c r="A18" s="6" t="str">
        <f>IFERROR(__xludf.DUMMYFUNCTION("UNIQUE('Raw Data Sales'!H18:H1016 &amp; "" "" &amp; 'Raw Data Sales'!I18:I1016)"),"Carolee Lossman")</f>
        <v>Carolee Lossman</v>
      </c>
      <c r="B18" s="6" t="str">
        <f>IFERROR(__xludf.DUMMYFUNCTION("""COMPUTED_VALUE"""),"clossmang@usnews.com")</f>
        <v>clossmang@usnews.com</v>
      </c>
      <c r="C18" s="6" t="str">
        <f>IFERROR(__xludf.DUMMYFUNCTION("""COMPUTED_VALUE"""),"Switzerland")</f>
        <v>Switzerland</v>
      </c>
      <c r="D18" s="6">
        <f>COUNTIFS('Raw Data Sales'!H18:H1016, LEFT(A18, FIND(" ",A18)-1), 'Raw Data Sales'!I18:I1016, MID(A18, FIND(" ",A18)+1, 100))</f>
        <v>1</v>
      </c>
      <c r="E18" s="6">
        <f>SUMIFS('Raw Data Sales'!M18:M1016, 'Raw Data Sales'!H18:H1016, LEFT(A18, FIND(" ",A18)-1), 'Raw Data Sales'!I18:I1016, MID(A18, FIND(" ",A18)+1, 100))</f>
        <v>64</v>
      </c>
      <c r="F18" s="6">
        <f>SUMIFS('Raw Data Sales'!N18:N1016, 'Raw Data Sales'!H18:H1016, LEFT(A18, FIND(" ",A18)-1), 'Raw Data Sales'!I18:I1016, MID(A18, FIND(" ",A18)+1, 100))</f>
        <v>6168.49</v>
      </c>
    </row>
    <row r="19">
      <c r="A19" s="6" t="str">
        <f>IFERROR(__xludf.DUMMYFUNCTION("UNIQUE('Raw Data Sales'!H19:H1017 &amp; "" "" &amp; 'Raw Data Sales'!I19:I1017)"),"Hill Izsak")</f>
        <v>Hill Izsak</v>
      </c>
      <c r="B19" s="6" t="str">
        <f>IFERROR(__xludf.DUMMYFUNCTION("""COMPUTED_VALUE"""),"hizsakh@hubpages.com")</f>
        <v>hizsakh@hubpages.com</v>
      </c>
      <c r="C19" s="6" t="str">
        <f>IFERROR(__xludf.DUMMYFUNCTION("""COMPUTED_VALUE"""),"Argentina")</f>
        <v>Argentina</v>
      </c>
      <c r="D19" s="6">
        <f>COUNTIFS('Raw Data Sales'!H19:H1017, LEFT(A19, FIND(" ",A19)-1), 'Raw Data Sales'!I19:I1017, MID(A19, FIND(" ",A19)+1, 100))</f>
        <v>1</v>
      </c>
      <c r="E19" s="6">
        <f>SUMIFS('Raw Data Sales'!M19:M1017, 'Raw Data Sales'!H19:H1017, LEFT(A19, FIND(" ",A19)-1), 'Raw Data Sales'!I19:I1017, MID(A19, FIND(" ",A19)+1, 100))</f>
        <v>25</v>
      </c>
      <c r="F19" s="6">
        <f>SUMIFS('Raw Data Sales'!N19:N1017, 'Raw Data Sales'!H19:H1017, LEFT(A19, FIND(" ",A19)-1), 'Raw Data Sales'!I19:I1017, MID(A19, FIND(" ",A19)+1, 100))</f>
        <v>9172.97</v>
      </c>
    </row>
    <row r="20">
      <c r="A20" s="6" t="str">
        <f>IFERROR(__xludf.DUMMYFUNCTION("UNIQUE('Raw Data Sales'!H20:H1018 &amp; "" "" &amp; 'Raw Data Sales'!I20:I1018)"),"Hayley Schurcke")</f>
        <v>Hayley Schurcke</v>
      </c>
      <c r="B20" s="6" t="str">
        <f>IFERROR(__xludf.DUMMYFUNCTION("""COMPUTED_VALUE"""),"hschurckei@barnesandnoble.com")</f>
        <v>hschurckei@barnesandnoble.com</v>
      </c>
      <c r="C20" s="6" t="str">
        <f>IFERROR(__xludf.DUMMYFUNCTION("""COMPUTED_VALUE"""),"Russia")</f>
        <v>Russia</v>
      </c>
      <c r="D20" s="6">
        <f>COUNTIFS('Raw Data Sales'!H20:H1018, LEFT(A20, FIND(" ",A20)-1), 'Raw Data Sales'!I20:I1018, MID(A20, FIND(" ",A20)+1, 100))</f>
        <v>1</v>
      </c>
      <c r="E20" s="6">
        <f>SUMIFS('Raw Data Sales'!M20:M1018, 'Raw Data Sales'!H20:H1018, LEFT(A20, FIND(" ",A20)-1), 'Raw Data Sales'!I20:I1018, MID(A20, FIND(" ",A20)+1, 100))</f>
        <v>58</v>
      </c>
      <c r="F20" s="6">
        <f>SUMIFS('Raw Data Sales'!N20:N1018, 'Raw Data Sales'!H20:H1018, LEFT(A20, FIND(" ",A20)-1), 'Raw Data Sales'!I20:I1018, MID(A20, FIND(" ",A20)+1, 100))</f>
        <v>8194.18</v>
      </c>
    </row>
    <row r="21">
      <c r="A21" s="6" t="str">
        <f>IFERROR(__xludf.DUMMYFUNCTION("UNIQUE('Raw Data Sales'!H21:H1019 &amp; "" "" &amp; 'Raw Data Sales'!I21:I1019)"),"Cristionna Tresise")</f>
        <v>Cristionna Tresise</v>
      </c>
      <c r="B21" s="6" t="str">
        <f>IFERROR(__xludf.DUMMYFUNCTION("""COMPUTED_VALUE"""),"ctresisej@zdnet.com")</f>
        <v>ctresisej@zdnet.com</v>
      </c>
      <c r="C21" s="6" t="str">
        <f>IFERROR(__xludf.DUMMYFUNCTION("""COMPUTED_VALUE"""),"Indonesia")</f>
        <v>Indonesia</v>
      </c>
      <c r="D21" s="6">
        <f>COUNTIFS('Raw Data Sales'!H21:H1019, LEFT(A21, FIND(" ",A21)-1), 'Raw Data Sales'!I21:I1019, MID(A21, FIND(" ",A21)+1, 100))</f>
        <v>1</v>
      </c>
      <c r="E21" s="6">
        <f>SUMIFS('Raw Data Sales'!M21:M1019, 'Raw Data Sales'!H21:H1019, LEFT(A21, FIND(" ",A21)-1), 'Raw Data Sales'!I21:I1019, MID(A21, FIND(" ",A21)+1, 100))</f>
        <v>25</v>
      </c>
      <c r="F21" s="6">
        <f>SUMIFS('Raw Data Sales'!N21:N1019, 'Raw Data Sales'!H21:H1019, LEFT(A21, FIND(" ",A21)-1), 'Raw Data Sales'!I21:I1019, MID(A21, FIND(" ",A21)+1, 100))</f>
        <v>1397.42</v>
      </c>
    </row>
    <row r="22">
      <c r="A22" s="6" t="str">
        <f>IFERROR(__xludf.DUMMYFUNCTION("UNIQUE('Raw Data Sales'!H22:H1020 &amp; "" "" &amp; 'Raw Data Sales'!I22:I1020)"),"Gherardo Bonnell")</f>
        <v>Gherardo Bonnell</v>
      </c>
      <c r="B22" s="6" t="str">
        <f>IFERROR(__xludf.DUMMYFUNCTION("""COMPUTED_VALUE"""),"gbonnellk@senate.gov")</f>
        <v>gbonnellk@senate.gov</v>
      </c>
      <c r="C22" s="6" t="str">
        <f>IFERROR(__xludf.DUMMYFUNCTION("""COMPUTED_VALUE"""),"Peru")</f>
        <v>Peru</v>
      </c>
      <c r="D22" s="6">
        <f>COUNTIFS('Raw Data Sales'!H22:H1020, LEFT(A22, FIND(" ",A22)-1), 'Raw Data Sales'!I22:I1020, MID(A22, FIND(" ",A22)+1, 100))</f>
        <v>1</v>
      </c>
      <c r="E22" s="6">
        <f>SUMIFS('Raw Data Sales'!M22:M1020, 'Raw Data Sales'!H22:H1020, LEFT(A22, FIND(" ",A22)-1), 'Raw Data Sales'!I22:I1020, MID(A22, FIND(" ",A22)+1, 100))</f>
        <v>16</v>
      </c>
      <c r="F22" s="6">
        <f>SUMIFS('Raw Data Sales'!N22:N1020, 'Raw Data Sales'!H22:H1020, LEFT(A22, FIND(" ",A22)-1), 'Raw Data Sales'!I22:I1020, MID(A22, FIND(" ",A22)+1, 100))</f>
        <v>7180.54</v>
      </c>
    </row>
    <row r="23">
      <c r="A23" s="6" t="str">
        <f>IFERROR(__xludf.DUMMYFUNCTION("UNIQUE('Raw Data Sales'!H23:H1021 &amp; "" "" &amp; 'Raw Data Sales'!I23:I1021)"),"Dorry Benwell")</f>
        <v>Dorry Benwell</v>
      </c>
      <c r="B23" s="6" t="str">
        <f>IFERROR(__xludf.DUMMYFUNCTION("""COMPUTED_VALUE"""),"dbenwelll@soundcloud.com")</f>
        <v>dbenwelll@soundcloud.com</v>
      </c>
      <c r="C23" s="6" t="str">
        <f>IFERROR(__xludf.DUMMYFUNCTION("""COMPUTED_VALUE"""),"Indonesia")</f>
        <v>Indonesia</v>
      </c>
      <c r="D23" s="6">
        <f>COUNTIFS('Raw Data Sales'!H23:H1021, LEFT(A23, FIND(" ",A23)-1), 'Raw Data Sales'!I23:I1021, MID(A23, FIND(" ",A23)+1, 100))</f>
        <v>1</v>
      </c>
      <c r="E23" s="6">
        <f>SUMIFS('Raw Data Sales'!M23:M1021, 'Raw Data Sales'!H23:H1021, LEFT(A23, FIND(" ",A23)-1), 'Raw Data Sales'!I23:I1021, MID(A23, FIND(" ",A23)+1, 100))</f>
        <v>26</v>
      </c>
      <c r="F23" s="6">
        <f>SUMIFS('Raw Data Sales'!N23:N1021, 'Raw Data Sales'!H23:H1021, LEFT(A23, FIND(" ",A23)-1), 'Raw Data Sales'!I23:I1021, MID(A23, FIND(" ",A23)+1, 100))</f>
        <v>120.28</v>
      </c>
    </row>
    <row r="24">
      <c r="A24" s="6" t="str">
        <f>IFERROR(__xludf.DUMMYFUNCTION("UNIQUE('Raw Data Sales'!H24:H1022 &amp; "" "" &amp; 'Raw Data Sales'!I24:I1022)"),"Sherwin Golds")</f>
        <v>Sherwin Golds</v>
      </c>
      <c r="B24" s="6" t="str">
        <f>IFERROR(__xludf.DUMMYFUNCTION("""COMPUTED_VALUE"""),"sgoldsm@wisc.edu")</f>
        <v>sgoldsm@wisc.edu</v>
      </c>
      <c r="C24" s="6" t="str">
        <f>IFERROR(__xludf.DUMMYFUNCTION("""COMPUTED_VALUE"""),"Croatia")</f>
        <v>Croatia</v>
      </c>
      <c r="D24" s="6">
        <f>COUNTIFS('Raw Data Sales'!H24:H1022, LEFT(A24, FIND(" ",A24)-1), 'Raw Data Sales'!I24:I1022, MID(A24, FIND(" ",A24)+1, 100))</f>
        <v>1</v>
      </c>
      <c r="E24" s="6">
        <f>SUMIFS('Raw Data Sales'!M24:M1022, 'Raw Data Sales'!H24:H1022, LEFT(A24, FIND(" ",A24)-1), 'Raw Data Sales'!I24:I1022, MID(A24, FIND(" ",A24)+1, 100))</f>
        <v>42</v>
      </c>
      <c r="F24" s="6">
        <f>SUMIFS('Raw Data Sales'!N24:N1022, 'Raw Data Sales'!H24:H1022, LEFT(A24, FIND(" ",A24)-1), 'Raw Data Sales'!I24:I1022, MID(A24, FIND(" ",A24)+1, 100))</f>
        <v>3597.95</v>
      </c>
    </row>
    <row r="25">
      <c r="A25" s="6" t="str">
        <f>IFERROR(__xludf.DUMMYFUNCTION("UNIQUE('Raw Data Sales'!H25:H1023 &amp; "" "" &amp; 'Raw Data Sales'!I25:I1023)"),"Nichols Edmenson")</f>
        <v>Nichols Edmenson</v>
      </c>
      <c r="B25" s="6" t="str">
        <f>IFERROR(__xludf.DUMMYFUNCTION("""COMPUTED_VALUE"""),"nedmensonn@blogs.com")</f>
        <v>nedmensonn@blogs.com</v>
      </c>
      <c r="C25" s="6" t="str">
        <f>IFERROR(__xludf.DUMMYFUNCTION("""COMPUTED_VALUE"""),"Ukraine")</f>
        <v>Ukraine</v>
      </c>
      <c r="D25" s="6">
        <f>COUNTIFS('Raw Data Sales'!H25:H1023, LEFT(A25, FIND(" ",A25)-1), 'Raw Data Sales'!I25:I1023, MID(A25, FIND(" ",A25)+1, 100))</f>
        <v>1</v>
      </c>
      <c r="E25" s="6">
        <f>SUMIFS('Raw Data Sales'!M25:M1023, 'Raw Data Sales'!H25:H1023, LEFT(A25, FIND(" ",A25)-1), 'Raw Data Sales'!I25:I1023, MID(A25, FIND(" ",A25)+1, 100))</f>
        <v>47</v>
      </c>
      <c r="F25" s="6">
        <f>SUMIFS('Raw Data Sales'!N25:N1023, 'Raw Data Sales'!H25:H1023, LEFT(A25, FIND(" ",A25)-1), 'Raw Data Sales'!I25:I1023, MID(A25, FIND(" ",A25)+1, 100))</f>
        <v>792.14</v>
      </c>
    </row>
    <row r="26">
      <c r="A26" s="6" t="str">
        <f>IFERROR(__xludf.DUMMYFUNCTION("UNIQUE('Raw Data Sales'!H26:H1024 &amp; "" "" &amp; 'Raw Data Sales'!I26:I1024)"),"Jorey Haker")</f>
        <v>Jorey Haker</v>
      </c>
      <c r="B26" s="6" t="str">
        <f>IFERROR(__xludf.DUMMYFUNCTION("""COMPUTED_VALUE"""),"jhakero@mozilla.org")</f>
        <v>jhakero@mozilla.org</v>
      </c>
      <c r="C26" s="6" t="str">
        <f>IFERROR(__xludf.DUMMYFUNCTION("""COMPUTED_VALUE"""),"Indonesia")</f>
        <v>Indonesia</v>
      </c>
      <c r="D26" s="6">
        <f>COUNTIFS('Raw Data Sales'!H26:H1024, LEFT(A26, FIND(" ",A26)-1), 'Raw Data Sales'!I26:I1024, MID(A26, FIND(" ",A26)+1, 100))</f>
        <v>1</v>
      </c>
      <c r="E26" s="6">
        <f>SUMIFS('Raw Data Sales'!M26:M1024, 'Raw Data Sales'!H26:H1024, LEFT(A26, FIND(" ",A26)-1), 'Raw Data Sales'!I26:I1024, MID(A26, FIND(" ",A26)+1, 100))</f>
        <v>3</v>
      </c>
      <c r="F26" s="6">
        <f>SUMIFS('Raw Data Sales'!N26:N1024, 'Raw Data Sales'!H26:H1024, LEFT(A26, FIND(" ",A26)-1), 'Raw Data Sales'!I26:I1024, MID(A26, FIND(" ",A26)+1, 100))</f>
        <v>5186.98</v>
      </c>
    </row>
    <row r="27">
      <c r="A27" s="6" t="str">
        <f>IFERROR(__xludf.DUMMYFUNCTION("UNIQUE('Raw Data Sales'!H27:H1025 &amp; "" "" &amp; 'Raw Data Sales'!I27:I1025)"),"Chas Chagg")</f>
        <v>Chas Chagg</v>
      </c>
      <c r="B27" s="6" t="str">
        <f>IFERROR(__xludf.DUMMYFUNCTION("""COMPUTED_VALUE"""),"cchaggp@addthis.com")</f>
        <v>cchaggp@addthis.com</v>
      </c>
      <c r="C27" s="6" t="str">
        <f>IFERROR(__xludf.DUMMYFUNCTION("""COMPUTED_VALUE"""),"Philippines")</f>
        <v>Philippines</v>
      </c>
      <c r="D27" s="6">
        <f>COUNTIFS('Raw Data Sales'!H27:H1025, LEFT(A27, FIND(" ",A27)-1), 'Raw Data Sales'!I27:I1025, MID(A27, FIND(" ",A27)+1, 100))</f>
        <v>1</v>
      </c>
      <c r="E27" s="6">
        <f>SUMIFS('Raw Data Sales'!M27:M1025, 'Raw Data Sales'!H27:H1025, LEFT(A27, FIND(" ",A27)-1), 'Raw Data Sales'!I27:I1025, MID(A27, FIND(" ",A27)+1, 100))</f>
        <v>85</v>
      </c>
      <c r="F27" s="6">
        <f>SUMIFS('Raw Data Sales'!N27:N1025, 'Raw Data Sales'!H27:H1025, LEFT(A27, FIND(" ",A27)-1), 'Raw Data Sales'!I27:I1025, MID(A27, FIND(" ",A27)+1, 100))</f>
        <v>1768.48</v>
      </c>
    </row>
    <row r="28">
      <c r="A28" s="6" t="str">
        <f>IFERROR(__xludf.DUMMYFUNCTION("UNIQUE('Raw Data Sales'!H28:H1026 &amp; "" "" &amp; 'Raw Data Sales'!I28:I1026)"),"Kirbie Rothon")</f>
        <v>Kirbie Rothon</v>
      </c>
      <c r="B28" s="6" t="str">
        <f>IFERROR(__xludf.DUMMYFUNCTION("""COMPUTED_VALUE"""),"krothonq@cbsnews.com")</f>
        <v>krothonq@cbsnews.com</v>
      </c>
      <c r="C28" s="6" t="str">
        <f>IFERROR(__xludf.DUMMYFUNCTION("""COMPUTED_VALUE"""),"Morocco")</f>
        <v>Morocco</v>
      </c>
      <c r="D28" s="6">
        <f>COUNTIFS('Raw Data Sales'!H28:H1026, LEFT(A28, FIND(" ",A28)-1), 'Raw Data Sales'!I28:I1026, MID(A28, FIND(" ",A28)+1, 100))</f>
        <v>1</v>
      </c>
      <c r="E28" s="6">
        <f>SUMIFS('Raw Data Sales'!M28:M1026, 'Raw Data Sales'!H28:H1026, LEFT(A28, FIND(" ",A28)-1), 'Raw Data Sales'!I28:I1026, MID(A28, FIND(" ",A28)+1, 100))</f>
        <v>15</v>
      </c>
      <c r="F28" s="6">
        <f>SUMIFS('Raw Data Sales'!N28:N1026, 'Raw Data Sales'!H28:H1026, LEFT(A28, FIND(" ",A28)-1), 'Raw Data Sales'!I28:I1026, MID(A28, FIND(" ",A28)+1, 100))</f>
        <v>6170.8</v>
      </c>
    </row>
    <row r="29">
      <c r="A29" s="6" t="str">
        <f>IFERROR(__xludf.DUMMYFUNCTION("UNIQUE('Raw Data Sales'!H29:H1027 &amp; "" "" &amp; 'Raw Data Sales'!I29:I1027)"),"Lotte Hazeldene")</f>
        <v>Lotte Hazeldene</v>
      </c>
      <c r="B29" s="6" t="str">
        <f>IFERROR(__xludf.DUMMYFUNCTION("""COMPUTED_VALUE"""),"lhazeldener@cbc.ca")</f>
        <v>lhazeldener@cbc.ca</v>
      </c>
      <c r="C29" s="6" t="str">
        <f>IFERROR(__xludf.DUMMYFUNCTION("""COMPUTED_VALUE"""),"Portugal")</f>
        <v>Portugal</v>
      </c>
      <c r="D29" s="6">
        <f>COUNTIFS('Raw Data Sales'!H29:H1027, LEFT(A29, FIND(" ",A29)-1), 'Raw Data Sales'!I29:I1027, MID(A29, FIND(" ",A29)+1, 100))</f>
        <v>1</v>
      </c>
      <c r="E29" s="6">
        <f>SUMIFS('Raw Data Sales'!M29:M1027, 'Raw Data Sales'!H29:H1027, LEFT(A29, FIND(" ",A29)-1), 'Raw Data Sales'!I29:I1027, MID(A29, FIND(" ",A29)+1, 100))</f>
        <v>100</v>
      </c>
      <c r="F29" s="6">
        <f>SUMIFS('Raw Data Sales'!N29:N1027, 'Raw Data Sales'!H29:H1027, LEFT(A29, FIND(" ",A29)-1), 'Raw Data Sales'!I29:I1027, MID(A29, FIND(" ",A29)+1, 100))</f>
        <v>7819.25</v>
      </c>
    </row>
    <row r="30">
      <c r="A30" s="6" t="str">
        <f>IFERROR(__xludf.DUMMYFUNCTION("UNIQUE('Raw Data Sales'!H30:H1028 &amp; "" "" &amp; 'Raw Data Sales'!I30:I1028)"),"Lida Ades")</f>
        <v>Lida Ades</v>
      </c>
      <c r="B30" s="6" t="str">
        <f>IFERROR(__xludf.DUMMYFUNCTION("""COMPUTED_VALUE"""),"ladess@fda.gov")</f>
        <v>ladess@fda.gov</v>
      </c>
      <c r="C30" s="6" t="str">
        <f>IFERROR(__xludf.DUMMYFUNCTION("""COMPUTED_VALUE"""),"Vietnam")</f>
        <v>Vietnam</v>
      </c>
      <c r="D30" s="6">
        <f>COUNTIFS('Raw Data Sales'!H30:H1028, LEFT(A30, FIND(" ",A30)-1), 'Raw Data Sales'!I30:I1028, MID(A30, FIND(" ",A30)+1, 100))</f>
        <v>1</v>
      </c>
      <c r="E30" s="6">
        <f>SUMIFS('Raw Data Sales'!M30:M1028, 'Raw Data Sales'!H30:H1028, LEFT(A30, FIND(" ",A30)-1), 'Raw Data Sales'!I30:I1028, MID(A30, FIND(" ",A30)+1, 100))</f>
        <v>99</v>
      </c>
      <c r="F30" s="6">
        <f>SUMIFS('Raw Data Sales'!N30:N1028, 'Raw Data Sales'!H30:H1028, LEFT(A30, FIND(" ",A30)-1), 'Raw Data Sales'!I30:I1028, MID(A30, FIND(" ",A30)+1, 100))</f>
        <v>89.42</v>
      </c>
    </row>
    <row r="31">
      <c r="A31" s="6" t="str">
        <f>IFERROR(__xludf.DUMMYFUNCTION("UNIQUE('Raw Data Sales'!H31:H1029 &amp; "" "" &amp; 'Raw Data Sales'!I31:I1029)"),"Sullivan Huster")</f>
        <v>Sullivan Huster</v>
      </c>
      <c r="B31" s="6" t="str">
        <f>IFERROR(__xludf.DUMMYFUNCTION("""COMPUTED_VALUE"""),"shustert@nih.gov")</f>
        <v>shustert@nih.gov</v>
      </c>
      <c r="C31" s="6" t="str">
        <f>IFERROR(__xludf.DUMMYFUNCTION("""COMPUTED_VALUE"""),"Panama")</f>
        <v>Panama</v>
      </c>
      <c r="D31" s="6">
        <f>COUNTIFS('Raw Data Sales'!H31:H1029, LEFT(A31, FIND(" ",A31)-1), 'Raw Data Sales'!I31:I1029, MID(A31, FIND(" ",A31)+1, 100))</f>
        <v>1</v>
      </c>
      <c r="E31" s="6">
        <f>SUMIFS('Raw Data Sales'!M31:M1029, 'Raw Data Sales'!H31:H1029, LEFT(A31, FIND(" ",A31)-1), 'Raw Data Sales'!I31:I1029, MID(A31, FIND(" ",A31)+1, 100))</f>
        <v>13</v>
      </c>
      <c r="F31" s="6">
        <f>SUMIFS('Raw Data Sales'!N31:N1029, 'Raw Data Sales'!H31:H1029, LEFT(A31, FIND(" ",A31)-1), 'Raw Data Sales'!I31:I1029, MID(A31, FIND(" ",A31)+1, 100))</f>
        <v>6307.09</v>
      </c>
    </row>
    <row r="32">
      <c r="A32" s="6" t="str">
        <f>IFERROR(__xludf.DUMMYFUNCTION("UNIQUE('Raw Data Sales'!H32:H1030 &amp; "" "" &amp; 'Raw Data Sales'!I32:I1030)"),"Eimile Boase")</f>
        <v>Eimile Boase</v>
      </c>
      <c r="B32" s="6" t="str">
        <f>IFERROR(__xludf.DUMMYFUNCTION("""COMPUTED_VALUE"""),"eboaseu@gov.uk")</f>
        <v>eboaseu@gov.uk</v>
      </c>
      <c r="C32" s="6" t="str">
        <f>IFERROR(__xludf.DUMMYFUNCTION("""COMPUTED_VALUE"""),"Brazil")</f>
        <v>Brazil</v>
      </c>
      <c r="D32" s="6">
        <f>COUNTIFS('Raw Data Sales'!H32:H1030, LEFT(A32, FIND(" ",A32)-1), 'Raw Data Sales'!I32:I1030, MID(A32, FIND(" ",A32)+1, 100))</f>
        <v>1</v>
      </c>
      <c r="E32" s="6">
        <f>SUMIFS('Raw Data Sales'!M32:M1030, 'Raw Data Sales'!H32:H1030, LEFT(A32, FIND(" ",A32)-1), 'Raw Data Sales'!I32:I1030, MID(A32, FIND(" ",A32)+1, 100))</f>
        <v>93</v>
      </c>
      <c r="F32" s="6">
        <f>SUMIFS('Raw Data Sales'!N32:N1030, 'Raw Data Sales'!H32:H1030, LEFT(A32, FIND(" ",A32)-1), 'Raw Data Sales'!I32:I1030, MID(A32, FIND(" ",A32)+1, 100))</f>
        <v>6644.91</v>
      </c>
    </row>
    <row r="33">
      <c r="A33" s="6" t="str">
        <f>IFERROR(__xludf.DUMMYFUNCTION("UNIQUE('Raw Data Sales'!H33:H1031 &amp; "" "" &amp; 'Raw Data Sales'!I33:I1031)"),"Jude Monery")</f>
        <v>Jude Monery</v>
      </c>
      <c r="B33" s="6" t="str">
        <f>IFERROR(__xludf.DUMMYFUNCTION("""COMPUTED_VALUE"""),"jmoneryv@cbslocal.com")</f>
        <v>jmoneryv@cbslocal.com</v>
      </c>
      <c r="C33" s="6" t="str">
        <f>IFERROR(__xludf.DUMMYFUNCTION("""COMPUTED_VALUE"""),"Greece")</f>
        <v>Greece</v>
      </c>
      <c r="D33" s="6">
        <f>COUNTIFS('Raw Data Sales'!H33:H1031, LEFT(A33, FIND(" ",A33)-1), 'Raw Data Sales'!I33:I1031, MID(A33, FIND(" ",A33)+1, 100))</f>
        <v>1</v>
      </c>
      <c r="E33" s="6">
        <f>SUMIFS('Raw Data Sales'!M33:M1031, 'Raw Data Sales'!H33:H1031, LEFT(A33, FIND(" ",A33)-1), 'Raw Data Sales'!I33:I1031, MID(A33, FIND(" ",A33)+1, 100))</f>
        <v>98</v>
      </c>
      <c r="F33" s="6">
        <f>SUMIFS('Raw Data Sales'!N33:N1031, 'Raw Data Sales'!H33:H1031, LEFT(A33, FIND(" ",A33)-1), 'Raw Data Sales'!I33:I1031, MID(A33, FIND(" ",A33)+1, 100))</f>
        <v>9152.9</v>
      </c>
    </row>
    <row r="34">
      <c r="A34" s="6" t="str">
        <f>IFERROR(__xludf.DUMMYFUNCTION("UNIQUE('Raw Data Sales'!H34:H1032 &amp; "" "" &amp; 'Raw Data Sales'!I34:I1032)"),"Fania Breheny")</f>
        <v>Fania Breheny</v>
      </c>
      <c r="B34" s="6" t="str">
        <f>IFERROR(__xludf.DUMMYFUNCTION("""COMPUTED_VALUE"""),"fbrehenyw@buzzfeed.com")</f>
        <v>fbrehenyw@buzzfeed.com</v>
      </c>
      <c r="C34" s="6" t="str">
        <f>IFERROR(__xludf.DUMMYFUNCTION("""COMPUTED_VALUE"""),"Peru")</f>
        <v>Peru</v>
      </c>
      <c r="D34" s="6">
        <f>COUNTIFS('Raw Data Sales'!H34:H1032, LEFT(A34, FIND(" ",A34)-1), 'Raw Data Sales'!I34:I1032, MID(A34, FIND(" ",A34)+1, 100))</f>
        <v>1</v>
      </c>
      <c r="E34" s="6">
        <f>SUMIFS('Raw Data Sales'!M34:M1032, 'Raw Data Sales'!H34:H1032, LEFT(A34, FIND(" ",A34)-1), 'Raw Data Sales'!I34:I1032, MID(A34, FIND(" ",A34)+1, 100))</f>
        <v>61</v>
      </c>
      <c r="F34" s="6">
        <f>SUMIFS('Raw Data Sales'!N34:N1032, 'Raw Data Sales'!H34:H1032, LEFT(A34, FIND(" ",A34)-1), 'Raw Data Sales'!I34:I1032, MID(A34, FIND(" ",A34)+1, 100))</f>
        <v>7812.34</v>
      </c>
    </row>
    <row r="35">
      <c r="A35" s="6" t="str">
        <f>IFERROR(__xludf.DUMMYFUNCTION("UNIQUE('Raw Data Sales'!H35:H1033 &amp; "" "" &amp; 'Raw Data Sales'!I35:I1033)"),"Dex Pinner")</f>
        <v>Dex Pinner</v>
      </c>
      <c r="B35" s="6" t="str">
        <f>IFERROR(__xludf.DUMMYFUNCTION("""COMPUTED_VALUE"""),"dpinnerx@skype.com")</f>
        <v>dpinnerx@skype.com</v>
      </c>
      <c r="C35" s="6" t="str">
        <f>IFERROR(__xludf.DUMMYFUNCTION("""COMPUTED_VALUE"""),"China")</f>
        <v>China</v>
      </c>
      <c r="D35" s="6">
        <f>COUNTIFS('Raw Data Sales'!H35:H1033, LEFT(A35, FIND(" ",A35)-1), 'Raw Data Sales'!I35:I1033, MID(A35, FIND(" ",A35)+1, 100))</f>
        <v>1</v>
      </c>
      <c r="E35" s="6">
        <f>SUMIFS('Raw Data Sales'!M35:M1033, 'Raw Data Sales'!H35:H1033, LEFT(A35, FIND(" ",A35)-1), 'Raw Data Sales'!I35:I1033, MID(A35, FIND(" ",A35)+1, 100))</f>
        <v>4</v>
      </c>
      <c r="F35" s="6">
        <f>SUMIFS('Raw Data Sales'!N35:N1033, 'Raw Data Sales'!H35:H1033, LEFT(A35, FIND(" ",A35)-1), 'Raw Data Sales'!I35:I1033, MID(A35, FIND(" ",A35)+1, 100))</f>
        <v>4026.69</v>
      </c>
    </row>
    <row r="36">
      <c r="A36" s="6" t="str">
        <f>IFERROR(__xludf.DUMMYFUNCTION("UNIQUE('Raw Data Sales'!H36:H1034 &amp; "" "" &amp; 'Raw Data Sales'!I36:I1034)"),"Glendon Boome")</f>
        <v>Glendon Boome</v>
      </c>
      <c r="B36" s="6" t="str">
        <f>IFERROR(__xludf.DUMMYFUNCTION("""COMPUTED_VALUE"""),"gboomey@mashable.com")</f>
        <v>gboomey@mashable.com</v>
      </c>
      <c r="C36" s="6" t="str">
        <f>IFERROR(__xludf.DUMMYFUNCTION("""COMPUTED_VALUE"""),"Russia")</f>
        <v>Russia</v>
      </c>
      <c r="D36" s="6">
        <f>COUNTIFS('Raw Data Sales'!H36:H1034, LEFT(A36, FIND(" ",A36)-1), 'Raw Data Sales'!I36:I1034, MID(A36, FIND(" ",A36)+1, 100))</f>
        <v>1</v>
      </c>
      <c r="E36" s="6">
        <f>SUMIFS('Raw Data Sales'!M36:M1034, 'Raw Data Sales'!H36:H1034, LEFT(A36, FIND(" ",A36)-1), 'Raw Data Sales'!I36:I1034, MID(A36, FIND(" ",A36)+1, 100))</f>
        <v>61</v>
      </c>
      <c r="F36" s="6">
        <f>SUMIFS('Raw Data Sales'!N36:N1034, 'Raw Data Sales'!H36:H1034, LEFT(A36, FIND(" ",A36)-1), 'Raw Data Sales'!I36:I1034, MID(A36, FIND(" ",A36)+1, 100))</f>
        <v>1483.36</v>
      </c>
    </row>
    <row r="37">
      <c r="A37" s="6" t="str">
        <f>IFERROR(__xludf.DUMMYFUNCTION("UNIQUE('Raw Data Sales'!H37:H1035 &amp; "" "" &amp; 'Raw Data Sales'!I37:I1035)"),"Celestia Guerrieri")</f>
        <v>Celestia Guerrieri</v>
      </c>
      <c r="B37" s="6" t="str">
        <f>IFERROR(__xludf.DUMMYFUNCTION("""COMPUTED_VALUE"""),"cguerrieriz@amazon.de")</f>
        <v>cguerrieriz@amazon.de</v>
      </c>
      <c r="C37" s="6" t="str">
        <f>IFERROR(__xludf.DUMMYFUNCTION("""COMPUTED_VALUE"""),"China")</f>
        <v>China</v>
      </c>
      <c r="D37" s="6">
        <f>COUNTIFS('Raw Data Sales'!H37:H1035, LEFT(A37, FIND(" ",A37)-1), 'Raw Data Sales'!I37:I1035, MID(A37, FIND(" ",A37)+1, 100))</f>
        <v>1</v>
      </c>
      <c r="E37" s="6">
        <f>SUMIFS('Raw Data Sales'!M37:M1035, 'Raw Data Sales'!H37:H1035, LEFT(A37, FIND(" ",A37)-1), 'Raw Data Sales'!I37:I1035, MID(A37, FIND(" ",A37)+1, 100))</f>
        <v>82</v>
      </c>
      <c r="F37" s="6">
        <f>SUMIFS('Raw Data Sales'!N37:N1035, 'Raw Data Sales'!H37:H1035, LEFT(A37, FIND(" ",A37)-1), 'Raw Data Sales'!I37:I1035, MID(A37, FIND(" ",A37)+1, 100))</f>
        <v>2163.95</v>
      </c>
    </row>
    <row r="38">
      <c r="A38" s="6" t="str">
        <f>IFERROR(__xludf.DUMMYFUNCTION("UNIQUE('Raw Data Sales'!H38:H1036 &amp; "" "" &amp; 'Raw Data Sales'!I38:I1036)"),"Karlotta Burrell")</f>
        <v>Karlotta Burrell</v>
      </c>
      <c r="B38" s="6" t="str">
        <f>IFERROR(__xludf.DUMMYFUNCTION("""COMPUTED_VALUE"""),"kburrell10@nps.gov")</f>
        <v>kburrell10@nps.gov</v>
      </c>
      <c r="C38" s="6" t="str">
        <f>IFERROR(__xludf.DUMMYFUNCTION("""COMPUTED_VALUE"""),"Bulgaria")</f>
        <v>Bulgaria</v>
      </c>
      <c r="D38" s="6">
        <f>COUNTIFS('Raw Data Sales'!H38:H1036, LEFT(A38, FIND(" ",A38)-1), 'Raw Data Sales'!I38:I1036, MID(A38, FIND(" ",A38)+1, 100))</f>
        <v>1</v>
      </c>
      <c r="E38" s="6">
        <f>SUMIFS('Raw Data Sales'!M38:M1036, 'Raw Data Sales'!H38:H1036, LEFT(A38, FIND(" ",A38)-1), 'Raw Data Sales'!I38:I1036, MID(A38, FIND(" ",A38)+1, 100))</f>
        <v>48</v>
      </c>
      <c r="F38" s="6">
        <f>SUMIFS('Raw Data Sales'!N38:N1036, 'Raw Data Sales'!H38:H1036, LEFT(A38, FIND(" ",A38)-1), 'Raw Data Sales'!I38:I1036, MID(A38, FIND(" ",A38)+1, 100))</f>
        <v>2660.13</v>
      </c>
    </row>
    <row r="39">
      <c r="A39" s="6" t="str">
        <f>IFERROR(__xludf.DUMMYFUNCTION("UNIQUE('Raw Data Sales'!H39:H1037 &amp; "" "" &amp; 'Raw Data Sales'!I39:I1037)"),"Ulises Scutts")</f>
        <v>Ulises Scutts</v>
      </c>
      <c r="B39" s="6" t="str">
        <f>IFERROR(__xludf.DUMMYFUNCTION("""COMPUTED_VALUE"""),"uscutts11@meetup.com")</f>
        <v>uscutts11@meetup.com</v>
      </c>
      <c r="C39" s="6" t="str">
        <f>IFERROR(__xludf.DUMMYFUNCTION("""COMPUTED_VALUE"""),"United States")</f>
        <v>United States</v>
      </c>
      <c r="D39" s="6">
        <f>COUNTIFS('Raw Data Sales'!H39:H1037, LEFT(A39, FIND(" ",A39)-1), 'Raw Data Sales'!I39:I1037, MID(A39, FIND(" ",A39)+1, 100))</f>
        <v>1</v>
      </c>
      <c r="E39" s="6">
        <f>SUMIFS('Raw Data Sales'!M39:M1037, 'Raw Data Sales'!H39:H1037, LEFT(A39, FIND(" ",A39)-1), 'Raw Data Sales'!I39:I1037, MID(A39, FIND(" ",A39)+1, 100))</f>
        <v>99</v>
      </c>
      <c r="F39" s="6">
        <f>SUMIFS('Raw Data Sales'!N39:N1037, 'Raw Data Sales'!H39:H1037, LEFT(A39, FIND(" ",A39)-1), 'Raw Data Sales'!I39:I1037, MID(A39, FIND(" ",A39)+1, 100))</f>
        <v>5132.13</v>
      </c>
    </row>
    <row r="40">
      <c r="A40" s="6" t="str">
        <f>IFERROR(__xludf.DUMMYFUNCTION("UNIQUE('Raw Data Sales'!H40:H1038 &amp; "" "" &amp; 'Raw Data Sales'!I40:I1038)"),"Tristam Tofanelli")</f>
        <v>Tristam Tofanelli</v>
      </c>
      <c r="B40" s="6" t="str">
        <f>IFERROR(__xludf.DUMMYFUNCTION("""COMPUTED_VALUE"""),"ttofanelli12@guardian.co.uk")</f>
        <v>ttofanelli12@guardian.co.uk</v>
      </c>
      <c r="C40" s="6" t="str">
        <f>IFERROR(__xludf.DUMMYFUNCTION("""COMPUTED_VALUE"""),"Portugal")</f>
        <v>Portugal</v>
      </c>
      <c r="D40" s="6">
        <f>COUNTIFS('Raw Data Sales'!H40:H1038, LEFT(A40, FIND(" ",A40)-1), 'Raw Data Sales'!I40:I1038, MID(A40, FIND(" ",A40)+1, 100))</f>
        <v>1</v>
      </c>
      <c r="E40" s="6">
        <f>SUMIFS('Raw Data Sales'!M40:M1038, 'Raw Data Sales'!H40:H1038, LEFT(A40, FIND(" ",A40)-1), 'Raw Data Sales'!I40:I1038, MID(A40, FIND(" ",A40)+1, 100))</f>
        <v>73</v>
      </c>
      <c r="F40" s="6">
        <f>SUMIFS('Raw Data Sales'!N40:N1038, 'Raw Data Sales'!H40:H1038, LEFT(A40, FIND(" ",A40)-1), 'Raw Data Sales'!I40:I1038, MID(A40, FIND(" ",A40)+1, 100))</f>
        <v>9593.87</v>
      </c>
    </row>
    <row r="41">
      <c r="A41" s="6" t="str">
        <f>IFERROR(__xludf.DUMMYFUNCTION("UNIQUE('Raw Data Sales'!H41:H1039 &amp; "" "" &amp; 'Raw Data Sales'!I41:I1039)"),"Shandeigh Scarbarrow")</f>
        <v>Shandeigh Scarbarrow</v>
      </c>
      <c r="B41" s="6" t="str">
        <f>IFERROR(__xludf.DUMMYFUNCTION("""COMPUTED_VALUE"""),"sscarbarrow13@zimbio.com")</f>
        <v>sscarbarrow13@zimbio.com</v>
      </c>
      <c r="C41" s="6" t="str">
        <f>IFERROR(__xludf.DUMMYFUNCTION("""COMPUTED_VALUE"""),"Indonesia")</f>
        <v>Indonesia</v>
      </c>
      <c r="D41" s="6">
        <f>COUNTIFS('Raw Data Sales'!H41:H1039, LEFT(A41, FIND(" ",A41)-1), 'Raw Data Sales'!I41:I1039, MID(A41, FIND(" ",A41)+1, 100))</f>
        <v>1</v>
      </c>
      <c r="E41" s="6">
        <f>SUMIFS('Raw Data Sales'!M41:M1039, 'Raw Data Sales'!H41:H1039, LEFT(A41, FIND(" ",A41)-1), 'Raw Data Sales'!I41:I1039, MID(A41, FIND(" ",A41)+1, 100))</f>
        <v>66</v>
      </c>
      <c r="F41" s="6">
        <f>SUMIFS('Raw Data Sales'!N41:N1039, 'Raw Data Sales'!H41:H1039, LEFT(A41, FIND(" ",A41)-1), 'Raw Data Sales'!I41:I1039, MID(A41, FIND(" ",A41)+1, 100))</f>
        <v>9624.76</v>
      </c>
    </row>
    <row r="42">
      <c r="A42" s="6" t="str">
        <f>IFERROR(__xludf.DUMMYFUNCTION("UNIQUE('Raw Data Sales'!H42:H1040 &amp; "" "" &amp; 'Raw Data Sales'!I42:I1040)"),"Ivie Trusdale")</f>
        <v>Ivie Trusdale</v>
      </c>
      <c r="B42" s="6" t="str">
        <f>IFERROR(__xludf.DUMMYFUNCTION("""COMPUTED_VALUE"""),"itrusdale14@army.mil")</f>
        <v>itrusdale14@army.mil</v>
      </c>
      <c r="C42" s="6" t="str">
        <f>IFERROR(__xludf.DUMMYFUNCTION("""COMPUTED_VALUE"""),"China")</f>
        <v>China</v>
      </c>
      <c r="D42" s="6">
        <f>COUNTIFS('Raw Data Sales'!H42:H1040, LEFT(A42, FIND(" ",A42)-1), 'Raw Data Sales'!I42:I1040, MID(A42, FIND(" ",A42)+1, 100))</f>
        <v>1</v>
      </c>
      <c r="E42" s="6">
        <f>SUMIFS('Raw Data Sales'!M42:M1040, 'Raw Data Sales'!H42:H1040, LEFT(A42, FIND(" ",A42)-1), 'Raw Data Sales'!I42:I1040, MID(A42, FIND(" ",A42)+1, 100))</f>
        <v>32</v>
      </c>
      <c r="F42" s="6">
        <f>SUMIFS('Raw Data Sales'!N42:N1040, 'Raw Data Sales'!H42:H1040, LEFT(A42, FIND(" ",A42)-1), 'Raw Data Sales'!I42:I1040, MID(A42, FIND(" ",A42)+1, 100))</f>
        <v>2593.95</v>
      </c>
    </row>
    <row r="43">
      <c r="A43" s="6" t="str">
        <f>IFERROR(__xludf.DUMMYFUNCTION("UNIQUE('Raw Data Sales'!H43:H1041 &amp; "" "" &amp; 'Raw Data Sales'!I43:I1041)"),"Winny Sissens")</f>
        <v>Winny Sissens</v>
      </c>
      <c r="B43" s="6" t="str">
        <f>IFERROR(__xludf.DUMMYFUNCTION("""COMPUTED_VALUE"""),"wsissens15@aboutads.info")</f>
        <v>wsissens15@aboutads.info</v>
      </c>
      <c r="C43" s="6" t="str">
        <f>IFERROR(__xludf.DUMMYFUNCTION("""COMPUTED_VALUE"""),"Portugal")</f>
        <v>Portugal</v>
      </c>
      <c r="D43" s="6">
        <f>COUNTIFS('Raw Data Sales'!H43:H1041, LEFT(A43, FIND(" ",A43)-1), 'Raw Data Sales'!I43:I1041, MID(A43, FIND(" ",A43)+1, 100))</f>
        <v>1</v>
      </c>
      <c r="E43" s="6">
        <f>SUMIFS('Raw Data Sales'!M43:M1041, 'Raw Data Sales'!H43:H1041, LEFT(A43, FIND(" ",A43)-1), 'Raw Data Sales'!I43:I1041, MID(A43, FIND(" ",A43)+1, 100))</f>
        <v>88</v>
      </c>
      <c r="F43" s="6">
        <f>SUMIFS('Raw Data Sales'!N43:N1041, 'Raw Data Sales'!H43:H1041, LEFT(A43, FIND(" ",A43)-1), 'Raw Data Sales'!I43:I1041, MID(A43, FIND(" ",A43)+1, 100))</f>
        <v>1618.03</v>
      </c>
    </row>
    <row r="44">
      <c r="A44" s="6" t="str">
        <f>IFERROR(__xludf.DUMMYFUNCTION("UNIQUE('Raw Data Sales'!H44:H1042 &amp; "" "" &amp; 'Raw Data Sales'!I44:I1042)"),"Rickey Sydenham")</f>
        <v>Rickey Sydenham</v>
      </c>
      <c r="B44" s="6" t="str">
        <f>IFERROR(__xludf.DUMMYFUNCTION("""COMPUTED_VALUE"""),"rsydenham16@blogger.com")</f>
        <v>rsydenham16@blogger.com</v>
      </c>
      <c r="C44" s="6" t="str">
        <f>IFERROR(__xludf.DUMMYFUNCTION("""COMPUTED_VALUE"""),"China")</f>
        <v>China</v>
      </c>
      <c r="D44" s="6">
        <f>COUNTIFS('Raw Data Sales'!H44:H1042, LEFT(A44, FIND(" ",A44)-1), 'Raw Data Sales'!I44:I1042, MID(A44, FIND(" ",A44)+1, 100))</f>
        <v>1</v>
      </c>
      <c r="E44" s="6">
        <f>SUMIFS('Raw Data Sales'!M44:M1042, 'Raw Data Sales'!H44:H1042, LEFT(A44, FIND(" ",A44)-1), 'Raw Data Sales'!I44:I1042, MID(A44, FIND(" ",A44)+1, 100))</f>
        <v>50</v>
      </c>
      <c r="F44" s="6">
        <f>SUMIFS('Raw Data Sales'!N44:N1042, 'Raw Data Sales'!H44:H1042, LEFT(A44, FIND(" ",A44)-1), 'Raw Data Sales'!I44:I1042, MID(A44, FIND(" ",A44)+1, 100))</f>
        <v>6191.5</v>
      </c>
    </row>
    <row r="45">
      <c r="A45" s="6" t="str">
        <f>IFERROR(__xludf.DUMMYFUNCTION("UNIQUE('Raw Data Sales'!H45:H1043 &amp; "" "" &amp; 'Raw Data Sales'!I45:I1043)"),"Enrique Mustin")</f>
        <v>Enrique Mustin</v>
      </c>
      <c r="B45" s="6" t="str">
        <f>IFERROR(__xludf.DUMMYFUNCTION("""COMPUTED_VALUE"""),"emustin17@elegantthemes.com")</f>
        <v>emustin17@elegantthemes.com</v>
      </c>
      <c r="C45" s="6" t="str">
        <f>IFERROR(__xludf.DUMMYFUNCTION("""COMPUTED_VALUE"""),"Bangladesh")</f>
        <v>Bangladesh</v>
      </c>
      <c r="D45" s="6">
        <f>COUNTIFS('Raw Data Sales'!H45:H1043, LEFT(A45, FIND(" ",A45)-1), 'Raw Data Sales'!I45:I1043, MID(A45, FIND(" ",A45)+1, 100))</f>
        <v>1</v>
      </c>
      <c r="E45" s="6">
        <f>SUMIFS('Raw Data Sales'!M45:M1043, 'Raw Data Sales'!H45:H1043, LEFT(A45, FIND(" ",A45)-1), 'Raw Data Sales'!I45:I1043, MID(A45, FIND(" ",A45)+1, 100))</f>
        <v>24</v>
      </c>
      <c r="F45" s="6">
        <f>SUMIFS('Raw Data Sales'!N45:N1043, 'Raw Data Sales'!H45:H1043, LEFT(A45, FIND(" ",A45)-1), 'Raw Data Sales'!I45:I1043, MID(A45, FIND(" ",A45)+1, 100))</f>
        <v>7035.67</v>
      </c>
    </row>
    <row r="46">
      <c r="A46" s="6" t="str">
        <f>IFERROR(__xludf.DUMMYFUNCTION("UNIQUE('Raw Data Sales'!H46:H1044 &amp; "" "" &amp; 'Raw Data Sales'!I46:I1044)"),"Clyde Sawkin")</f>
        <v>Clyde Sawkin</v>
      </c>
      <c r="B46" s="6" t="str">
        <f>IFERROR(__xludf.DUMMYFUNCTION("""COMPUTED_VALUE"""),"csawkin18@wordpress.com")</f>
        <v>csawkin18@wordpress.com</v>
      </c>
      <c r="C46" s="6" t="str">
        <f>IFERROR(__xludf.DUMMYFUNCTION("""COMPUTED_VALUE"""),"China")</f>
        <v>China</v>
      </c>
      <c r="D46" s="6">
        <f>COUNTIFS('Raw Data Sales'!H46:H1044, LEFT(A46, FIND(" ",A46)-1), 'Raw Data Sales'!I46:I1044, MID(A46, FIND(" ",A46)+1, 100))</f>
        <v>1</v>
      </c>
      <c r="E46" s="6">
        <f>SUMIFS('Raw Data Sales'!M46:M1044, 'Raw Data Sales'!H46:H1044, LEFT(A46, FIND(" ",A46)-1), 'Raw Data Sales'!I46:I1044, MID(A46, FIND(" ",A46)+1, 100))</f>
        <v>77</v>
      </c>
      <c r="F46" s="6">
        <f>SUMIFS('Raw Data Sales'!N46:N1044, 'Raw Data Sales'!H46:H1044, LEFT(A46, FIND(" ",A46)-1), 'Raw Data Sales'!I46:I1044, MID(A46, FIND(" ",A46)+1, 100))</f>
        <v>5524.72</v>
      </c>
    </row>
    <row r="47">
      <c r="A47" s="6" t="str">
        <f>IFERROR(__xludf.DUMMYFUNCTION("UNIQUE('Raw Data Sales'!H47:H1045 &amp; "" "" &amp; 'Raw Data Sales'!I47:I1045)"),"Veronica Woodroffe")</f>
        <v>Veronica Woodroffe</v>
      </c>
      <c r="B47" s="6" t="str">
        <f>IFERROR(__xludf.DUMMYFUNCTION("""COMPUTED_VALUE"""),"vwoodroffe19@facebook.com")</f>
        <v>vwoodroffe19@facebook.com</v>
      </c>
      <c r="C47" s="6" t="str">
        <f>IFERROR(__xludf.DUMMYFUNCTION("""COMPUTED_VALUE"""),"Indonesia")</f>
        <v>Indonesia</v>
      </c>
      <c r="D47" s="6">
        <f>COUNTIFS('Raw Data Sales'!H47:H1045, LEFT(A47, FIND(" ",A47)-1), 'Raw Data Sales'!I47:I1045, MID(A47, FIND(" ",A47)+1, 100))</f>
        <v>1</v>
      </c>
      <c r="E47" s="6">
        <f>SUMIFS('Raw Data Sales'!M47:M1045, 'Raw Data Sales'!H47:H1045, LEFT(A47, FIND(" ",A47)-1), 'Raw Data Sales'!I47:I1045, MID(A47, FIND(" ",A47)+1, 100))</f>
        <v>26</v>
      </c>
      <c r="F47" s="6">
        <f>SUMIFS('Raw Data Sales'!N47:N1045, 'Raw Data Sales'!H47:H1045, LEFT(A47, FIND(" ",A47)-1), 'Raw Data Sales'!I47:I1045, MID(A47, FIND(" ",A47)+1, 100))</f>
        <v>9606.31</v>
      </c>
    </row>
    <row r="48">
      <c r="A48" s="6" t="str">
        <f>IFERROR(__xludf.DUMMYFUNCTION("UNIQUE('Raw Data Sales'!H48:H1046 &amp; "" "" &amp; 'Raw Data Sales'!I48:I1046)"),"Niel Fillingham")</f>
        <v>Niel Fillingham</v>
      </c>
      <c r="B48" s="6" t="str">
        <f>IFERROR(__xludf.DUMMYFUNCTION("""COMPUTED_VALUE"""),"nfillingham1a@noaa.gov")</f>
        <v>nfillingham1a@noaa.gov</v>
      </c>
      <c r="C48" s="6" t="str">
        <f>IFERROR(__xludf.DUMMYFUNCTION("""COMPUTED_VALUE"""),"China")</f>
        <v>China</v>
      </c>
      <c r="D48" s="6">
        <f>COUNTIFS('Raw Data Sales'!H48:H1046, LEFT(A48, FIND(" ",A48)-1), 'Raw Data Sales'!I48:I1046, MID(A48, FIND(" ",A48)+1, 100))</f>
        <v>1</v>
      </c>
      <c r="E48" s="6">
        <f>SUMIFS('Raw Data Sales'!M48:M1046, 'Raw Data Sales'!H48:H1046, LEFT(A48, FIND(" ",A48)-1), 'Raw Data Sales'!I48:I1046, MID(A48, FIND(" ",A48)+1, 100))</f>
        <v>16</v>
      </c>
      <c r="F48" s="6">
        <f>SUMIFS('Raw Data Sales'!N48:N1046, 'Raw Data Sales'!H48:H1046, LEFT(A48, FIND(" ",A48)-1), 'Raw Data Sales'!I48:I1046, MID(A48, FIND(" ",A48)+1, 100))</f>
        <v>3150.34</v>
      </c>
    </row>
    <row r="49">
      <c r="A49" s="6" t="str">
        <f>IFERROR(__xludf.DUMMYFUNCTION("UNIQUE('Raw Data Sales'!H49:H1047 &amp; "" "" &amp; 'Raw Data Sales'!I49:I1047)"),"Derrek Cranefield")</f>
        <v>Derrek Cranefield</v>
      </c>
      <c r="B49" s="6" t="str">
        <f>IFERROR(__xludf.DUMMYFUNCTION("""COMPUTED_VALUE"""),"dcranefield1b@economist.com")</f>
        <v>dcranefield1b@economist.com</v>
      </c>
      <c r="C49" s="6" t="str">
        <f>IFERROR(__xludf.DUMMYFUNCTION("""COMPUTED_VALUE"""),"Israel")</f>
        <v>Israel</v>
      </c>
      <c r="D49" s="6">
        <f>COUNTIFS('Raw Data Sales'!H49:H1047, LEFT(A49, FIND(" ",A49)-1), 'Raw Data Sales'!I49:I1047, MID(A49, FIND(" ",A49)+1, 100))</f>
        <v>1</v>
      </c>
      <c r="E49" s="6">
        <f>SUMIFS('Raw Data Sales'!M49:M1047, 'Raw Data Sales'!H49:H1047, LEFT(A49, FIND(" ",A49)-1), 'Raw Data Sales'!I49:I1047, MID(A49, FIND(" ",A49)+1, 100))</f>
        <v>5</v>
      </c>
      <c r="F49" s="6">
        <f>SUMIFS('Raw Data Sales'!N49:N1047, 'Raw Data Sales'!H49:H1047, LEFT(A49, FIND(" ",A49)-1), 'Raw Data Sales'!I49:I1047, MID(A49, FIND(" ",A49)+1, 100))</f>
        <v>3093.4</v>
      </c>
    </row>
    <row r="50">
      <c r="A50" s="6" t="str">
        <f>IFERROR(__xludf.DUMMYFUNCTION("UNIQUE('Raw Data Sales'!H50:H1048 &amp; "" "" &amp; 'Raw Data Sales'!I50:I1048)"),"Sammy Noel")</f>
        <v>Sammy Noel</v>
      </c>
      <c r="B50" s="6" t="str">
        <f>IFERROR(__xludf.DUMMYFUNCTION("""COMPUTED_VALUE"""),"snoel1c@shop-pro.jp")</f>
        <v>snoel1c@shop-pro.jp</v>
      </c>
      <c r="C50" s="6" t="str">
        <f>IFERROR(__xludf.DUMMYFUNCTION("""COMPUTED_VALUE"""),"Peru")</f>
        <v>Peru</v>
      </c>
      <c r="D50" s="6">
        <f>COUNTIFS('Raw Data Sales'!H50:H1048, LEFT(A50, FIND(" ",A50)-1), 'Raw Data Sales'!I50:I1048, MID(A50, FIND(" ",A50)+1, 100))</f>
        <v>1</v>
      </c>
      <c r="E50" s="6">
        <f>SUMIFS('Raw Data Sales'!M50:M1048, 'Raw Data Sales'!H50:H1048, LEFT(A50, FIND(" ",A50)-1), 'Raw Data Sales'!I50:I1048, MID(A50, FIND(" ",A50)+1, 100))</f>
        <v>77</v>
      </c>
      <c r="F50" s="6">
        <f>SUMIFS('Raw Data Sales'!N50:N1048, 'Raw Data Sales'!H50:H1048, LEFT(A50, FIND(" ",A50)-1), 'Raw Data Sales'!I50:I1048, MID(A50, FIND(" ",A50)+1, 100))</f>
        <v>5496.53</v>
      </c>
    </row>
    <row r="51">
      <c r="A51" s="6" t="str">
        <f>IFERROR(__xludf.DUMMYFUNCTION("UNIQUE('Raw Data Sales'!H51:H1049 &amp; "" "" &amp; 'Raw Data Sales'!I51:I1049)"),"Ibbie Ravenscroft")</f>
        <v>Ibbie Ravenscroft</v>
      </c>
      <c r="B51" s="6" t="str">
        <f>IFERROR(__xludf.DUMMYFUNCTION("""COMPUTED_VALUE"""),"iravenscroft1d@istockphoto.com")</f>
        <v>iravenscroft1d@istockphoto.com</v>
      </c>
      <c r="C51" s="6" t="str">
        <f>IFERROR(__xludf.DUMMYFUNCTION("""COMPUTED_VALUE"""),"China")</f>
        <v>China</v>
      </c>
      <c r="D51" s="6">
        <f>COUNTIFS('Raw Data Sales'!H51:H1049, LEFT(A51, FIND(" ",A51)-1), 'Raw Data Sales'!I51:I1049, MID(A51, FIND(" ",A51)+1, 100))</f>
        <v>1</v>
      </c>
      <c r="E51" s="6">
        <f>SUMIFS('Raw Data Sales'!M51:M1049, 'Raw Data Sales'!H51:H1049, LEFT(A51, FIND(" ",A51)-1), 'Raw Data Sales'!I51:I1049, MID(A51, FIND(" ",A51)+1, 100))</f>
        <v>96</v>
      </c>
      <c r="F51" s="6">
        <f>SUMIFS('Raw Data Sales'!N51:N1049, 'Raw Data Sales'!H51:H1049, LEFT(A51, FIND(" ",A51)-1), 'Raw Data Sales'!I51:I1049, MID(A51, FIND(" ",A51)+1, 100))</f>
        <v>8631.13</v>
      </c>
    </row>
    <row r="52">
      <c r="A52" s="6" t="str">
        <f>IFERROR(__xludf.DUMMYFUNCTION("UNIQUE('Raw Data Sales'!H52:H1050 &amp; "" "" &amp; 'Raw Data Sales'!I52:I1050)"),"Agna Pawelczyk")</f>
        <v>Agna Pawelczyk</v>
      </c>
      <c r="B52" s="6" t="str">
        <f>IFERROR(__xludf.DUMMYFUNCTION("""COMPUTED_VALUE"""),"apawelczyk1e@merriam-webster.com")</f>
        <v>apawelczyk1e@merriam-webster.com</v>
      </c>
      <c r="C52" s="6" t="str">
        <f>IFERROR(__xludf.DUMMYFUNCTION("""COMPUTED_VALUE"""),"France")</f>
        <v>France</v>
      </c>
      <c r="D52" s="6">
        <f>COUNTIFS('Raw Data Sales'!H52:H1050, LEFT(A52, FIND(" ",A52)-1), 'Raw Data Sales'!I52:I1050, MID(A52, FIND(" ",A52)+1, 100))</f>
        <v>1</v>
      </c>
      <c r="E52" s="6">
        <f>SUMIFS('Raw Data Sales'!M52:M1050, 'Raw Data Sales'!H52:H1050, LEFT(A52, FIND(" ",A52)-1), 'Raw Data Sales'!I52:I1050, MID(A52, FIND(" ",A52)+1, 100))</f>
        <v>17</v>
      </c>
      <c r="F52" s="6">
        <f>SUMIFS('Raw Data Sales'!N52:N1050, 'Raw Data Sales'!H52:H1050, LEFT(A52, FIND(" ",A52)-1), 'Raw Data Sales'!I52:I1050, MID(A52, FIND(" ",A52)+1, 100))</f>
        <v>7982.25</v>
      </c>
    </row>
    <row r="53">
      <c r="A53" s="6" t="str">
        <f>IFERROR(__xludf.DUMMYFUNCTION("UNIQUE('Raw Data Sales'!H53:H1051 &amp; "" "" &amp; 'Raw Data Sales'!I53:I1051)"),"Judy Huet")</f>
        <v>Judy Huet</v>
      </c>
      <c r="B53" s="6" t="str">
        <f>IFERROR(__xludf.DUMMYFUNCTION("""COMPUTED_VALUE"""),"jhuet1f@bloglovin.com")</f>
        <v>jhuet1f@bloglovin.com</v>
      </c>
      <c r="C53" s="6" t="str">
        <f>IFERROR(__xludf.DUMMYFUNCTION("""COMPUTED_VALUE"""),"Indonesia")</f>
        <v>Indonesia</v>
      </c>
      <c r="D53" s="6">
        <f>COUNTIFS('Raw Data Sales'!H53:H1051, LEFT(A53, FIND(" ",A53)-1), 'Raw Data Sales'!I53:I1051, MID(A53, FIND(" ",A53)+1, 100))</f>
        <v>1</v>
      </c>
      <c r="E53" s="6">
        <f>SUMIFS('Raw Data Sales'!M53:M1051, 'Raw Data Sales'!H53:H1051, LEFT(A53, FIND(" ",A53)-1), 'Raw Data Sales'!I53:I1051, MID(A53, FIND(" ",A53)+1, 100))</f>
        <v>56</v>
      </c>
      <c r="F53" s="6">
        <f>SUMIFS('Raw Data Sales'!N53:N1051, 'Raw Data Sales'!H53:H1051, LEFT(A53, FIND(" ",A53)-1), 'Raw Data Sales'!I53:I1051, MID(A53, FIND(" ",A53)+1, 100))</f>
        <v>619.38</v>
      </c>
    </row>
    <row r="54">
      <c r="A54" s="6" t="str">
        <f>IFERROR(__xludf.DUMMYFUNCTION("UNIQUE('Raw Data Sales'!H54:H1052 &amp; "" "" &amp; 'Raw Data Sales'!I54:I1052)"),"Gunilla Voss")</f>
        <v>Gunilla Voss</v>
      </c>
      <c r="B54" s="6" t="str">
        <f>IFERROR(__xludf.DUMMYFUNCTION("""COMPUTED_VALUE"""),"gvoss1g@nydailynews.com")</f>
        <v>gvoss1g@nydailynews.com</v>
      </c>
      <c r="C54" s="6" t="str">
        <f>IFERROR(__xludf.DUMMYFUNCTION("""COMPUTED_VALUE"""),"Peru")</f>
        <v>Peru</v>
      </c>
      <c r="D54" s="6">
        <f>COUNTIFS('Raw Data Sales'!H54:H1052, LEFT(A54, FIND(" ",A54)-1), 'Raw Data Sales'!I54:I1052, MID(A54, FIND(" ",A54)+1, 100))</f>
        <v>1</v>
      </c>
      <c r="E54" s="6">
        <f>SUMIFS('Raw Data Sales'!M54:M1052, 'Raw Data Sales'!H54:H1052, LEFT(A54, FIND(" ",A54)-1), 'Raw Data Sales'!I54:I1052, MID(A54, FIND(" ",A54)+1, 100))</f>
        <v>36</v>
      </c>
      <c r="F54" s="6">
        <f>SUMIFS('Raw Data Sales'!N54:N1052, 'Raw Data Sales'!H54:H1052, LEFT(A54, FIND(" ",A54)-1), 'Raw Data Sales'!I54:I1052, MID(A54, FIND(" ",A54)+1, 100))</f>
        <v>1486.39</v>
      </c>
    </row>
    <row r="55">
      <c r="A55" s="6" t="str">
        <f>IFERROR(__xludf.DUMMYFUNCTION("UNIQUE('Raw Data Sales'!H55:H1053 &amp; "" "" &amp; 'Raw Data Sales'!I55:I1053)"),"Nani Veschi")</f>
        <v>Nani Veschi</v>
      </c>
      <c r="B55" s="6" t="str">
        <f>IFERROR(__xludf.DUMMYFUNCTION("""COMPUTED_VALUE"""),"nveschi1h@google.co.jp")</f>
        <v>nveschi1h@google.co.jp</v>
      </c>
      <c r="C55" s="6" t="str">
        <f>IFERROR(__xludf.DUMMYFUNCTION("""COMPUTED_VALUE"""),"Norway")</f>
        <v>Norway</v>
      </c>
      <c r="D55" s="6">
        <f>COUNTIFS('Raw Data Sales'!H55:H1053, LEFT(A55, FIND(" ",A55)-1), 'Raw Data Sales'!I55:I1053, MID(A55, FIND(" ",A55)+1, 100))</f>
        <v>1</v>
      </c>
      <c r="E55" s="6">
        <f>SUMIFS('Raw Data Sales'!M55:M1053, 'Raw Data Sales'!H55:H1053, LEFT(A55, FIND(" ",A55)-1), 'Raw Data Sales'!I55:I1053, MID(A55, FIND(" ",A55)+1, 100))</f>
        <v>39</v>
      </c>
      <c r="F55" s="6">
        <f>SUMIFS('Raw Data Sales'!N55:N1053, 'Raw Data Sales'!H55:H1053, LEFT(A55, FIND(" ",A55)-1), 'Raw Data Sales'!I55:I1053, MID(A55, FIND(" ",A55)+1, 100))</f>
        <v>8712.25</v>
      </c>
    </row>
    <row r="56">
      <c r="A56" s="6" t="str">
        <f>IFERROR(__xludf.DUMMYFUNCTION("UNIQUE('Raw Data Sales'!H56:H1054 &amp; "" "" &amp; 'Raw Data Sales'!I56:I1054)"),"Roseanna Rolf")</f>
        <v>Roseanna Rolf</v>
      </c>
      <c r="B56" s="6" t="str">
        <f>IFERROR(__xludf.DUMMYFUNCTION("""COMPUTED_VALUE"""),"rrolf1i@squidoo.com")</f>
        <v>rrolf1i@squidoo.com</v>
      </c>
      <c r="C56" s="6" t="str">
        <f>IFERROR(__xludf.DUMMYFUNCTION("""COMPUTED_VALUE"""),"South Africa")</f>
        <v>South Africa</v>
      </c>
      <c r="D56" s="6">
        <f>COUNTIFS('Raw Data Sales'!H56:H1054, LEFT(A56, FIND(" ",A56)-1), 'Raw Data Sales'!I56:I1054, MID(A56, FIND(" ",A56)+1, 100))</f>
        <v>1</v>
      </c>
      <c r="E56" s="6">
        <f>SUMIFS('Raw Data Sales'!M56:M1054, 'Raw Data Sales'!H56:H1054, LEFT(A56, FIND(" ",A56)-1), 'Raw Data Sales'!I56:I1054, MID(A56, FIND(" ",A56)+1, 100))</f>
        <v>56</v>
      </c>
      <c r="F56" s="6">
        <f>SUMIFS('Raw Data Sales'!N56:N1054, 'Raw Data Sales'!H56:H1054, LEFT(A56, FIND(" ",A56)-1), 'Raw Data Sales'!I56:I1054, MID(A56, FIND(" ",A56)+1, 100))</f>
        <v>3460.68</v>
      </c>
    </row>
    <row r="57">
      <c r="A57" s="6" t="str">
        <f>IFERROR(__xludf.DUMMYFUNCTION("UNIQUE('Raw Data Sales'!H57:H1055 &amp; "" "" &amp; 'Raw Data Sales'!I57:I1055)"),"Johannah Gland")</f>
        <v>Johannah Gland</v>
      </c>
      <c r="B57" s="6" t="str">
        <f>IFERROR(__xludf.DUMMYFUNCTION("""COMPUTED_VALUE"""),"jgland1j@360.cn")</f>
        <v>jgland1j@360.cn</v>
      </c>
      <c r="C57" s="6" t="str">
        <f>IFERROR(__xludf.DUMMYFUNCTION("""COMPUTED_VALUE"""),"Sweden")</f>
        <v>Sweden</v>
      </c>
      <c r="D57" s="6">
        <f>COUNTIFS('Raw Data Sales'!H57:H1055, LEFT(A57, FIND(" ",A57)-1), 'Raw Data Sales'!I57:I1055, MID(A57, FIND(" ",A57)+1, 100))</f>
        <v>1</v>
      </c>
      <c r="E57" s="6">
        <f>SUMIFS('Raw Data Sales'!M57:M1055, 'Raw Data Sales'!H57:H1055, LEFT(A57, FIND(" ",A57)-1), 'Raw Data Sales'!I57:I1055, MID(A57, FIND(" ",A57)+1, 100))</f>
        <v>59</v>
      </c>
      <c r="F57" s="6">
        <f>SUMIFS('Raw Data Sales'!N57:N1055, 'Raw Data Sales'!H57:H1055, LEFT(A57, FIND(" ",A57)-1), 'Raw Data Sales'!I57:I1055, MID(A57, FIND(" ",A57)+1, 100))</f>
        <v>4664.86</v>
      </c>
    </row>
    <row r="58">
      <c r="A58" s="6" t="str">
        <f>IFERROR(__xludf.DUMMYFUNCTION("UNIQUE('Raw Data Sales'!H58:H1056 &amp; "" "" &amp; 'Raw Data Sales'!I58:I1056)"),"Merell Kittiman")</f>
        <v>Merell Kittiman</v>
      </c>
      <c r="B58" s="6" t="str">
        <f>IFERROR(__xludf.DUMMYFUNCTION("""COMPUTED_VALUE"""),"mkittiman1k@usda.gov")</f>
        <v>mkittiman1k@usda.gov</v>
      </c>
      <c r="C58" s="6" t="str">
        <f>IFERROR(__xludf.DUMMYFUNCTION("""COMPUTED_VALUE"""),"Indonesia")</f>
        <v>Indonesia</v>
      </c>
      <c r="D58" s="6">
        <f>COUNTIFS('Raw Data Sales'!H58:H1056, LEFT(A58, FIND(" ",A58)-1), 'Raw Data Sales'!I58:I1056, MID(A58, FIND(" ",A58)+1, 100))</f>
        <v>1</v>
      </c>
      <c r="E58" s="6">
        <f>SUMIFS('Raw Data Sales'!M58:M1056, 'Raw Data Sales'!H58:H1056, LEFT(A58, FIND(" ",A58)-1), 'Raw Data Sales'!I58:I1056, MID(A58, FIND(" ",A58)+1, 100))</f>
        <v>30</v>
      </c>
      <c r="F58" s="6">
        <f>SUMIFS('Raw Data Sales'!N58:N1056, 'Raw Data Sales'!H58:H1056, LEFT(A58, FIND(" ",A58)-1), 'Raw Data Sales'!I58:I1056, MID(A58, FIND(" ",A58)+1, 100))</f>
        <v>7824.59</v>
      </c>
    </row>
    <row r="59">
      <c r="A59" s="6" t="str">
        <f>IFERROR(__xludf.DUMMYFUNCTION("UNIQUE('Raw Data Sales'!H59:H1057 &amp; "" "" &amp; 'Raw Data Sales'!I59:I1057)"),"Anya Steventon")</f>
        <v>Anya Steventon</v>
      </c>
      <c r="B59" s="6" t="str">
        <f>IFERROR(__xludf.DUMMYFUNCTION("""COMPUTED_VALUE"""),"asteventon1l@biglobe.ne.jp")</f>
        <v>asteventon1l@biglobe.ne.jp</v>
      </c>
      <c r="C59" s="6" t="str">
        <f>IFERROR(__xludf.DUMMYFUNCTION("""COMPUTED_VALUE"""),"United States")</f>
        <v>United States</v>
      </c>
      <c r="D59" s="6">
        <f>COUNTIFS('Raw Data Sales'!H59:H1057, LEFT(A59, FIND(" ",A59)-1), 'Raw Data Sales'!I59:I1057, MID(A59, FIND(" ",A59)+1, 100))</f>
        <v>1</v>
      </c>
      <c r="E59" s="6">
        <f>SUMIFS('Raw Data Sales'!M59:M1057, 'Raw Data Sales'!H59:H1057, LEFT(A59, FIND(" ",A59)-1), 'Raw Data Sales'!I59:I1057, MID(A59, FIND(" ",A59)+1, 100))</f>
        <v>45</v>
      </c>
      <c r="F59" s="6">
        <f>SUMIFS('Raw Data Sales'!N59:N1057, 'Raw Data Sales'!H59:H1057, LEFT(A59, FIND(" ",A59)-1), 'Raw Data Sales'!I59:I1057, MID(A59, FIND(" ",A59)+1, 100))</f>
        <v>4523.67</v>
      </c>
    </row>
    <row r="60">
      <c r="A60" s="6" t="str">
        <f>IFERROR(__xludf.DUMMYFUNCTION("UNIQUE('Raw Data Sales'!H60:H1058 &amp; "" "" &amp; 'Raw Data Sales'!I60:I1058)"),"Jasmina Weatherhead")</f>
        <v>Jasmina Weatherhead</v>
      </c>
      <c r="B60" s="6" t="str">
        <f>IFERROR(__xludf.DUMMYFUNCTION("""COMPUTED_VALUE"""),"jweatherhead1m@baidu.com")</f>
        <v>jweatherhead1m@baidu.com</v>
      </c>
      <c r="C60" s="6" t="str">
        <f>IFERROR(__xludf.DUMMYFUNCTION("""COMPUTED_VALUE"""),"El Salvador")</f>
        <v>El Salvador</v>
      </c>
      <c r="D60" s="6">
        <f>COUNTIFS('Raw Data Sales'!H60:H1058, LEFT(A60, FIND(" ",A60)-1), 'Raw Data Sales'!I60:I1058, MID(A60, FIND(" ",A60)+1, 100))</f>
        <v>1</v>
      </c>
      <c r="E60" s="6">
        <f>SUMIFS('Raw Data Sales'!M60:M1058, 'Raw Data Sales'!H60:H1058, LEFT(A60, FIND(" ",A60)-1), 'Raw Data Sales'!I60:I1058, MID(A60, FIND(" ",A60)+1, 100))</f>
        <v>41</v>
      </c>
      <c r="F60" s="6">
        <f>SUMIFS('Raw Data Sales'!N60:N1058, 'Raw Data Sales'!H60:H1058, LEFT(A60, FIND(" ",A60)-1), 'Raw Data Sales'!I60:I1058, MID(A60, FIND(" ",A60)+1, 100))</f>
        <v>5518.46</v>
      </c>
    </row>
    <row r="61">
      <c r="A61" s="6" t="str">
        <f>IFERROR(__xludf.DUMMYFUNCTION("UNIQUE('Raw Data Sales'!H61:H1059 &amp; "" "" &amp; 'Raw Data Sales'!I61:I1059)"),"Enrichetta Brundell")</f>
        <v>Enrichetta Brundell</v>
      </c>
      <c r="B61" s="6" t="str">
        <f>IFERROR(__xludf.DUMMYFUNCTION("""COMPUTED_VALUE"""),"ebrundell1n@bloglines.com")</f>
        <v>ebrundell1n@bloglines.com</v>
      </c>
      <c r="C61" s="6" t="str">
        <f>IFERROR(__xludf.DUMMYFUNCTION("""COMPUTED_VALUE"""),"Cuba")</f>
        <v>Cuba</v>
      </c>
      <c r="D61" s="6">
        <f>COUNTIFS('Raw Data Sales'!H61:H1059, LEFT(A61, FIND(" ",A61)-1), 'Raw Data Sales'!I61:I1059, MID(A61, FIND(" ",A61)+1, 100))</f>
        <v>1</v>
      </c>
      <c r="E61" s="6">
        <f>SUMIFS('Raw Data Sales'!M61:M1059, 'Raw Data Sales'!H61:H1059, LEFT(A61, FIND(" ",A61)-1), 'Raw Data Sales'!I61:I1059, MID(A61, FIND(" ",A61)+1, 100))</f>
        <v>97</v>
      </c>
      <c r="F61" s="6">
        <f>SUMIFS('Raw Data Sales'!N61:N1059, 'Raw Data Sales'!H61:H1059, LEFT(A61, FIND(" ",A61)-1), 'Raw Data Sales'!I61:I1059, MID(A61, FIND(" ",A61)+1, 100))</f>
        <v>5230.02</v>
      </c>
    </row>
    <row r="62">
      <c r="A62" s="6" t="str">
        <f>IFERROR(__xludf.DUMMYFUNCTION("UNIQUE('Raw Data Sales'!H62:H1060 &amp; "" "" &amp; 'Raw Data Sales'!I62:I1060)"),"Barbi Scobie")</f>
        <v>Barbi Scobie</v>
      </c>
      <c r="B62" s="6" t="str">
        <f>IFERROR(__xludf.DUMMYFUNCTION("""COMPUTED_VALUE"""),"bscobie1o@spotify.com")</f>
        <v>bscobie1o@spotify.com</v>
      </c>
      <c r="C62" s="6" t="str">
        <f>IFERROR(__xludf.DUMMYFUNCTION("""COMPUTED_VALUE"""),"Saudi Arabia")</f>
        <v>Saudi Arabia</v>
      </c>
      <c r="D62" s="6">
        <f>COUNTIFS('Raw Data Sales'!H62:H1060, LEFT(A62, FIND(" ",A62)-1), 'Raw Data Sales'!I62:I1060, MID(A62, FIND(" ",A62)+1, 100))</f>
        <v>1</v>
      </c>
      <c r="E62" s="6">
        <f>SUMIFS('Raw Data Sales'!M62:M1060, 'Raw Data Sales'!H62:H1060, LEFT(A62, FIND(" ",A62)-1), 'Raw Data Sales'!I62:I1060, MID(A62, FIND(" ",A62)+1, 100))</f>
        <v>48</v>
      </c>
      <c r="F62" s="6">
        <f>SUMIFS('Raw Data Sales'!N62:N1060, 'Raw Data Sales'!H62:H1060, LEFT(A62, FIND(" ",A62)-1), 'Raw Data Sales'!I62:I1060, MID(A62, FIND(" ",A62)+1, 100))</f>
        <v>4344</v>
      </c>
    </row>
    <row r="63">
      <c r="A63" s="6" t="str">
        <f>IFERROR(__xludf.DUMMYFUNCTION("UNIQUE('Raw Data Sales'!H63:H1061 &amp; "" "" &amp; 'Raw Data Sales'!I63:I1061)"),"Baryram Muckian")</f>
        <v>Baryram Muckian</v>
      </c>
      <c r="B63" s="6" t="str">
        <f>IFERROR(__xludf.DUMMYFUNCTION("""COMPUTED_VALUE"""),"bmuckian1p@comcast.net")</f>
        <v>bmuckian1p@comcast.net</v>
      </c>
      <c r="C63" s="6" t="str">
        <f>IFERROR(__xludf.DUMMYFUNCTION("""COMPUTED_VALUE"""),"Portugal")</f>
        <v>Portugal</v>
      </c>
      <c r="D63" s="6">
        <f>COUNTIFS('Raw Data Sales'!H63:H1061, LEFT(A63, FIND(" ",A63)-1), 'Raw Data Sales'!I63:I1061, MID(A63, FIND(" ",A63)+1, 100))</f>
        <v>1</v>
      </c>
      <c r="E63" s="6">
        <f>SUMIFS('Raw Data Sales'!M63:M1061, 'Raw Data Sales'!H63:H1061, LEFT(A63, FIND(" ",A63)-1), 'Raw Data Sales'!I63:I1061, MID(A63, FIND(" ",A63)+1, 100))</f>
        <v>92</v>
      </c>
      <c r="F63" s="6">
        <f>SUMIFS('Raw Data Sales'!N63:N1061, 'Raw Data Sales'!H63:H1061, LEFT(A63, FIND(" ",A63)-1), 'Raw Data Sales'!I63:I1061, MID(A63, FIND(" ",A63)+1, 100))</f>
        <v>7875.06</v>
      </c>
    </row>
    <row r="64">
      <c r="A64" s="6" t="str">
        <f>IFERROR(__xludf.DUMMYFUNCTION("UNIQUE('Raw Data Sales'!H64:H1062 &amp; "" "" &amp; 'Raw Data Sales'!I64:I1062)"),"Barri Brownsword")</f>
        <v>Barri Brownsword</v>
      </c>
      <c r="B64" s="6" t="str">
        <f>IFERROR(__xludf.DUMMYFUNCTION("""COMPUTED_VALUE"""),"bbrownsword1q@wikimedia.org")</f>
        <v>bbrownsword1q@wikimedia.org</v>
      </c>
      <c r="C64" s="6" t="str">
        <f>IFERROR(__xludf.DUMMYFUNCTION("""COMPUTED_VALUE"""),"Czech Republic")</f>
        <v>Czech Republic</v>
      </c>
      <c r="D64" s="6">
        <f>COUNTIFS('Raw Data Sales'!H64:H1062, LEFT(A64, FIND(" ",A64)-1), 'Raw Data Sales'!I64:I1062, MID(A64, FIND(" ",A64)+1, 100))</f>
        <v>1</v>
      </c>
      <c r="E64" s="6">
        <f>SUMIFS('Raw Data Sales'!M64:M1062, 'Raw Data Sales'!H64:H1062, LEFT(A64, FIND(" ",A64)-1), 'Raw Data Sales'!I64:I1062, MID(A64, FIND(" ",A64)+1, 100))</f>
        <v>30</v>
      </c>
      <c r="F64" s="6">
        <f>SUMIFS('Raw Data Sales'!N64:N1062, 'Raw Data Sales'!H64:H1062, LEFT(A64, FIND(" ",A64)-1), 'Raw Data Sales'!I64:I1062, MID(A64, FIND(" ",A64)+1, 100))</f>
        <v>1201.8</v>
      </c>
    </row>
    <row r="65">
      <c r="A65" s="6" t="str">
        <f>IFERROR(__xludf.DUMMYFUNCTION("UNIQUE('Raw Data Sales'!H65:H1063 &amp; "" "" &amp; 'Raw Data Sales'!I65:I1063)"),"Emelda Hafner")</f>
        <v>Emelda Hafner</v>
      </c>
      <c r="B65" s="6" t="str">
        <f>IFERROR(__xludf.DUMMYFUNCTION("""COMPUTED_VALUE"""),"ehafner1r@privacy.gov.au")</f>
        <v>ehafner1r@privacy.gov.au</v>
      </c>
      <c r="C65" s="6" t="str">
        <f>IFERROR(__xludf.DUMMYFUNCTION("""COMPUTED_VALUE"""),"Saudi Arabia")</f>
        <v>Saudi Arabia</v>
      </c>
      <c r="D65" s="6">
        <f>COUNTIFS('Raw Data Sales'!H65:H1063, LEFT(A65, FIND(" ",A65)-1), 'Raw Data Sales'!I65:I1063, MID(A65, FIND(" ",A65)+1, 100))</f>
        <v>1</v>
      </c>
      <c r="E65" s="6">
        <f>SUMIFS('Raw Data Sales'!M65:M1063, 'Raw Data Sales'!H65:H1063, LEFT(A65, FIND(" ",A65)-1), 'Raw Data Sales'!I65:I1063, MID(A65, FIND(" ",A65)+1, 100))</f>
        <v>25</v>
      </c>
      <c r="F65" s="6">
        <f>SUMIFS('Raw Data Sales'!N65:N1063, 'Raw Data Sales'!H65:H1063, LEFT(A65, FIND(" ",A65)-1), 'Raw Data Sales'!I65:I1063, MID(A65, FIND(" ",A65)+1, 100))</f>
        <v>5978.58</v>
      </c>
    </row>
    <row r="66">
      <c r="A66" s="6" t="str">
        <f>IFERROR(__xludf.DUMMYFUNCTION("UNIQUE('Raw Data Sales'!H66:H1064 &amp; "" "" &amp; 'Raw Data Sales'!I66:I1064)"),"Annabela Pavlata")</f>
        <v>Annabela Pavlata</v>
      </c>
      <c r="B66" s="6" t="str">
        <f>IFERROR(__xludf.DUMMYFUNCTION("""COMPUTED_VALUE"""),"apavlata1s@ucoz.com")</f>
        <v>apavlata1s@ucoz.com</v>
      </c>
      <c r="C66" s="6" t="str">
        <f>IFERROR(__xludf.DUMMYFUNCTION("""COMPUTED_VALUE"""),"Benin")</f>
        <v>Benin</v>
      </c>
      <c r="D66" s="6">
        <f>COUNTIFS('Raw Data Sales'!H66:H1064, LEFT(A66, FIND(" ",A66)-1), 'Raw Data Sales'!I66:I1064, MID(A66, FIND(" ",A66)+1, 100))</f>
        <v>1</v>
      </c>
      <c r="E66" s="6">
        <f>SUMIFS('Raw Data Sales'!M66:M1064, 'Raw Data Sales'!H66:H1064, LEFT(A66, FIND(" ",A66)-1), 'Raw Data Sales'!I66:I1064, MID(A66, FIND(" ",A66)+1, 100))</f>
        <v>86</v>
      </c>
      <c r="F66" s="6">
        <f>SUMIFS('Raw Data Sales'!N66:N1064, 'Raw Data Sales'!H66:H1064, LEFT(A66, FIND(" ",A66)-1), 'Raw Data Sales'!I66:I1064, MID(A66, FIND(" ",A66)+1, 100))</f>
        <v>1881.23</v>
      </c>
    </row>
    <row r="67">
      <c r="A67" s="6" t="str">
        <f>IFERROR(__xludf.DUMMYFUNCTION("UNIQUE('Raw Data Sales'!H67:H1065 &amp; "" "" &amp; 'Raw Data Sales'!I67:I1065)"),"Perrine Luipold")</f>
        <v>Perrine Luipold</v>
      </c>
      <c r="B67" s="6" t="str">
        <f>IFERROR(__xludf.DUMMYFUNCTION("""COMPUTED_VALUE"""),"pluipold1t@moonfruit.com")</f>
        <v>pluipold1t@moonfruit.com</v>
      </c>
      <c r="C67" s="6" t="str">
        <f>IFERROR(__xludf.DUMMYFUNCTION("""COMPUTED_VALUE"""),"Brazil")</f>
        <v>Brazil</v>
      </c>
      <c r="D67" s="6">
        <f>COUNTIFS('Raw Data Sales'!H67:H1065, LEFT(A67, FIND(" ",A67)-1), 'Raw Data Sales'!I67:I1065, MID(A67, FIND(" ",A67)+1, 100))</f>
        <v>1</v>
      </c>
      <c r="E67" s="6">
        <f>SUMIFS('Raw Data Sales'!M67:M1065, 'Raw Data Sales'!H67:H1065, LEFT(A67, FIND(" ",A67)-1), 'Raw Data Sales'!I67:I1065, MID(A67, FIND(" ",A67)+1, 100))</f>
        <v>1</v>
      </c>
      <c r="F67" s="6">
        <f>SUMIFS('Raw Data Sales'!N67:N1065, 'Raw Data Sales'!H67:H1065, LEFT(A67, FIND(" ",A67)-1), 'Raw Data Sales'!I67:I1065, MID(A67, FIND(" ",A67)+1, 100))</f>
        <v>6960.72</v>
      </c>
    </row>
    <row r="68">
      <c r="A68" s="6" t="str">
        <f>IFERROR(__xludf.DUMMYFUNCTION("UNIQUE('Raw Data Sales'!H68:H1066 &amp; "" "" &amp; 'Raw Data Sales'!I68:I1066)"),"Kathi Jopling")</f>
        <v>Kathi Jopling</v>
      </c>
      <c r="B68" s="6" t="str">
        <f>IFERROR(__xludf.DUMMYFUNCTION("""COMPUTED_VALUE"""),"kjopling1u@exblog.jp")</f>
        <v>kjopling1u@exblog.jp</v>
      </c>
      <c r="C68" s="6" t="str">
        <f>IFERROR(__xludf.DUMMYFUNCTION("""COMPUTED_VALUE"""),"Indonesia")</f>
        <v>Indonesia</v>
      </c>
      <c r="D68" s="6">
        <f>COUNTIFS('Raw Data Sales'!H68:H1066, LEFT(A68, FIND(" ",A68)-1), 'Raw Data Sales'!I68:I1066, MID(A68, FIND(" ",A68)+1, 100))</f>
        <v>1</v>
      </c>
      <c r="E68" s="6">
        <f>SUMIFS('Raw Data Sales'!M68:M1066, 'Raw Data Sales'!H68:H1066, LEFT(A68, FIND(" ",A68)-1), 'Raw Data Sales'!I68:I1066, MID(A68, FIND(" ",A68)+1, 100))</f>
        <v>94</v>
      </c>
      <c r="F68" s="6">
        <f>SUMIFS('Raw Data Sales'!N68:N1066, 'Raw Data Sales'!H68:H1066, LEFT(A68, FIND(" ",A68)-1), 'Raw Data Sales'!I68:I1066, MID(A68, FIND(" ",A68)+1, 100))</f>
        <v>4660.39</v>
      </c>
    </row>
    <row r="69">
      <c r="A69" s="6" t="str">
        <f>IFERROR(__xludf.DUMMYFUNCTION("UNIQUE('Raw Data Sales'!H69:H1067 &amp; "" "" &amp; 'Raw Data Sales'!I69:I1067)"),"Annie Sodo")</f>
        <v>Annie Sodo</v>
      </c>
      <c r="B69" s="6" t="str">
        <f>IFERROR(__xludf.DUMMYFUNCTION("""COMPUTED_VALUE"""),"asodo1v@rediff.com")</f>
        <v>asodo1v@rediff.com</v>
      </c>
      <c r="C69" s="6" t="str">
        <f>IFERROR(__xludf.DUMMYFUNCTION("""COMPUTED_VALUE"""),"Brazil")</f>
        <v>Brazil</v>
      </c>
      <c r="D69" s="6">
        <f>COUNTIFS('Raw Data Sales'!H69:H1067, LEFT(A69, FIND(" ",A69)-1), 'Raw Data Sales'!I69:I1067, MID(A69, FIND(" ",A69)+1, 100))</f>
        <v>1</v>
      </c>
      <c r="E69" s="6">
        <f>SUMIFS('Raw Data Sales'!M69:M1067, 'Raw Data Sales'!H69:H1067, LEFT(A69, FIND(" ",A69)-1), 'Raw Data Sales'!I69:I1067, MID(A69, FIND(" ",A69)+1, 100))</f>
        <v>13</v>
      </c>
      <c r="F69" s="6">
        <f>SUMIFS('Raw Data Sales'!N69:N1067, 'Raw Data Sales'!H69:H1067, LEFT(A69, FIND(" ",A69)-1), 'Raw Data Sales'!I69:I1067, MID(A69, FIND(" ",A69)+1, 100))</f>
        <v>259.74</v>
      </c>
    </row>
    <row r="70">
      <c r="A70" s="6" t="str">
        <f>IFERROR(__xludf.DUMMYFUNCTION("UNIQUE('Raw Data Sales'!H70:H1068 &amp; "" "" &amp; 'Raw Data Sales'!I70:I1068)"),"Alysia Withers")</f>
        <v>Alysia Withers</v>
      </c>
      <c r="B70" s="6" t="str">
        <f>IFERROR(__xludf.DUMMYFUNCTION("""COMPUTED_VALUE"""),"awithers1w@delicious.com")</f>
        <v>awithers1w@delicious.com</v>
      </c>
      <c r="C70" s="6" t="str">
        <f>IFERROR(__xludf.DUMMYFUNCTION("""COMPUTED_VALUE"""),"Russia")</f>
        <v>Russia</v>
      </c>
      <c r="D70" s="6">
        <f>COUNTIFS('Raw Data Sales'!H70:H1068, LEFT(A70, FIND(" ",A70)-1), 'Raw Data Sales'!I70:I1068, MID(A70, FIND(" ",A70)+1, 100))</f>
        <v>1</v>
      </c>
      <c r="E70" s="6">
        <f>SUMIFS('Raw Data Sales'!M70:M1068, 'Raw Data Sales'!H70:H1068, LEFT(A70, FIND(" ",A70)-1), 'Raw Data Sales'!I70:I1068, MID(A70, FIND(" ",A70)+1, 100))</f>
        <v>75</v>
      </c>
      <c r="F70" s="6">
        <f>SUMIFS('Raw Data Sales'!N70:N1068, 'Raw Data Sales'!H70:H1068, LEFT(A70, FIND(" ",A70)-1), 'Raw Data Sales'!I70:I1068, MID(A70, FIND(" ",A70)+1, 100))</f>
        <v>6933.16</v>
      </c>
    </row>
    <row r="71">
      <c r="A71" s="6" t="str">
        <f>IFERROR(__xludf.DUMMYFUNCTION("UNIQUE('Raw Data Sales'!H71:H1069 &amp; "" "" &amp; 'Raw Data Sales'!I71:I1069)"),"Nata Stirley")</f>
        <v>Nata Stirley</v>
      </c>
      <c r="B71" s="6" t="str">
        <f>IFERROR(__xludf.DUMMYFUNCTION("""COMPUTED_VALUE"""),"nstirley1x@adobe.com")</f>
        <v>nstirley1x@adobe.com</v>
      </c>
      <c r="C71" s="6" t="str">
        <f>IFERROR(__xludf.DUMMYFUNCTION("""COMPUTED_VALUE"""),"Russia")</f>
        <v>Russia</v>
      </c>
      <c r="D71" s="6">
        <f>COUNTIFS('Raw Data Sales'!H71:H1069, LEFT(A71, FIND(" ",A71)-1), 'Raw Data Sales'!I71:I1069, MID(A71, FIND(" ",A71)+1, 100))</f>
        <v>1</v>
      </c>
      <c r="E71" s="6">
        <f>SUMIFS('Raw Data Sales'!M71:M1069, 'Raw Data Sales'!H71:H1069, LEFT(A71, FIND(" ",A71)-1), 'Raw Data Sales'!I71:I1069, MID(A71, FIND(" ",A71)+1, 100))</f>
        <v>42</v>
      </c>
      <c r="F71" s="6">
        <f>SUMIFS('Raw Data Sales'!N71:N1069, 'Raw Data Sales'!H71:H1069, LEFT(A71, FIND(" ",A71)-1), 'Raw Data Sales'!I71:I1069, MID(A71, FIND(" ",A71)+1, 100))</f>
        <v>9508.39</v>
      </c>
    </row>
    <row r="72">
      <c r="A72" s="6" t="str">
        <f>IFERROR(__xludf.DUMMYFUNCTION("UNIQUE('Raw Data Sales'!H72:H1070 &amp; "" "" &amp; 'Raw Data Sales'!I72:I1070)"),"Shirlee Boatwright")</f>
        <v>Shirlee Boatwright</v>
      </c>
      <c r="B72" s="6" t="str">
        <f>IFERROR(__xludf.DUMMYFUNCTION("""COMPUTED_VALUE"""),"sboatwright1y@prweb.com")</f>
        <v>sboatwright1y@prweb.com</v>
      </c>
      <c r="C72" s="6" t="str">
        <f>IFERROR(__xludf.DUMMYFUNCTION("""COMPUTED_VALUE"""),"Russia")</f>
        <v>Russia</v>
      </c>
      <c r="D72" s="6">
        <f>COUNTIFS('Raw Data Sales'!H72:H1070, LEFT(A72, FIND(" ",A72)-1), 'Raw Data Sales'!I72:I1070, MID(A72, FIND(" ",A72)+1, 100))</f>
        <v>1</v>
      </c>
      <c r="E72" s="6">
        <f>SUMIFS('Raw Data Sales'!M72:M1070, 'Raw Data Sales'!H72:H1070, LEFT(A72, FIND(" ",A72)-1), 'Raw Data Sales'!I72:I1070, MID(A72, FIND(" ",A72)+1, 100))</f>
        <v>60</v>
      </c>
      <c r="F72" s="6">
        <f>SUMIFS('Raw Data Sales'!N72:N1070, 'Raw Data Sales'!H72:H1070, LEFT(A72, FIND(" ",A72)-1), 'Raw Data Sales'!I72:I1070, MID(A72, FIND(" ",A72)+1, 100))</f>
        <v>9110.34</v>
      </c>
    </row>
    <row r="73">
      <c r="A73" s="6" t="str">
        <f>IFERROR(__xludf.DUMMYFUNCTION("UNIQUE('Raw Data Sales'!H73:H1071 &amp; "" "" &amp; 'Raw Data Sales'!I73:I1071)"),"Geoffry Dybell")</f>
        <v>Geoffry Dybell</v>
      </c>
      <c r="B73" s="6" t="str">
        <f>IFERROR(__xludf.DUMMYFUNCTION("""COMPUTED_VALUE"""),"gdybell1z@technorati.com")</f>
        <v>gdybell1z@technorati.com</v>
      </c>
      <c r="C73" s="6" t="str">
        <f>IFERROR(__xludf.DUMMYFUNCTION("""COMPUTED_VALUE"""),"Myanmar")</f>
        <v>Myanmar</v>
      </c>
      <c r="D73" s="6">
        <f>COUNTIFS('Raw Data Sales'!H73:H1071, LEFT(A73, FIND(" ",A73)-1), 'Raw Data Sales'!I73:I1071, MID(A73, FIND(" ",A73)+1, 100))</f>
        <v>1</v>
      </c>
      <c r="E73" s="6">
        <f>SUMIFS('Raw Data Sales'!M73:M1071, 'Raw Data Sales'!H73:H1071, LEFT(A73, FIND(" ",A73)-1), 'Raw Data Sales'!I73:I1071, MID(A73, FIND(" ",A73)+1, 100))</f>
        <v>1</v>
      </c>
      <c r="F73" s="6">
        <f>SUMIFS('Raw Data Sales'!N73:N1071, 'Raw Data Sales'!H73:H1071, LEFT(A73, FIND(" ",A73)-1), 'Raw Data Sales'!I73:I1071, MID(A73, FIND(" ",A73)+1, 100))</f>
        <v>4885.85</v>
      </c>
    </row>
    <row r="74">
      <c r="A74" s="6" t="str">
        <f>IFERROR(__xludf.DUMMYFUNCTION("UNIQUE('Raw Data Sales'!H74:H1072 &amp; "" "" &amp; 'Raw Data Sales'!I74:I1072)"),"Jelene Kyllford")</f>
        <v>Jelene Kyllford</v>
      </c>
      <c r="B74" s="6" t="str">
        <f>IFERROR(__xludf.DUMMYFUNCTION("""COMPUTED_VALUE"""),"jkyllford20@cdbaby.com")</f>
        <v>jkyllford20@cdbaby.com</v>
      </c>
      <c r="C74" s="6" t="str">
        <f>IFERROR(__xludf.DUMMYFUNCTION("""COMPUTED_VALUE"""),"Japan")</f>
        <v>Japan</v>
      </c>
      <c r="D74" s="6">
        <f>COUNTIFS('Raw Data Sales'!H74:H1072, LEFT(A74, FIND(" ",A74)-1), 'Raw Data Sales'!I74:I1072, MID(A74, FIND(" ",A74)+1, 100))</f>
        <v>1</v>
      </c>
      <c r="E74" s="6">
        <f>SUMIFS('Raw Data Sales'!M74:M1072, 'Raw Data Sales'!H74:H1072, LEFT(A74, FIND(" ",A74)-1), 'Raw Data Sales'!I74:I1072, MID(A74, FIND(" ",A74)+1, 100))</f>
        <v>15</v>
      </c>
      <c r="F74" s="6">
        <f>SUMIFS('Raw Data Sales'!N74:N1072, 'Raw Data Sales'!H74:H1072, LEFT(A74, FIND(" ",A74)-1), 'Raw Data Sales'!I74:I1072, MID(A74, FIND(" ",A74)+1, 100))</f>
        <v>1084.43</v>
      </c>
    </row>
    <row r="75">
      <c r="A75" s="6" t="str">
        <f>IFERROR(__xludf.DUMMYFUNCTION("UNIQUE('Raw Data Sales'!H75:H1073 &amp; "" "" &amp; 'Raw Data Sales'!I75:I1073)"),"Dix Greenroad")</f>
        <v>Dix Greenroad</v>
      </c>
      <c r="B75" s="6" t="str">
        <f>IFERROR(__xludf.DUMMYFUNCTION("""COMPUTED_VALUE"""),"dgreenroad21@ning.com")</f>
        <v>dgreenroad21@ning.com</v>
      </c>
      <c r="C75" s="6" t="str">
        <f>IFERROR(__xludf.DUMMYFUNCTION("""COMPUTED_VALUE"""),"China")</f>
        <v>China</v>
      </c>
      <c r="D75" s="6">
        <f>COUNTIFS('Raw Data Sales'!H75:H1073, LEFT(A75, FIND(" ",A75)-1), 'Raw Data Sales'!I75:I1073, MID(A75, FIND(" ",A75)+1, 100))</f>
        <v>1</v>
      </c>
      <c r="E75" s="6">
        <f>SUMIFS('Raw Data Sales'!M75:M1073, 'Raw Data Sales'!H75:H1073, LEFT(A75, FIND(" ",A75)-1), 'Raw Data Sales'!I75:I1073, MID(A75, FIND(" ",A75)+1, 100))</f>
        <v>26</v>
      </c>
      <c r="F75" s="6">
        <f>SUMIFS('Raw Data Sales'!N75:N1073, 'Raw Data Sales'!H75:H1073, LEFT(A75, FIND(" ",A75)-1), 'Raw Data Sales'!I75:I1073, MID(A75, FIND(" ",A75)+1, 100))</f>
        <v>5592.37</v>
      </c>
    </row>
    <row r="76">
      <c r="A76" s="6" t="str">
        <f>IFERROR(__xludf.DUMMYFUNCTION("UNIQUE('Raw Data Sales'!H76:H1074 &amp; "" "" &amp; 'Raw Data Sales'!I76:I1074)"),"Jeno McManamon")</f>
        <v>Jeno McManamon</v>
      </c>
      <c r="B76" s="6" t="str">
        <f>IFERROR(__xludf.DUMMYFUNCTION("""COMPUTED_VALUE"""),"jmcmanamon22@webmd.com")</f>
        <v>jmcmanamon22@webmd.com</v>
      </c>
      <c r="C76" s="6" t="str">
        <f>IFERROR(__xludf.DUMMYFUNCTION("""COMPUTED_VALUE"""),"China")</f>
        <v>China</v>
      </c>
      <c r="D76" s="6">
        <f>COUNTIFS('Raw Data Sales'!H76:H1074, LEFT(A76, FIND(" ",A76)-1), 'Raw Data Sales'!I76:I1074, MID(A76, FIND(" ",A76)+1, 100))</f>
        <v>1</v>
      </c>
      <c r="E76" s="6">
        <f>SUMIFS('Raw Data Sales'!M76:M1074, 'Raw Data Sales'!H76:H1074, LEFT(A76, FIND(" ",A76)-1), 'Raw Data Sales'!I76:I1074, MID(A76, FIND(" ",A76)+1, 100))</f>
        <v>46</v>
      </c>
      <c r="F76" s="6">
        <f>SUMIFS('Raw Data Sales'!N76:N1074, 'Raw Data Sales'!H76:H1074, LEFT(A76, FIND(" ",A76)-1), 'Raw Data Sales'!I76:I1074, MID(A76, FIND(" ",A76)+1, 100))</f>
        <v>5455.24</v>
      </c>
    </row>
    <row r="77">
      <c r="A77" s="6" t="str">
        <f>IFERROR(__xludf.DUMMYFUNCTION("UNIQUE('Raw Data Sales'!H77:H1075 &amp; "" "" &amp; 'Raw Data Sales'!I77:I1075)"),"Timoteo Kryska")</f>
        <v>Timoteo Kryska</v>
      </c>
      <c r="B77" s="6" t="str">
        <f>IFERROR(__xludf.DUMMYFUNCTION("""COMPUTED_VALUE"""),"tkryska23@eepurl.com")</f>
        <v>tkryska23@eepurl.com</v>
      </c>
      <c r="C77" s="6" t="str">
        <f>IFERROR(__xludf.DUMMYFUNCTION("""COMPUTED_VALUE"""),"Ecuador")</f>
        <v>Ecuador</v>
      </c>
      <c r="D77" s="6">
        <f>COUNTIFS('Raw Data Sales'!H77:H1075, LEFT(A77, FIND(" ",A77)-1), 'Raw Data Sales'!I77:I1075, MID(A77, FIND(" ",A77)+1, 100))</f>
        <v>1</v>
      </c>
      <c r="E77" s="6">
        <f>SUMIFS('Raw Data Sales'!M77:M1075, 'Raw Data Sales'!H77:H1075, LEFT(A77, FIND(" ",A77)-1), 'Raw Data Sales'!I77:I1075, MID(A77, FIND(" ",A77)+1, 100))</f>
        <v>41</v>
      </c>
      <c r="F77" s="6">
        <f>SUMIFS('Raw Data Sales'!N77:N1075, 'Raw Data Sales'!H77:H1075, LEFT(A77, FIND(" ",A77)-1), 'Raw Data Sales'!I77:I1075, MID(A77, FIND(" ",A77)+1, 100))</f>
        <v>7111.75</v>
      </c>
    </row>
    <row r="78">
      <c r="A78" s="6" t="str">
        <f>IFERROR(__xludf.DUMMYFUNCTION("UNIQUE('Raw Data Sales'!H78:H1076 &amp; "" "" &amp; 'Raw Data Sales'!I78:I1076)"),"Constancia Hickinbottom")</f>
        <v>Constancia Hickinbottom</v>
      </c>
      <c r="B78" s="6" t="str">
        <f>IFERROR(__xludf.DUMMYFUNCTION("""COMPUTED_VALUE"""),"chickinbottom24@mysql.com")</f>
        <v>chickinbottom24@mysql.com</v>
      </c>
      <c r="C78" s="6" t="str">
        <f>IFERROR(__xludf.DUMMYFUNCTION("""COMPUTED_VALUE"""),"China")</f>
        <v>China</v>
      </c>
      <c r="D78" s="6">
        <f>COUNTIFS('Raw Data Sales'!H78:H1076, LEFT(A78, FIND(" ",A78)-1), 'Raw Data Sales'!I78:I1076, MID(A78, FIND(" ",A78)+1, 100))</f>
        <v>1</v>
      </c>
      <c r="E78" s="6">
        <f>SUMIFS('Raw Data Sales'!M78:M1076, 'Raw Data Sales'!H78:H1076, LEFT(A78, FIND(" ",A78)-1), 'Raw Data Sales'!I78:I1076, MID(A78, FIND(" ",A78)+1, 100))</f>
        <v>41</v>
      </c>
      <c r="F78" s="6">
        <f>SUMIFS('Raw Data Sales'!N78:N1076, 'Raw Data Sales'!H78:H1076, LEFT(A78, FIND(" ",A78)-1), 'Raw Data Sales'!I78:I1076, MID(A78, FIND(" ",A78)+1, 100))</f>
        <v>3585.58</v>
      </c>
    </row>
    <row r="79">
      <c r="A79" s="6" t="str">
        <f>IFERROR(__xludf.DUMMYFUNCTION("UNIQUE('Raw Data Sales'!H79:H1077 &amp; "" "" &amp; 'Raw Data Sales'!I79:I1077)"),"Barret Bernhart")</f>
        <v>Barret Bernhart</v>
      </c>
      <c r="B79" s="6" t="str">
        <f>IFERROR(__xludf.DUMMYFUNCTION("""COMPUTED_VALUE"""),"bbernhart25@intel.com")</f>
        <v>bbernhart25@intel.com</v>
      </c>
      <c r="C79" s="6" t="str">
        <f>IFERROR(__xludf.DUMMYFUNCTION("""COMPUTED_VALUE"""),"Thailand")</f>
        <v>Thailand</v>
      </c>
      <c r="D79" s="6">
        <f>COUNTIFS('Raw Data Sales'!H79:H1077, LEFT(A79, FIND(" ",A79)-1), 'Raw Data Sales'!I79:I1077, MID(A79, FIND(" ",A79)+1, 100))</f>
        <v>1</v>
      </c>
      <c r="E79" s="6">
        <f>SUMIFS('Raw Data Sales'!M79:M1077, 'Raw Data Sales'!H79:H1077, LEFT(A79, FIND(" ",A79)-1), 'Raw Data Sales'!I79:I1077, MID(A79, FIND(" ",A79)+1, 100))</f>
        <v>7</v>
      </c>
      <c r="F79" s="6">
        <f>SUMIFS('Raw Data Sales'!N79:N1077, 'Raw Data Sales'!H79:H1077, LEFT(A79, FIND(" ",A79)-1), 'Raw Data Sales'!I79:I1077, MID(A79, FIND(" ",A79)+1, 100))</f>
        <v>8020.74</v>
      </c>
    </row>
    <row r="80">
      <c r="A80" s="6" t="str">
        <f>IFERROR(__xludf.DUMMYFUNCTION("UNIQUE('Raw Data Sales'!H80:H1078 &amp; "" "" &amp; 'Raw Data Sales'!I80:I1078)"),"Raimundo Moxted")</f>
        <v>Raimundo Moxted</v>
      </c>
      <c r="B80" s="6" t="str">
        <f>IFERROR(__xludf.DUMMYFUNCTION("""COMPUTED_VALUE"""),"rmoxted26@amazon.co.jp")</f>
        <v>rmoxted26@amazon.co.jp</v>
      </c>
      <c r="C80" s="6" t="str">
        <f>IFERROR(__xludf.DUMMYFUNCTION("""COMPUTED_VALUE"""),"China")</f>
        <v>China</v>
      </c>
      <c r="D80" s="6">
        <f>COUNTIFS('Raw Data Sales'!H80:H1078, LEFT(A80, FIND(" ",A80)-1), 'Raw Data Sales'!I80:I1078, MID(A80, FIND(" ",A80)+1, 100))</f>
        <v>1</v>
      </c>
      <c r="E80" s="6">
        <f>SUMIFS('Raw Data Sales'!M80:M1078, 'Raw Data Sales'!H80:H1078, LEFT(A80, FIND(" ",A80)-1), 'Raw Data Sales'!I80:I1078, MID(A80, FIND(" ",A80)+1, 100))</f>
        <v>81</v>
      </c>
      <c r="F80" s="6">
        <f>SUMIFS('Raw Data Sales'!N80:N1078, 'Raw Data Sales'!H80:H1078, LEFT(A80, FIND(" ",A80)-1), 'Raw Data Sales'!I80:I1078, MID(A80, FIND(" ",A80)+1, 100))</f>
        <v>3647.03</v>
      </c>
    </row>
    <row r="81">
      <c r="A81" s="6" t="str">
        <f>IFERROR(__xludf.DUMMYFUNCTION("UNIQUE('Raw Data Sales'!H81:H1079 &amp; "" "" &amp; 'Raw Data Sales'!I81:I1079)"),"Gay Fairholme")</f>
        <v>Gay Fairholme</v>
      </c>
      <c r="B81" s="6" t="str">
        <f>IFERROR(__xludf.DUMMYFUNCTION("""COMPUTED_VALUE"""),"gfairholme27@army.mil")</f>
        <v>gfairholme27@army.mil</v>
      </c>
      <c r="C81" s="6" t="str">
        <f>IFERROR(__xludf.DUMMYFUNCTION("""COMPUTED_VALUE"""),"China")</f>
        <v>China</v>
      </c>
      <c r="D81" s="6">
        <f>COUNTIFS('Raw Data Sales'!H81:H1079, LEFT(A81, FIND(" ",A81)-1), 'Raw Data Sales'!I81:I1079, MID(A81, FIND(" ",A81)+1, 100))</f>
        <v>1</v>
      </c>
      <c r="E81" s="6">
        <f>SUMIFS('Raw Data Sales'!M81:M1079, 'Raw Data Sales'!H81:H1079, LEFT(A81, FIND(" ",A81)-1), 'Raw Data Sales'!I81:I1079, MID(A81, FIND(" ",A81)+1, 100))</f>
        <v>15</v>
      </c>
      <c r="F81" s="6">
        <f>SUMIFS('Raw Data Sales'!N81:N1079, 'Raw Data Sales'!H81:H1079, LEFT(A81, FIND(" ",A81)-1), 'Raw Data Sales'!I81:I1079, MID(A81, FIND(" ",A81)+1, 100))</f>
        <v>1793.41</v>
      </c>
    </row>
    <row r="82">
      <c r="A82" s="6" t="str">
        <f>IFERROR(__xludf.DUMMYFUNCTION("UNIQUE('Raw Data Sales'!H82:H1080 &amp; "" "" &amp; 'Raw Data Sales'!I82:I1080)"),"Sancho Featherby")</f>
        <v>Sancho Featherby</v>
      </c>
      <c r="B82" s="6" t="str">
        <f>IFERROR(__xludf.DUMMYFUNCTION("""COMPUTED_VALUE"""),"sfeatherby28@addtoany.com")</f>
        <v>sfeatherby28@addtoany.com</v>
      </c>
      <c r="C82" s="6" t="str">
        <f>IFERROR(__xludf.DUMMYFUNCTION("""COMPUTED_VALUE"""),"Mongolia")</f>
        <v>Mongolia</v>
      </c>
      <c r="D82" s="6">
        <f>COUNTIFS('Raw Data Sales'!H82:H1080, LEFT(A82, FIND(" ",A82)-1), 'Raw Data Sales'!I82:I1080, MID(A82, FIND(" ",A82)+1, 100))</f>
        <v>1</v>
      </c>
      <c r="E82" s="6">
        <f>SUMIFS('Raw Data Sales'!M82:M1080, 'Raw Data Sales'!H82:H1080, LEFT(A82, FIND(" ",A82)-1), 'Raw Data Sales'!I82:I1080, MID(A82, FIND(" ",A82)+1, 100))</f>
        <v>79</v>
      </c>
      <c r="F82" s="6">
        <f>SUMIFS('Raw Data Sales'!N82:N1080, 'Raw Data Sales'!H82:H1080, LEFT(A82, FIND(" ",A82)-1), 'Raw Data Sales'!I82:I1080, MID(A82, FIND(" ",A82)+1, 100))</f>
        <v>8416.21</v>
      </c>
    </row>
    <row r="83">
      <c r="A83" s="6" t="str">
        <f>IFERROR(__xludf.DUMMYFUNCTION("UNIQUE('Raw Data Sales'!H83:H1081 &amp; "" "" &amp; 'Raw Data Sales'!I83:I1081)"),"Kimmy Beardsall")</f>
        <v>Kimmy Beardsall</v>
      </c>
      <c r="B83" s="6" t="str">
        <f>IFERROR(__xludf.DUMMYFUNCTION("""COMPUTED_VALUE"""),"kbeardsall29@pinterest.com")</f>
        <v>kbeardsall29@pinterest.com</v>
      </c>
      <c r="C83" s="6" t="str">
        <f>IFERROR(__xludf.DUMMYFUNCTION("""COMPUTED_VALUE"""),"France")</f>
        <v>France</v>
      </c>
      <c r="D83" s="6">
        <f>COUNTIFS('Raw Data Sales'!H83:H1081, LEFT(A83, FIND(" ",A83)-1), 'Raw Data Sales'!I83:I1081, MID(A83, FIND(" ",A83)+1, 100))</f>
        <v>1</v>
      </c>
      <c r="E83" s="6">
        <f>SUMIFS('Raw Data Sales'!M83:M1081, 'Raw Data Sales'!H83:H1081, LEFT(A83, FIND(" ",A83)-1), 'Raw Data Sales'!I83:I1081, MID(A83, FIND(" ",A83)+1, 100))</f>
        <v>29</v>
      </c>
      <c r="F83" s="6">
        <f>SUMIFS('Raw Data Sales'!N83:N1081, 'Raw Data Sales'!H83:H1081, LEFT(A83, FIND(" ",A83)-1), 'Raw Data Sales'!I83:I1081, MID(A83, FIND(" ",A83)+1, 100))</f>
        <v>878.72</v>
      </c>
    </row>
    <row r="84">
      <c r="A84" s="6" t="str">
        <f>IFERROR(__xludf.DUMMYFUNCTION("UNIQUE('Raw Data Sales'!H84:H1082 &amp; "" "" &amp; 'Raw Data Sales'!I84:I1082)"),"Ralph Giorgietto")</f>
        <v>Ralph Giorgietto</v>
      </c>
      <c r="B84" s="6" t="str">
        <f>IFERROR(__xludf.DUMMYFUNCTION("""COMPUTED_VALUE"""),"rgiorgietto2a@tuttocitta.it")</f>
        <v>rgiorgietto2a@tuttocitta.it</v>
      </c>
      <c r="C84" s="6" t="str">
        <f>IFERROR(__xludf.DUMMYFUNCTION("""COMPUTED_VALUE"""),"United States")</f>
        <v>United States</v>
      </c>
      <c r="D84" s="6">
        <f>COUNTIFS('Raw Data Sales'!H84:H1082, LEFT(A84, FIND(" ",A84)-1), 'Raw Data Sales'!I84:I1082, MID(A84, FIND(" ",A84)+1, 100))</f>
        <v>1</v>
      </c>
      <c r="E84" s="6">
        <f>SUMIFS('Raw Data Sales'!M84:M1082, 'Raw Data Sales'!H84:H1082, LEFT(A84, FIND(" ",A84)-1), 'Raw Data Sales'!I84:I1082, MID(A84, FIND(" ",A84)+1, 100))</f>
        <v>39</v>
      </c>
      <c r="F84" s="6">
        <f>SUMIFS('Raw Data Sales'!N84:N1082, 'Raw Data Sales'!H84:H1082, LEFT(A84, FIND(" ",A84)-1), 'Raw Data Sales'!I84:I1082, MID(A84, FIND(" ",A84)+1, 100))</f>
        <v>4519.89</v>
      </c>
    </row>
    <row r="85">
      <c r="A85" s="6" t="str">
        <f>IFERROR(__xludf.DUMMYFUNCTION("UNIQUE('Raw Data Sales'!H85:H1083 &amp; "" "" &amp; 'Raw Data Sales'!I85:I1083)"),"Sonnie Brettoner")</f>
        <v>Sonnie Brettoner</v>
      </c>
      <c r="B85" s="6" t="str">
        <f>IFERROR(__xludf.DUMMYFUNCTION("""COMPUTED_VALUE"""),"sbrettoner2b@dropbox.com")</f>
        <v>sbrettoner2b@dropbox.com</v>
      </c>
      <c r="C85" s="6" t="str">
        <f>IFERROR(__xludf.DUMMYFUNCTION("""COMPUTED_VALUE"""),"Portugal")</f>
        <v>Portugal</v>
      </c>
      <c r="D85" s="6">
        <f>COUNTIFS('Raw Data Sales'!H85:H1083, LEFT(A85, FIND(" ",A85)-1), 'Raw Data Sales'!I85:I1083, MID(A85, FIND(" ",A85)+1, 100))</f>
        <v>1</v>
      </c>
      <c r="E85" s="6">
        <f>SUMIFS('Raw Data Sales'!M85:M1083, 'Raw Data Sales'!H85:H1083, LEFT(A85, FIND(" ",A85)-1), 'Raw Data Sales'!I85:I1083, MID(A85, FIND(" ",A85)+1, 100))</f>
        <v>99</v>
      </c>
      <c r="F85" s="6">
        <f>SUMIFS('Raw Data Sales'!N85:N1083, 'Raw Data Sales'!H85:H1083, LEFT(A85, FIND(" ",A85)-1), 'Raw Data Sales'!I85:I1083, MID(A85, FIND(" ",A85)+1, 100))</f>
        <v>4472.54</v>
      </c>
    </row>
    <row r="86">
      <c r="A86" s="6" t="str">
        <f>IFERROR(__xludf.DUMMYFUNCTION("UNIQUE('Raw Data Sales'!H86:H1084 &amp; "" "" &amp; 'Raw Data Sales'!I86:I1084)"),"Beverley Argue")</f>
        <v>Beverley Argue</v>
      </c>
      <c r="B86" s="6" t="str">
        <f>IFERROR(__xludf.DUMMYFUNCTION("""COMPUTED_VALUE"""),"bargue2c@bbb.org")</f>
        <v>bargue2c@bbb.org</v>
      </c>
      <c r="C86" s="6" t="str">
        <f>IFERROR(__xludf.DUMMYFUNCTION("""COMPUTED_VALUE"""),"France")</f>
        <v>France</v>
      </c>
      <c r="D86" s="6">
        <f>COUNTIFS('Raw Data Sales'!H86:H1084, LEFT(A86, FIND(" ",A86)-1), 'Raw Data Sales'!I86:I1084, MID(A86, FIND(" ",A86)+1, 100))</f>
        <v>1</v>
      </c>
      <c r="E86" s="6">
        <f>SUMIFS('Raw Data Sales'!M86:M1084, 'Raw Data Sales'!H86:H1084, LEFT(A86, FIND(" ",A86)-1), 'Raw Data Sales'!I86:I1084, MID(A86, FIND(" ",A86)+1, 100))</f>
        <v>67</v>
      </c>
      <c r="F86" s="6">
        <f>SUMIFS('Raw Data Sales'!N86:N1084, 'Raw Data Sales'!H86:H1084, LEFT(A86, FIND(" ",A86)-1), 'Raw Data Sales'!I86:I1084, MID(A86, FIND(" ",A86)+1, 100))</f>
        <v>3367.73</v>
      </c>
    </row>
    <row r="87">
      <c r="A87" s="6" t="str">
        <f>IFERROR(__xludf.DUMMYFUNCTION("UNIQUE('Raw Data Sales'!H87:H1085 &amp; "" "" &amp; 'Raw Data Sales'!I87:I1085)"),"Sylvester Bolwell")</f>
        <v>Sylvester Bolwell</v>
      </c>
      <c r="B87" s="6" t="str">
        <f>IFERROR(__xludf.DUMMYFUNCTION("""COMPUTED_VALUE"""),"sbolwell2d@de.vu")</f>
        <v>sbolwell2d@de.vu</v>
      </c>
      <c r="C87" s="6" t="str">
        <f>IFERROR(__xludf.DUMMYFUNCTION("""COMPUTED_VALUE"""),"Belarus")</f>
        <v>Belarus</v>
      </c>
      <c r="D87" s="6">
        <f>COUNTIFS('Raw Data Sales'!H87:H1085, LEFT(A87, FIND(" ",A87)-1), 'Raw Data Sales'!I87:I1085, MID(A87, FIND(" ",A87)+1, 100))</f>
        <v>1</v>
      </c>
      <c r="E87" s="6">
        <f>SUMIFS('Raw Data Sales'!M87:M1085, 'Raw Data Sales'!H87:H1085, LEFT(A87, FIND(" ",A87)-1), 'Raw Data Sales'!I87:I1085, MID(A87, FIND(" ",A87)+1, 100))</f>
        <v>88</v>
      </c>
      <c r="F87" s="6">
        <f>SUMIFS('Raw Data Sales'!N87:N1085, 'Raw Data Sales'!H87:H1085, LEFT(A87, FIND(" ",A87)-1), 'Raw Data Sales'!I87:I1085, MID(A87, FIND(" ",A87)+1, 100))</f>
        <v>325</v>
      </c>
    </row>
    <row r="88">
      <c r="A88" s="6" t="str">
        <f>IFERROR(__xludf.DUMMYFUNCTION("UNIQUE('Raw Data Sales'!H88:H1086 &amp; "" "" &amp; 'Raw Data Sales'!I88:I1086)"),"Cornelia Shapcote")</f>
        <v>Cornelia Shapcote</v>
      </c>
      <c r="B88" s="6" t="str">
        <f>IFERROR(__xludf.DUMMYFUNCTION("""COMPUTED_VALUE"""),"cshapcote2e@state.tx.us")</f>
        <v>cshapcote2e@state.tx.us</v>
      </c>
      <c r="C88" s="6" t="str">
        <f>IFERROR(__xludf.DUMMYFUNCTION("""COMPUTED_VALUE"""),"Indonesia")</f>
        <v>Indonesia</v>
      </c>
      <c r="D88" s="6">
        <f>COUNTIFS('Raw Data Sales'!H88:H1086, LEFT(A88, FIND(" ",A88)-1), 'Raw Data Sales'!I88:I1086, MID(A88, FIND(" ",A88)+1, 100))</f>
        <v>1</v>
      </c>
      <c r="E88" s="6">
        <f>SUMIFS('Raw Data Sales'!M88:M1086, 'Raw Data Sales'!H88:H1086, LEFT(A88, FIND(" ",A88)-1), 'Raw Data Sales'!I88:I1086, MID(A88, FIND(" ",A88)+1, 100))</f>
        <v>97</v>
      </c>
      <c r="F88" s="6">
        <f>SUMIFS('Raw Data Sales'!N88:N1086, 'Raw Data Sales'!H88:H1086, LEFT(A88, FIND(" ",A88)-1), 'Raw Data Sales'!I88:I1086, MID(A88, FIND(" ",A88)+1, 100))</f>
        <v>4123.93</v>
      </c>
    </row>
    <row r="89">
      <c r="A89" s="6" t="str">
        <f>IFERROR(__xludf.DUMMYFUNCTION("UNIQUE('Raw Data Sales'!H89:H1087 &amp; "" "" &amp; 'Raw Data Sales'!I89:I1087)"),"Gwendolin Marl")</f>
        <v>Gwendolin Marl</v>
      </c>
      <c r="B89" s="6" t="str">
        <f>IFERROR(__xludf.DUMMYFUNCTION("""COMPUTED_VALUE"""),"gmarl2f@hexun.com")</f>
        <v>gmarl2f@hexun.com</v>
      </c>
      <c r="C89" s="6" t="str">
        <f>IFERROR(__xludf.DUMMYFUNCTION("""COMPUTED_VALUE"""),"Indonesia")</f>
        <v>Indonesia</v>
      </c>
      <c r="D89" s="6">
        <f>COUNTIFS('Raw Data Sales'!H89:H1087, LEFT(A89, FIND(" ",A89)-1), 'Raw Data Sales'!I89:I1087, MID(A89, FIND(" ",A89)+1, 100))</f>
        <v>1</v>
      </c>
      <c r="E89" s="6">
        <f>SUMIFS('Raw Data Sales'!M89:M1087, 'Raw Data Sales'!H89:H1087, LEFT(A89, FIND(" ",A89)-1), 'Raw Data Sales'!I89:I1087, MID(A89, FIND(" ",A89)+1, 100))</f>
        <v>69</v>
      </c>
      <c r="F89" s="6">
        <f>SUMIFS('Raw Data Sales'!N89:N1087, 'Raw Data Sales'!H89:H1087, LEFT(A89, FIND(" ",A89)-1), 'Raw Data Sales'!I89:I1087, MID(A89, FIND(" ",A89)+1, 100))</f>
        <v>26.6</v>
      </c>
    </row>
    <row r="90">
      <c r="A90" s="6" t="str">
        <f>IFERROR(__xludf.DUMMYFUNCTION("UNIQUE('Raw Data Sales'!H90:H1088 &amp; "" "" &amp; 'Raw Data Sales'!I90:I1088)"),"Connie Swalteridge")</f>
        <v>Connie Swalteridge</v>
      </c>
      <c r="B90" s="6" t="str">
        <f>IFERROR(__xludf.DUMMYFUNCTION("""COMPUTED_VALUE"""),"cswalteridge2g@sun.com")</f>
        <v>cswalteridge2g@sun.com</v>
      </c>
      <c r="C90" s="6" t="str">
        <f>IFERROR(__xludf.DUMMYFUNCTION("""COMPUTED_VALUE"""),"Indonesia")</f>
        <v>Indonesia</v>
      </c>
      <c r="D90" s="6">
        <f>COUNTIFS('Raw Data Sales'!H90:H1088, LEFT(A90, FIND(" ",A90)-1), 'Raw Data Sales'!I90:I1088, MID(A90, FIND(" ",A90)+1, 100))</f>
        <v>1</v>
      </c>
      <c r="E90" s="6">
        <f>SUMIFS('Raw Data Sales'!M90:M1088, 'Raw Data Sales'!H90:H1088, LEFT(A90, FIND(" ",A90)-1), 'Raw Data Sales'!I90:I1088, MID(A90, FIND(" ",A90)+1, 100))</f>
        <v>35</v>
      </c>
      <c r="F90" s="6">
        <f>SUMIFS('Raw Data Sales'!N90:N1088, 'Raw Data Sales'!H90:H1088, LEFT(A90, FIND(" ",A90)-1), 'Raw Data Sales'!I90:I1088, MID(A90, FIND(" ",A90)+1, 100))</f>
        <v>367.33</v>
      </c>
    </row>
    <row r="91">
      <c r="A91" s="6" t="str">
        <f>IFERROR(__xludf.DUMMYFUNCTION("UNIQUE('Raw Data Sales'!H91:H1089 &amp; "" "" &amp; 'Raw Data Sales'!I91:I1089)"),"Maggie Trappe")</f>
        <v>Maggie Trappe</v>
      </c>
      <c r="B91" s="6" t="str">
        <f>IFERROR(__xludf.DUMMYFUNCTION("""COMPUTED_VALUE"""),"mtrappe2h@xinhuanet.com")</f>
        <v>mtrappe2h@xinhuanet.com</v>
      </c>
      <c r="C91" s="6" t="str">
        <f>IFERROR(__xludf.DUMMYFUNCTION("""COMPUTED_VALUE"""),"Afghanistan")</f>
        <v>Afghanistan</v>
      </c>
      <c r="D91" s="6">
        <f>COUNTIFS('Raw Data Sales'!H91:H1089, LEFT(A91, FIND(" ",A91)-1), 'Raw Data Sales'!I91:I1089, MID(A91, FIND(" ",A91)+1, 100))</f>
        <v>1</v>
      </c>
      <c r="E91" s="6">
        <f>SUMIFS('Raw Data Sales'!M91:M1089, 'Raw Data Sales'!H91:H1089, LEFT(A91, FIND(" ",A91)-1), 'Raw Data Sales'!I91:I1089, MID(A91, FIND(" ",A91)+1, 100))</f>
        <v>87</v>
      </c>
      <c r="F91" s="6">
        <f>SUMIFS('Raw Data Sales'!N91:N1089, 'Raw Data Sales'!H91:H1089, LEFT(A91, FIND(" ",A91)-1), 'Raw Data Sales'!I91:I1089, MID(A91, FIND(" ",A91)+1, 100))</f>
        <v>2421.08</v>
      </c>
    </row>
    <row r="92">
      <c r="A92" s="6" t="str">
        <f>IFERROR(__xludf.DUMMYFUNCTION("UNIQUE('Raw Data Sales'!H92:H1090 &amp; "" "" &amp; 'Raw Data Sales'!I92:I1090)"),"Meredithe Kelwick")</f>
        <v>Meredithe Kelwick</v>
      </c>
      <c r="B92" s="6" t="str">
        <f>IFERROR(__xludf.DUMMYFUNCTION("""COMPUTED_VALUE"""),"mkelwick2i@wufoo.com")</f>
        <v>mkelwick2i@wufoo.com</v>
      </c>
      <c r="C92" s="6" t="str">
        <f>IFERROR(__xludf.DUMMYFUNCTION("""COMPUTED_VALUE"""),"Mexico")</f>
        <v>Mexico</v>
      </c>
      <c r="D92" s="6">
        <f>COUNTIFS('Raw Data Sales'!H92:H1090, LEFT(A92, FIND(" ",A92)-1), 'Raw Data Sales'!I92:I1090, MID(A92, FIND(" ",A92)+1, 100))</f>
        <v>1</v>
      </c>
      <c r="E92" s="6">
        <f>SUMIFS('Raw Data Sales'!M92:M1090, 'Raw Data Sales'!H92:H1090, LEFT(A92, FIND(" ",A92)-1), 'Raw Data Sales'!I92:I1090, MID(A92, FIND(" ",A92)+1, 100))</f>
        <v>95</v>
      </c>
      <c r="F92" s="6">
        <f>SUMIFS('Raw Data Sales'!N92:N1090, 'Raw Data Sales'!H92:H1090, LEFT(A92, FIND(" ",A92)-1), 'Raw Data Sales'!I92:I1090, MID(A92, FIND(" ",A92)+1, 100))</f>
        <v>5850.7</v>
      </c>
    </row>
    <row r="93">
      <c r="A93" s="6" t="str">
        <f>IFERROR(__xludf.DUMMYFUNCTION("UNIQUE('Raw Data Sales'!H93:H1091 &amp; "" "" &amp; 'Raw Data Sales'!I93:I1091)"),"Zondra Maskrey")</f>
        <v>Zondra Maskrey</v>
      </c>
      <c r="B93" s="6" t="str">
        <f>IFERROR(__xludf.DUMMYFUNCTION("""COMPUTED_VALUE"""),"zmaskrey2j@bloomberg.com")</f>
        <v>zmaskrey2j@bloomberg.com</v>
      </c>
      <c r="C93" s="6" t="str">
        <f>IFERROR(__xludf.DUMMYFUNCTION("""COMPUTED_VALUE"""),"China")</f>
        <v>China</v>
      </c>
      <c r="D93" s="6">
        <f>COUNTIFS('Raw Data Sales'!H93:H1091, LEFT(A93, FIND(" ",A93)-1), 'Raw Data Sales'!I93:I1091, MID(A93, FIND(" ",A93)+1, 100))</f>
        <v>1</v>
      </c>
      <c r="E93" s="6">
        <f>SUMIFS('Raw Data Sales'!M93:M1091, 'Raw Data Sales'!H93:H1091, LEFT(A93, FIND(" ",A93)-1), 'Raw Data Sales'!I93:I1091, MID(A93, FIND(" ",A93)+1, 100))</f>
        <v>50</v>
      </c>
      <c r="F93" s="6">
        <f>SUMIFS('Raw Data Sales'!N93:N1091, 'Raw Data Sales'!H93:H1091, LEFT(A93, FIND(" ",A93)-1), 'Raw Data Sales'!I93:I1091, MID(A93, FIND(" ",A93)+1, 100))</f>
        <v>1400.05</v>
      </c>
    </row>
    <row r="94">
      <c r="A94" s="6" t="str">
        <f>IFERROR(__xludf.DUMMYFUNCTION("UNIQUE('Raw Data Sales'!H94:H1092 &amp; "" "" &amp; 'Raw Data Sales'!I94:I1092)"),"Howey Keaveney")</f>
        <v>Howey Keaveney</v>
      </c>
      <c r="B94" s="6" t="str">
        <f>IFERROR(__xludf.DUMMYFUNCTION("""COMPUTED_VALUE"""),"hkeaveney2k@microsoft.com")</f>
        <v>hkeaveney2k@microsoft.com</v>
      </c>
      <c r="C94" s="6" t="str">
        <f>IFERROR(__xludf.DUMMYFUNCTION("""COMPUTED_VALUE"""),"Sweden")</f>
        <v>Sweden</v>
      </c>
      <c r="D94" s="6">
        <f>COUNTIFS('Raw Data Sales'!H94:H1092, LEFT(A94, FIND(" ",A94)-1), 'Raw Data Sales'!I94:I1092, MID(A94, FIND(" ",A94)+1, 100))</f>
        <v>1</v>
      </c>
      <c r="E94" s="6">
        <f>SUMIFS('Raw Data Sales'!M94:M1092, 'Raw Data Sales'!H94:H1092, LEFT(A94, FIND(" ",A94)-1), 'Raw Data Sales'!I94:I1092, MID(A94, FIND(" ",A94)+1, 100))</f>
        <v>93</v>
      </c>
      <c r="F94" s="6">
        <f>SUMIFS('Raw Data Sales'!N94:N1092, 'Raw Data Sales'!H94:H1092, LEFT(A94, FIND(" ",A94)-1), 'Raw Data Sales'!I94:I1092, MID(A94, FIND(" ",A94)+1, 100))</f>
        <v>2570.88</v>
      </c>
    </row>
    <row r="95">
      <c r="A95" s="6" t="str">
        <f>IFERROR(__xludf.DUMMYFUNCTION("UNIQUE('Raw Data Sales'!H95:H1093 &amp; "" "" &amp; 'Raw Data Sales'!I95:I1093)"),"Ollie Jakubowsky")</f>
        <v>Ollie Jakubowsky</v>
      </c>
      <c r="B95" s="6" t="str">
        <f>IFERROR(__xludf.DUMMYFUNCTION("""COMPUTED_VALUE"""),"ojakubowsky2l@ted.com")</f>
        <v>ojakubowsky2l@ted.com</v>
      </c>
      <c r="C95" s="6" t="str">
        <f>IFERROR(__xludf.DUMMYFUNCTION("""COMPUTED_VALUE"""),"Poland")</f>
        <v>Poland</v>
      </c>
      <c r="D95" s="6">
        <f>COUNTIFS('Raw Data Sales'!H95:H1093, LEFT(A95, FIND(" ",A95)-1), 'Raw Data Sales'!I95:I1093, MID(A95, FIND(" ",A95)+1, 100))</f>
        <v>1</v>
      </c>
      <c r="E95" s="6">
        <f>SUMIFS('Raw Data Sales'!M95:M1093, 'Raw Data Sales'!H95:H1093, LEFT(A95, FIND(" ",A95)-1), 'Raw Data Sales'!I95:I1093, MID(A95, FIND(" ",A95)+1, 100))</f>
        <v>91</v>
      </c>
      <c r="F95" s="6">
        <f>SUMIFS('Raw Data Sales'!N95:N1093, 'Raw Data Sales'!H95:H1093, LEFT(A95, FIND(" ",A95)-1), 'Raw Data Sales'!I95:I1093, MID(A95, FIND(" ",A95)+1, 100))</f>
        <v>6866.16</v>
      </c>
    </row>
    <row r="96">
      <c r="A96" s="6" t="str">
        <f>IFERROR(__xludf.DUMMYFUNCTION("UNIQUE('Raw Data Sales'!H96:H1094 &amp; "" "" &amp; 'Raw Data Sales'!I96:I1094)"),"Luciana Deniseau")</f>
        <v>Luciana Deniseau</v>
      </c>
      <c r="B96" s="6" t="str">
        <f>IFERROR(__xludf.DUMMYFUNCTION("""COMPUTED_VALUE"""),"ldeniseau2m@columbia.edu")</f>
        <v>ldeniseau2m@columbia.edu</v>
      </c>
      <c r="C96" s="6" t="str">
        <f>IFERROR(__xludf.DUMMYFUNCTION("""COMPUTED_VALUE"""),"Sweden")</f>
        <v>Sweden</v>
      </c>
      <c r="D96" s="6">
        <f>COUNTIFS('Raw Data Sales'!H96:H1094, LEFT(A96, FIND(" ",A96)-1), 'Raw Data Sales'!I96:I1094, MID(A96, FIND(" ",A96)+1, 100))</f>
        <v>1</v>
      </c>
      <c r="E96" s="6">
        <f>SUMIFS('Raw Data Sales'!M96:M1094, 'Raw Data Sales'!H96:H1094, LEFT(A96, FIND(" ",A96)-1), 'Raw Data Sales'!I96:I1094, MID(A96, FIND(" ",A96)+1, 100))</f>
        <v>28</v>
      </c>
      <c r="F96" s="6">
        <f>SUMIFS('Raw Data Sales'!N96:N1094, 'Raw Data Sales'!H96:H1094, LEFT(A96, FIND(" ",A96)-1), 'Raw Data Sales'!I96:I1094, MID(A96, FIND(" ",A96)+1, 100))</f>
        <v>8936.14</v>
      </c>
    </row>
    <row r="97">
      <c r="A97" s="6" t="str">
        <f>IFERROR(__xludf.DUMMYFUNCTION("UNIQUE('Raw Data Sales'!H97:H1095 &amp; "" "" &amp; 'Raw Data Sales'!I97:I1095)"),"Nataline Marklin")</f>
        <v>Nataline Marklin</v>
      </c>
      <c r="B97" s="6" t="str">
        <f>IFERROR(__xludf.DUMMYFUNCTION("""COMPUTED_VALUE"""),"nmarklin2n@furl.net")</f>
        <v>nmarklin2n@furl.net</v>
      </c>
      <c r="C97" s="6" t="str">
        <f>IFERROR(__xludf.DUMMYFUNCTION("""COMPUTED_VALUE"""),"Poland")</f>
        <v>Poland</v>
      </c>
      <c r="D97" s="6">
        <f>COUNTIFS('Raw Data Sales'!H97:H1095, LEFT(A97, FIND(" ",A97)-1), 'Raw Data Sales'!I97:I1095, MID(A97, FIND(" ",A97)+1, 100))</f>
        <v>1</v>
      </c>
      <c r="E97" s="6">
        <f>SUMIFS('Raw Data Sales'!M97:M1095, 'Raw Data Sales'!H97:H1095, LEFT(A97, FIND(" ",A97)-1), 'Raw Data Sales'!I97:I1095, MID(A97, FIND(" ",A97)+1, 100))</f>
        <v>87</v>
      </c>
      <c r="F97" s="6">
        <f>SUMIFS('Raw Data Sales'!N97:N1095, 'Raw Data Sales'!H97:H1095, LEFT(A97, FIND(" ",A97)-1), 'Raw Data Sales'!I97:I1095, MID(A97, FIND(" ",A97)+1, 100))</f>
        <v>7005.31</v>
      </c>
    </row>
    <row r="98">
      <c r="A98" s="6" t="str">
        <f>IFERROR(__xludf.DUMMYFUNCTION("UNIQUE('Raw Data Sales'!H98:H1096 &amp; "" "" &amp; 'Raw Data Sales'!I98:I1096)"),"Cristin Veracruysse")</f>
        <v>Cristin Veracruysse</v>
      </c>
      <c r="B98" s="6" t="str">
        <f>IFERROR(__xludf.DUMMYFUNCTION("""COMPUTED_VALUE"""),"cveracruysse2o@sphinn.com")</f>
        <v>cveracruysse2o@sphinn.com</v>
      </c>
      <c r="C98" s="6" t="str">
        <f>IFERROR(__xludf.DUMMYFUNCTION("""COMPUTED_VALUE"""),"Greece")</f>
        <v>Greece</v>
      </c>
      <c r="D98" s="6">
        <f>COUNTIFS('Raw Data Sales'!H98:H1096, LEFT(A98, FIND(" ",A98)-1), 'Raw Data Sales'!I98:I1096, MID(A98, FIND(" ",A98)+1, 100))</f>
        <v>1</v>
      </c>
      <c r="E98" s="6">
        <f>SUMIFS('Raw Data Sales'!M98:M1096, 'Raw Data Sales'!H98:H1096, LEFT(A98, FIND(" ",A98)-1), 'Raw Data Sales'!I98:I1096, MID(A98, FIND(" ",A98)+1, 100))</f>
        <v>88</v>
      </c>
      <c r="F98" s="6">
        <f>SUMIFS('Raw Data Sales'!N98:N1096, 'Raw Data Sales'!H98:H1096, LEFT(A98, FIND(" ",A98)-1), 'Raw Data Sales'!I98:I1096, MID(A98, FIND(" ",A98)+1, 100))</f>
        <v>3375.98</v>
      </c>
    </row>
    <row r="99">
      <c r="A99" s="6" t="str">
        <f>IFERROR(__xludf.DUMMYFUNCTION("UNIQUE('Raw Data Sales'!H99:H1097 &amp; "" "" &amp; 'Raw Data Sales'!I99:I1097)"),"Bradford Ewers")</f>
        <v>Bradford Ewers</v>
      </c>
      <c r="B99" s="6" t="str">
        <f>IFERROR(__xludf.DUMMYFUNCTION("""COMPUTED_VALUE"""),"bewers2p@photobucket.com")</f>
        <v>bewers2p@photobucket.com</v>
      </c>
      <c r="C99" s="6" t="str">
        <f>IFERROR(__xludf.DUMMYFUNCTION("""COMPUTED_VALUE"""),"China")</f>
        <v>China</v>
      </c>
      <c r="D99" s="6">
        <f>COUNTIFS('Raw Data Sales'!H99:H1097, LEFT(A99, FIND(" ",A99)-1), 'Raw Data Sales'!I99:I1097, MID(A99, FIND(" ",A99)+1, 100))</f>
        <v>1</v>
      </c>
      <c r="E99" s="6">
        <f>SUMIFS('Raw Data Sales'!M99:M1097, 'Raw Data Sales'!H99:H1097, LEFT(A99, FIND(" ",A99)-1), 'Raw Data Sales'!I99:I1097, MID(A99, FIND(" ",A99)+1, 100))</f>
        <v>94</v>
      </c>
      <c r="F99" s="6">
        <f>SUMIFS('Raw Data Sales'!N99:N1097, 'Raw Data Sales'!H99:H1097, LEFT(A99, FIND(" ",A99)-1), 'Raw Data Sales'!I99:I1097, MID(A99, FIND(" ",A99)+1, 100))</f>
        <v>9649.32</v>
      </c>
    </row>
    <row r="100">
      <c r="A100" s="6" t="str">
        <f>IFERROR(__xludf.DUMMYFUNCTION("UNIQUE('Raw Data Sales'!H100:H1098 &amp; "" "" &amp; 'Raw Data Sales'!I100:I1098)"),"Evelina Izacenko")</f>
        <v>Evelina Izacenko</v>
      </c>
      <c r="B100" s="6" t="str">
        <f>IFERROR(__xludf.DUMMYFUNCTION("""COMPUTED_VALUE"""),"eizacenko2q@google.fr")</f>
        <v>eizacenko2q@google.fr</v>
      </c>
      <c r="C100" s="6" t="str">
        <f>IFERROR(__xludf.DUMMYFUNCTION("""COMPUTED_VALUE"""),"China")</f>
        <v>China</v>
      </c>
      <c r="D100" s="6">
        <f>COUNTIFS('Raw Data Sales'!H100:H1098, LEFT(A100, FIND(" ",A100)-1), 'Raw Data Sales'!I100:I1098, MID(A100, FIND(" ",A100)+1, 100))</f>
        <v>1</v>
      </c>
      <c r="E100" s="6">
        <f>SUMIFS('Raw Data Sales'!M100:M1098, 'Raw Data Sales'!H100:H1098, LEFT(A100, FIND(" ",A100)-1), 'Raw Data Sales'!I100:I1098, MID(A100, FIND(" ",A100)+1, 100))</f>
        <v>1</v>
      </c>
      <c r="F100" s="6">
        <f>SUMIFS('Raw Data Sales'!N100:N1098, 'Raw Data Sales'!H100:H1098, LEFT(A100, FIND(" ",A100)-1), 'Raw Data Sales'!I100:I1098, MID(A100, FIND(" ",A100)+1, 100))</f>
        <v>4228.75</v>
      </c>
    </row>
    <row r="101">
      <c r="A101" s="6" t="str">
        <f>IFERROR(__xludf.DUMMYFUNCTION("UNIQUE('Raw Data Sales'!H101:H1099 &amp; "" "" &amp; 'Raw Data Sales'!I101:I1099)"),"Alameda Rabson")</f>
        <v>Alameda Rabson</v>
      </c>
      <c r="B101" s="6" t="str">
        <f>IFERROR(__xludf.DUMMYFUNCTION("""COMPUTED_VALUE"""),"arabson2r@hhs.gov")</f>
        <v>arabson2r@hhs.gov</v>
      </c>
      <c r="C101" s="6" t="str">
        <f>IFERROR(__xludf.DUMMYFUNCTION("""COMPUTED_VALUE"""),"Philippines")</f>
        <v>Philippines</v>
      </c>
      <c r="D101" s="6">
        <f>COUNTIFS('Raw Data Sales'!H101:H1099, LEFT(A101, FIND(" ",A101)-1), 'Raw Data Sales'!I101:I1099, MID(A101, FIND(" ",A101)+1, 100))</f>
        <v>1</v>
      </c>
      <c r="E101" s="6">
        <f>SUMIFS('Raw Data Sales'!M101:M1099, 'Raw Data Sales'!H101:H1099, LEFT(A101, FIND(" ",A101)-1), 'Raw Data Sales'!I101:I1099, MID(A101, FIND(" ",A101)+1, 100))</f>
        <v>3</v>
      </c>
      <c r="F101" s="6">
        <f>SUMIFS('Raw Data Sales'!N101:N1099, 'Raw Data Sales'!H101:H1099, LEFT(A101, FIND(" ",A101)-1), 'Raw Data Sales'!I101:I1099, MID(A101, FIND(" ",A101)+1, 100))</f>
        <v>6384.25</v>
      </c>
    </row>
    <row r="102">
      <c r="A102" s="6" t="str">
        <f>IFERROR(__xludf.DUMMYFUNCTION("UNIQUE('Raw Data Sales'!H102:H1100 &amp; "" "" &amp; 'Raw Data Sales'!I102:I1100)"),"Zacharie Aronowicz")</f>
        <v>Zacharie Aronowicz</v>
      </c>
      <c r="B102" s="6" t="str">
        <f>IFERROR(__xludf.DUMMYFUNCTION("""COMPUTED_VALUE"""),"zaronowicz2s@reuters.com")</f>
        <v>zaronowicz2s@reuters.com</v>
      </c>
      <c r="C102" s="6" t="str">
        <f>IFERROR(__xludf.DUMMYFUNCTION("""COMPUTED_VALUE"""),"China")</f>
        <v>China</v>
      </c>
      <c r="D102" s="6">
        <f>COUNTIFS('Raw Data Sales'!H102:H1100, LEFT(A102, FIND(" ",A102)-1), 'Raw Data Sales'!I102:I1100, MID(A102, FIND(" ",A102)+1, 100))</f>
        <v>1</v>
      </c>
      <c r="E102" s="6">
        <f>SUMIFS('Raw Data Sales'!M102:M1100, 'Raw Data Sales'!H102:H1100, LEFT(A102, FIND(" ",A102)-1), 'Raw Data Sales'!I102:I1100, MID(A102, FIND(" ",A102)+1, 100))</f>
        <v>39</v>
      </c>
      <c r="F102" s="6">
        <f>SUMIFS('Raw Data Sales'!N102:N1100, 'Raw Data Sales'!H102:H1100, LEFT(A102, FIND(" ",A102)-1), 'Raw Data Sales'!I102:I1100, MID(A102, FIND(" ",A102)+1, 100))</f>
        <v>2350.78</v>
      </c>
    </row>
    <row r="103">
      <c r="A103" s="6" t="str">
        <f>IFERROR(__xludf.DUMMYFUNCTION("UNIQUE('Raw Data Sales'!H103:H1101 &amp; "" "" &amp; 'Raw Data Sales'!I103:I1101)"),"Darice Sanz")</f>
        <v>Darice Sanz</v>
      </c>
      <c r="B103" s="6" t="str">
        <f>IFERROR(__xludf.DUMMYFUNCTION("""COMPUTED_VALUE"""),"dsanz2t@lycos.com")</f>
        <v>dsanz2t@lycos.com</v>
      </c>
      <c r="C103" s="6" t="str">
        <f>IFERROR(__xludf.DUMMYFUNCTION("""COMPUTED_VALUE"""),"Macedonia")</f>
        <v>Macedonia</v>
      </c>
      <c r="D103" s="6">
        <f>COUNTIFS('Raw Data Sales'!H103:H1101, LEFT(A103, FIND(" ",A103)-1), 'Raw Data Sales'!I103:I1101, MID(A103, FIND(" ",A103)+1, 100))</f>
        <v>1</v>
      </c>
      <c r="E103" s="6">
        <f>SUMIFS('Raw Data Sales'!M103:M1101, 'Raw Data Sales'!H103:H1101, LEFT(A103, FIND(" ",A103)-1), 'Raw Data Sales'!I103:I1101, MID(A103, FIND(" ",A103)+1, 100))</f>
        <v>98</v>
      </c>
      <c r="F103" s="6">
        <f>SUMIFS('Raw Data Sales'!N103:N1101, 'Raw Data Sales'!H103:H1101, LEFT(A103, FIND(" ",A103)-1), 'Raw Data Sales'!I103:I1101, MID(A103, FIND(" ",A103)+1, 100))</f>
        <v>864.12</v>
      </c>
    </row>
    <row r="104">
      <c r="A104" s="6" t="str">
        <f>IFERROR(__xludf.DUMMYFUNCTION("UNIQUE('Raw Data Sales'!H104:H1102 &amp; "" "" &amp; 'Raw Data Sales'!I104:I1102)"),"Nixie Grix")</f>
        <v>Nixie Grix</v>
      </c>
      <c r="B104" s="6" t="str">
        <f>IFERROR(__xludf.DUMMYFUNCTION("""COMPUTED_VALUE"""),"ngrix2u@cam.ac.uk")</f>
        <v>ngrix2u@cam.ac.uk</v>
      </c>
      <c r="C104" s="6" t="str">
        <f>IFERROR(__xludf.DUMMYFUNCTION("""COMPUTED_VALUE"""),"Sweden")</f>
        <v>Sweden</v>
      </c>
      <c r="D104" s="6">
        <f>COUNTIFS('Raw Data Sales'!H104:H1102, LEFT(A104, FIND(" ",A104)-1), 'Raw Data Sales'!I104:I1102, MID(A104, FIND(" ",A104)+1, 100))</f>
        <v>1</v>
      </c>
      <c r="E104" s="6">
        <f>SUMIFS('Raw Data Sales'!M104:M1102, 'Raw Data Sales'!H104:H1102, LEFT(A104, FIND(" ",A104)-1), 'Raw Data Sales'!I104:I1102, MID(A104, FIND(" ",A104)+1, 100))</f>
        <v>12</v>
      </c>
      <c r="F104" s="6">
        <f>SUMIFS('Raw Data Sales'!N104:N1102, 'Raw Data Sales'!H104:H1102, LEFT(A104, FIND(" ",A104)-1), 'Raw Data Sales'!I104:I1102, MID(A104, FIND(" ",A104)+1, 100))</f>
        <v>7587.97</v>
      </c>
    </row>
    <row r="105">
      <c r="A105" s="6" t="str">
        <f>IFERROR(__xludf.DUMMYFUNCTION("UNIQUE('Raw Data Sales'!H105:H1103 &amp; "" "" &amp; 'Raw Data Sales'!I105:I1103)"),"Agata Legat")</f>
        <v>Agata Legat</v>
      </c>
      <c r="B105" s="6" t="str">
        <f>IFERROR(__xludf.DUMMYFUNCTION("""COMPUTED_VALUE"""),"alegat2v@latimes.com")</f>
        <v>alegat2v@latimes.com</v>
      </c>
      <c r="C105" s="6" t="str">
        <f>IFERROR(__xludf.DUMMYFUNCTION("""COMPUTED_VALUE"""),"France")</f>
        <v>France</v>
      </c>
      <c r="D105" s="6">
        <f>COUNTIFS('Raw Data Sales'!H105:H1103, LEFT(A105, FIND(" ",A105)-1), 'Raw Data Sales'!I105:I1103, MID(A105, FIND(" ",A105)+1, 100))</f>
        <v>1</v>
      </c>
      <c r="E105" s="6">
        <f>SUMIFS('Raw Data Sales'!M105:M1103, 'Raw Data Sales'!H105:H1103, LEFT(A105, FIND(" ",A105)-1), 'Raw Data Sales'!I105:I1103, MID(A105, FIND(" ",A105)+1, 100))</f>
        <v>43</v>
      </c>
      <c r="F105" s="6">
        <f>SUMIFS('Raw Data Sales'!N105:N1103, 'Raw Data Sales'!H105:H1103, LEFT(A105, FIND(" ",A105)-1), 'Raw Data Sales'!I105:I1103, MID(A105, FIND(" ",A105)+1, 100))</f>
        <v>1705.72</v>
      </c>
    </row>
    <row r="106">
      <c r="A106" s="6" t="str">
        <f>IFERROR(__xludf.DUMMYFUNCTION("UNIQUE('Raw Data Sales'!H106:H1104 &amp; "" "" &amp; 'Raw Data Sales'!I106:I1104)"),"Phedra Heinsh")</f>
        <v>Phedra Heinsh</v>
      </c>
      <c r="B106" s="6" t="str">
        <f>IFERROR(__xludf.DUMMYFUNCTION("""COMPUTED_VALUE"""),"pheinsh2w@shop-pro.jp")</f>
        <v>pheinsh2w@shop-pro.jp</v>
      </c>
      <c r="C106" s="6" t="str">
        <f>IFERROR(__xludf.DUMMYFUNCTION("""COMPUTED_VALUE"""),"Colombia")</f>
        <v>Colombia</v>
      </c>
      <c r="D106" s="6">
        <f>COUNTIFS('Raw Data Sales'!H106:H1104, LEFT(A106, FIND(" ",A106)-1), 'Raw Data Sales'!I106:I1104, MID(A106, FIND(" ",A106)+1, 100))</f>
        <v>1</v>
      </c>
      <c r="E106" s="6">
        <f>SUMIFS('Raw Data Sales'!M106:M1104, 'Raw Data Sales'!H106:H1104, LEFT(A106, FIND(" ",A106)-1), 'Raw Data Sales'!I106:I1104, MID(A106, FIND(" ",A106)+1, 100))</f>
        <v>62</v>
      </c>
      <c r="F106" s="6">
        <f>SUMIFS('Raw Data Sales'!N106:N1104, 'Raw Data Sales'!H106:H1104, LEFT(A106, FIND(" ",A106)-1), 'Raw Data Sales'!I106:I1104, MID(A106, FIND(" ",A106)+1, 100))</f>
        <v>8176.76</v>
      </c>
    </row>
    <row r="107">
      <c r="A107" s="6" t="str">
        <f>IFERROR(__xludf.DUMMYFUNCTION("UNIQUE('Raw Data Sales'!H107:H1105 &amp; "" "" &amp; 'Raw Data Sales'!I107:I1105)"),"Theodoric Rubie")</f>
        <v>Theodoric Rubie</v>
      </c>
      <c r="B107" s="6" t="str">
        <f>IFERROR(__xludf.DUMMYFUNCTION("""COMPUTED_VALUE"""),"trubie2x@lulu.com")</f>
        <v>trubie2x@lulu.com</v>
      </c>
      <c r="C107" s="6" t="str">
        <f>IFERROR(__xludf.DUMMYFUNCTION("""COMPUTED_VALUE"""),"Mexico")</f>
        <v>Mexico</v>
      </c>
      <c r="D107" s="6">
        <f>COUNTIFS('Raw Data Sales'!H107:H1105, LEFT(A107, FIND(" ",A107)-1), 'Raw Data Sales'!I107:I1105, MID(A107, FIND(" ",A107)+1, 100))</f>
        <v>1</v>
      </c>
      <c r="E107" s="6">
        <f>SUMIFS('Raw Data Sales'!M107:M1105, 'Raw Data Sales'!H107:H1105, LEFT(A107, FIND(" ",A107)-1), 'Raw Data Sales'!I107:I1105, MID(A107, FIND(" ",A107)+1, 100))</f>
        <v>92</v>
      </c>
      <c r="F107" s="6">
        <f>SUMIFS('Raw Data Sales'!N107:N1105, 'Raw Data Sales'!H107:H1105, LEFT(A107, FIND(" ",A107)-1), 'Raw Data Sales'!I107:I1105, MID(A107, FIND(" ",A107)+1, 100))</f>
        <v>3952.67</v>
      </c>
    </row>
    <row r="108">
      <c r="A108" s="6" t="str">
        <f>IFERROR(__xludf.DUMMYFUNCTION("UNIQUE('Raw Data Sales'!H108:H1106 &amp; "" "" &amp; 'Raw Data Sales'!I108:I1106)"),"Rinaldo Harbach")</f>
        <v>Rinaldo Harbach</v>
      </c>
      <c r="B108" s="6" t="str">
        <f>IFERROR(__xludf.DUMMYFUNCTION("""COMPUTED_VALUE"""),"rharbach2y@state.gov")</f>
        <v>rharbach2y@state.gov</v>
      </c>
      <c r="C108" s="6" t="str">
        <f>IFERROR(__xludf.DUMMYFUNCTION("""COMPUTED_VALUE"""),"Macedonia")</f>
        <v>Macedonia</v>
      </c>
      <c r="D108" s="6">
        <f>COUNTIFS('Raw Data Sales'!H108:H1106, LEFT(A108, FIND(" ",A108)-1), 'Raw Data Sales'!I108:I1106, MID(A108, FIND(" ",A108)+1, 100))</f>
        <v>1</v>
      </c>
      <c r="E108" s="6">
        <f>SUMIFS('Raw Data Sales'!M108:M1106, 'Raw Data Sales'!H108:H1106, LEFT(A108, FIND(" ",A108)-1), 'Raw Data Sales'!I108:I1106, MID(A108, FIND(" ",A108)+1, 100))</f>
        <v>1</v>
      </c>
      <c r="F108" s="6">
        <f>SUMIFS('Raw Data Sales'!N108:N1106, 'Raw Data Sales'!H108:H1106, LEFT(A108, FIND(" ",A108)-1), 'Raw Data Sales'!I108:I1106, MID(A108, FIND(" ",A108)+1, 100))</f>
        <v>205.97</v>
      </c>
    </row>
    <row r="109">
      <c r="A109" s="6" t="str">
        <f>IFERROR(__xludf.DUMMYFUNCTION("UNIQUE('Raw Data Sales'!H109:H1107 &amp; "" "" &amp; 'Raw Data Sales'!I109:I1107)"),"Corrine Hannabuss")</f>
        <v>Corrine Hannabuss</v>
      </c>
      <c r="B109" s="6" t="str">
        <f>IFERROR(__xludf.DUMMYFUNCTION("""COMPUTED_VALUE"""),"channabuss2z@soundcloud.com")</f>
        <v>channabuss2z@soundcloud.com</v>
      </c>
      <c r="C109" s="6" t="str">
        <f>IFERROR(__xludf.DUMMYFUNCTION("""COMPUTED_VALUE"""),"China")</f>
        <v>China</v>
      </c>
      <c r="D109" s="6">
        <f>COUNTIFS('Raw Data Sales'!H109:H1107, LEFT(A109, FIND(" ",A109)-1), 'Raw Data Sales'!I109:I1107, MID(A109, FIND(" ",A109)+1, 100))</f>
        <v>1</v>
      </c>
      <c r="E109" s="6">
        <f>SUMIFS('Raw Data Sales'!M109:M1107, 'Raw Data Sales'!H109:H1107, LEFT(A109, FIND(" ",A109)-1), 'Raw Data Sales'!I109:I1107, MID(A109, FIND(" ",A109)+1, 100))</f>
        <v>31</v>
      </c>
      <c r="F109" s="6">
        <f>SUMIFS('Raw Data Sales'!N109:N1107, 'Raw Data Sales'!H109:H1107, LEFT(A109, FIND(" ",A109)-1), 'Raw Data Sales'!I109:I1107, MID(A109, FIND(" ",A109)+1, 100))</f>
        <v>2551.47</v>
      </c>
    </row>
    <row r="110">
      <c r="A110" s="6" t="str">
        <f>IFERROR(__xludf.DUMMYFUNCTION("UNIQUE('Raw Data Sales'!H110:H1108 &amp; "" "" &amp; 'Raw Data Sales'!I110:I1108)"),"Corbie Coneybeer")</f>
        <v>Corbie Coneybeer</v>
      </c>
      <c r="B110" s="6" t="str">
        <f>IFERROR(__xludf.DUMMYFUNCTION("""COMPUTED_VALUE"""),"cconeybeer30@accuweather.com")</f>
        <v>cconeybeer30@accuweather.com</v>
      </c>
      <c r="C110" s="6" t="str">
        <f>IFERROR(__xludf.DUMMYFUNCTION("""COMPUTED_VALUE"""),"France")</f>
        <v>France</v>
      </c>
      <c r="D110" s="6">
        <f>COUNTIFS('Raw Data Sales'!H110:H1108, LEFT(A110, FIND(" ",A110)-1), 'Raw Data Sales'!I110:I1108, MID(A110, FIND(" ",A110)+1, 100))</f>
        <v>1</v>
      </c>
      <c r="E110" s="6">
        <f>SUMIFS('Raw Data Sales'!M110:M1108, 'Raw Data Sales'!H110:H1108, LEFT(A110, FIND(" ",A110)-1), 'Raw Data Sales'!I110:I1108, MID(A110, FIND(" ",A110)+1, 100))</f>
        <v>16</v>
      </c>
      <c r="F110" s="6">
        <f>SUMIFS('Raw Data Sales'!N110:N1108, 'Raw Data Sales'!H110:H1108, LEFT(A110, FIND(" ",A110)-1), 'Raw Data Sales'!I110:I1108, MID(A110, FIND(" ",A110)+1, 100))</f>
        <v>1773.76</v>
      </c>
    </row>
    <row r="111">
      <c r="A111" s="6" t="str">
        <f>IFERROR(__xludf.DUMMYFUNCTION("UNIQUE('Raw Data Sales'!H111:H1109 &amp; "" "" &amp; 'Raw Data Sales'!I111:I1109)"),"Tallulah Pleven")</f>
        <v>Tallulah Pleven</v>
      </c>
      <c r="B111" s="6" t="str">
        <f>IFERROR(__xludf.DUMMYFUNCTION("""COMPUTED_VALUE"""),"tpleven31@guardian.co.uk")</f>
        <v>tpleven31@guardian.co.uk</v>
      </c>
      <c r="C111" s="6" t="str">
        <f>IFERROR(__xludf.DUMMYFUNCTION("""COMPUTED_VALUE"""),"Portugal")</f>
        <v>Portugal</v>
      </c>
      <c r="D111" s="6">
        <f>COUNTIFS('Raw Data Sales'!H111:H1109, LEFT(A111, FIND(" ",A111)-1), 'Raw Data Sales'!I111:I1109, MID(A111, FIND(" ",A111)+1, 100))</f>
        <v>1</v>
      </c>
      <c r="E111" s="6">
        <f>SUMIFS('Raw Data Sales'!M111:M1109, 'Raw Data Sales'!H111:H1109, LEFT(A111, FIND(" ",A111)-1), 'Raw Data Sales'!I111:I1109, MID(A111, FIND(" ",A111)+1, 100))</f>
        <v>49</v>
      </c>
      <c r="F111" s="6">
        <f>SUMIFS('Raw Data Sales'!N111:N1109, 'Raw Data Sales'!H111:H1109, LEFT(A111, FIND(" ",A111)-1), 'Raw Data Sales'!I111:I1109, MID(A111, FIND(" ",A111)+1, 100))</f>
        <v>8805.15</v>
      </c>
    </row>
    <row r="112">
      <c r="A112" s="6" t="str">
        <f>IFERROR(__xludf.DUMMYFUNCTION("UNIQUE('Raw Data Sales'!H112:H1110 &amp; "" "" &amp; 'Raw Data Sales'!I112:I1110)"),"Rem Haddeston")</f>
        <v>Rem Haddeston</v>
      </c>
      <c r="B112" s="6" t="str">
        <f>IFERROR(__xludf.DUMMYFUNCTION("""COMPUTED_VALUE"""),"rhaddeston32@timesonline.co.uk")</f>
        <v>rhaddeston32@timesonline.co.uk</v>
      </c>
      <c r="C112" s="6" t="str">
        <f>IFERROR(__xludf.DUMMYFUNCTION("""COMPUTED_VALUE"""),"China")</f>
        <v>China</v>
      </c>
      <c r="D112" s="6">
        <f>COUNTIFS('Raw Data Sales'!H112:H1110, LEFT(A112, FIND(" ",A112)-1), 'Raw Data Sales'!I112:I1110, MID(A112, FIND(" ",A112)+1, 100))</f>
        <v>1</v>
      </c>
      <c r="E112" s="6">
        <f>SUMIFS('Raw Data Sales'!M112:M1110, 'Raw Data Sales'!H112:H1110, LEFT(A112, FIND(" ",A112)-1), 'Raw Data Sales'!I112:I1110, MID(A112, FIND(" ",A112)+1, 100))</f>
        <v>4</v>
      </c>
      <c r="F112" s="6">
        <f>SUMIFS('Raw Data Sales'!N112:N1110, 'Raw Data Sales'!H112:H1110, LEFT(A112, FIND(" ",A112)-1), 'Raw Data Sales'!I112:I1110, MID(A112, FIND(" ",A112)+1, 100))</f>
        <v>7616.39</v>
      </c>
    </row>
    <row r="113">
      <c r="A113" s="6" t="str">
        <f>IFERROR(__xludf.DUMMYFUNCTION("UNIQUE('Raw Data Sales'!H113:H1111 &amp; "" "" &amp; 'Raw Data Sales'!I113:I1111)"),"Estell Grahamslaw")</f>
        <v>Estell Grahamslaw</v>
      </c>
      <c r="B113" s="6" t="str">
        <f>IFERROR(__xludf.DUMMYFUNCTION("""COMPUTED_VALUE"""),"egrahamslaw33@time.com")</f>
        <v>egrahamslaw33@time.com</v>
      </c>
      <c r="C113" s="6" t="str">
        <f>IFERROR(__xludf.DUMMYFUNCTION("""COMPUTED_VALUE"""),"Japan")</f>
        <v>Japan</v>
      </c>
      <c r="D113" s="6">
        <f>COUNTIFS('Raw Data Sales'!H113:H1111, LEFT(A113, FIND(" ",A113)-1), 'Raw Data Sales'!I113:I1111, MID(A113, FIND(" ",A113)+1, 100))</f>
        <v>1</v>
      </c>
      <c r="E113" s="6">
        <f>SUMIFS('Raw Data Sales'!M113:M1111, 'Raw Data Sales'!H113:H1111, LEFT(A113, FIND(" ",A113)-1), 'Raw Data Sales'!I113:I1111, MID(A113, FIND(" ",A113)+1, 100))</f>
        <v>70</v>
      </c>
      <c r="F113" s="6">
        <f>SUMIFS('Raw Data Sales'!N113:N1111, 'Raw Data Sales'!H113:H1111, LEFT(A113, FIND(" ",A113)-1), 'Raw Data Sales'!I113:I1111, MID(A113, FIND(" ",A113)+1, 100))</f>
        <v>1627.12</v>
      </c>
    </row>
    <row r="114">
      <c r="A114" s="6" t="str">
        <f>IFERROR(__xludf.DUMMYFUNCTION("UNIQUE('Raw Data Sales'!H114:H1112 &amp; "" "" &amp; 'Raw Data Sales'!I114:I1112)"),"Jeane Readwin")</f>
        <v>Jeane Readwin</v>
      </c>
      <c r="B114" s="6" t="str">
        <f>IFERROR(__xludf.DUMMYFUNCTION("""COMPUTED_VALUE"""),"jreadwin34@cyberchimps.com")</f>
        <v>jreadwin34@cyberchimps.com</v>
      </c>
      <c r="C114" s="6" t="str">
        <f>IFERROR(__xludf.DUMMYFUNCTION("""COMPUTED_VALUE"""),"Indonesia")</f>
        <v>Indonesia</v>
      </c>
      <c r="D114" s="6">
        <f>COUNTIFS('Raw Data Sales'!H114:H1112, LEFT(A114, FIND(" ",A114)-1), 'Raw Data Sales'!I114:I1112, MID(A114, FIND(" ",A114)+1, 100))</f>
        <v>1</v>
      </c>
      <c r="E114" s="6">
        <f>SUMIFS('Raw Data Sales'!M114:M1112, 'Raw Data Sales'!H114:H1112, LEFT(A114, FIND(" ",A114)-1), 'Raw Data Sales'!I114:I1112, MID(A114, FIND(" ",A114)+1, 100))</f>
        <v>55</v>
      </c>
      <c r="F114" s="6">
        <f>SUMIFS('Raw Data Sales'!N114:N1112, 'Raw Data Sales'!H114:H1112, LEFT(A114, FIND(" ",A114)-1), 'Raw Data Sales'!I114:I1112, MID(A114, FIND(" ",A114)+1, 100))</f>
        <v>8391.19</v>
      </c>
    </row>
    <row r="115">
      <c r="A115" s="6" t="str">
        <f>IFERROR(__xludf.DUMMYFUNCTION("UNIQUE('Raw Data Sales'!H115:H1113 &amp; "" "" &amp; 'Raw Data Sales'!I115:I1113)"),"Creighton Henaughan")</f>
        <v>Creighton Henaughan</v>
      </c>
      <c r="B115" s="6" t="str">
        <f>IFERROR(__xludf.DUMMYFUNCTION("""COMPUTED_VALUE"""),"chenaughan35@soundcloud.com")</f>
        <v>chenaughan35@soundcloud.com</v>
      </c>
      <c r="C115" s="6" t="str">
        <f>IFERROR(__xludf.DUMMYFUNCTION("""COMPUTED_VALUE"""),"Costa Rica")</f>
        <v>Costa Rica</v>
      </c>
      <c r="D115" s="6">
        <f>COUNTIFS('Raw Data Sales'!H115:H1113, LEFT(A115, FIND(" ",A115)-1), 'Raw Data Sales'!I115:I1113, MID(A115, FIND(" ",A115)+1, 100))</f>
        <v>1</v>
      </c>
      <c r="E115" s="6">
        <f>SUMIFS('Raw Data Sales'!M115:M1113, 'Raw Data Sales'!H115:H1113, LEFT(A115, FIND(" ",A115)-1), 'Raw Data Sales'!I115:I1113, MID(A115, FIND(" ",A115)+1, 100))</f>
        <v>56</v>
      </c>
      <c r="F115" s="6">
        <f>SUMIFS('Raw Data Sales'!N115:N1113, 'Raw Data Sales'!H115:H1113, LEFT(A115, FIND(" ",A115)-1), 'Raw Data Sales'!I115:I1113, MID(A115, FIND(" ",A115)+1, 100))</f>
        <v>2165.81</v>
      </c>
    </row>
    <row r="116">
      <c r="A116" s="6" t="str">
        <f>IFERROR(__xludf.DUMMYFUNCTION("UNIQUE('Raw Data Sales'!H116:H1114 &amp; "" "" &amp; 'Raw Data Sales'!I116:I1114)"),"Silvie Collings")</f>
        <v>Silvie Collings</v>
      </c>
      <c r="B116" s="6" t="str">
        <f>IFERROR(__xludf.DUMMYFUNCTION("""COMPUTED_VALUE"""),"scollings36@answers.com")</f>
        <v>scollings36@answers.com</v>
      </c>
      <c r="C116" s="6" t="str">
        <f>IFERROR(__xludf.DUMMYFUNCTION("""COMPUTED_VALUE"""),"China")</f>
        <v>China</v>
      </c>
      <c r="D116" s="6">
        <f>COUNTIFS('Raw Data Sales'!H116:H1114, LEFT(A116, FIND(" ",A116)-1), 'Raw Data Sales'!I116:I1114, MID(A116, FIND(" ",A116)+1, 100))</f>
        <v>1</v>
      </c>
      <c r="E116" s="6">
        <f>SUMIFS('Raw Data Sales'!M116:M1114, 'Raw Data Sales'!H116:H1114, LEFT(A116, FIND(" ",A116)-1), 'Raw Data Sales'!I116:I1114, MID(A116, FIND(" ",A116)+1, 100))</f>
        <v>74</v>
      </c>
      <c r="F116" s="6">
        <f>SUMIFS('Raw Data Sales'!N116:N1114, 'Raw Data Sales'!H116:H1114, LEFT(A116, FIND(" ",A116)-1), 'Raw Data Sales'!I116:I1114, MID(A116, FIND(" ",A116)+1, 100))</f>
        <v>1834.67</v>
      </c>
    </row>
    <row r="117">
      <c r="A117" s="6" t="str">
        <f>IFERROR(__xludf.DUMMYFUNCTION("UNIQUE('Raw Data Sales'!H117:H1115 &amp; "" "" &amp; 'Raw Data Sales'!I117:I1115)"),"Andie Buer")</f>
        <v>Andie Buer</v>
      </c>
      <c r="B117" s="6" t="str">
        <f>IFERROR(__xludf.DUMMYFUNCTION("""COMPUTED_VALUE"""),"abuer37@state.tx.us")</f>
        <v>abuer37@state.tx.us</v>
      </c>
      <c r="C117" s="6" t="str">
        <f>IFERROR(__xludf.DUMMYFUNCTION("""COMPUTED_VALUE"""),"Brazil")</f>
        <v>Brazil</v>
      </c>
      <c r="D117" s="6">
        <f>COUNTIFS('Raw Data Sales'!H117:H1115, LEFT(A117, FIND(" ",A117)-1), 'Raw Data Sales'!I117:I1115, MID(A117, FIND(" ",A117)+1, 100))</f>
        <v>1</v>
      </c>
      <c r="E117" s="6">
        <f>SUMIFS('Raw Data Sales'!M117:M1115, 'Raw Data Sales'!H117:H1115, LEFT(A117, FIND(" ",A117)-1), 'Raw Data Sales'!I117:I1115, MID(A117, FIND(" ",A117)+1, 100))</f>
        <v>30</v>
      </c>
      <c r="F117" s="6">
        <f>SUMIFS('Raw Data Sales'!N117:N1115, 'Raw Data Sales'!H117:H1115, LEFT(A117, FIND(" ",A117)-1), 'Raw Data Sales'!I117:I1115, MID(A117, FIND(" ",A117)+1, 100))</f>
        <v>9344.32</v>
      </c>
    </row>
    <row r="118">
      <c r="A118" s="6" t="str">
        <f>IFERROR(__xludf.DUMMYFUNCTION("UNIQUE('Raw Data Sales'!H118:H1116 &amp; "" "" &amp; 'Raw Data Sales'!I118:I1116)"),"Cob De Simoni")</f>
        <v>Cob De Simoni</v>
      </c>
      <c r="B118" s="6" t="str">
        <f>IFERROR(__xludf.DUMMYFUNCTION("""COMPUTED_VALUE"""),"cdesimoni38@squidoo.com")</f>
        <v>cdesimoni38@squidoo.com</v>
      </c>
      <c r="C118" s="6" t="str">
        <f>IFERROR(__xludf.DUMMYFUNCTION("""COMPUTED_VALUE"""),"Indonesia")</f>
        <v>Indonesia</v>
      </c>
      <c r="D118" s="6">
        <f>COUNTIFS('Raw Data Sales'!H118:H1116, LEFT(A118, FIND(" ",A118)-1), 'Raw Data Sales'!I118:I1116, MID(A118, FIND(" ",A118)+1, 100))</f>
        <v>1</v>
      </c>
      <c r="E118" s="6">
        <f>SUMIFS('Raw Data Sales'!M118:M1116, 'Raw Data Sales'!H118:H1116, LEFT(A118, FIND(" ",A118)-1), 'Raw Data Sales'!I118:I1116, MID(A118, FIND(" ",A118)+1, 100))</f>
        <v>21</v>
      </c>
      <c r="F118" s="6">
        <f>SUMIFS('Raw Data Sales'!N118:N1116, 'Raw Data Sales'!H118:H1116, LEFT(A118, FIND(" ",A118)-1), 'Raw Data Sales'!I118:I1116, MID(A118, FIND(" ",A118)+1, 100))</f>
        <v>7384.52</v>
      </c>
    </row>
    <row r="119">
      <c r="A119" s="6" t="str">
        <f>IFERROR(__xludf.DUMMYFUNCTION("UNIQUE('Raw Data Sales'!H119:H1117 &amp; "" "" &amp; 'Raw Data Sales'!I119:I1117)"),"Jeanne Locksley")</f>
        <v>Jeanne Locksley</v>
      </c>
      <c r="B119" s="6" t="str">
        <f>IFERROR(__xludf.DUMMYFUNCTION("""COMPUTED_VALUE"""),"jlocksley39@amazonaws.com")</f>
        <v>jlocksley39@amazonaws.com</v>
      </c>
      <c r="C119" s="6" t="str">
        <f>IFERROR(__xludf.DUMMYFUNCTION("""COMPUTED_VALUE"""),"Indonesia")</f>
        <v>Indonesia</v>
      </c>
      <c r="D119" s="6">
        <f>COUNTIFS('Raw Data Sales'!H119:H1117, LEFT(A119, FIND(" ",A119)-1), 'Raw Data Sales'!I119:I1117, MID(A119, FIND(" ",A119)+1, 100))</f>
        <v>1</v>
      </c>
      <c r="E119" s="6">
        <f>SUMIFS('Raw Data Sales'!M119:M1117, 'Raw Data Sales'!H119:H1117, LEFT(A119, FIND(" ",A119)-1), 'Raw Data Sales'!I119:I1117, MID(A119, FIND(" ",A119)+1, 100))</f>
        <v>41</v>
      </c>
      <c r="F119" s="6">
        <f>SUMIFS('Raw Data Sales'!N119:N1117, 'Raw Data Sales'!H119:H1117, LEFT(A119, FIND(" ",A119)-1), 'Raw Data Sales'!I119:I1117, MID(A119, FIND(" ",A119)+1, 100))</f>
        <v>2734.99</v>
      </c>
    </row>
    <row r="120">
      <c r="A120" s="6" t="str">
        <f>IFERROR(__xludf.DUMMYFUNCTION("UNIQUE('Raw Data Sales'!H120:H1118 &amp; "" "" &amp; 'Raw Data Sales'!I120:I1118)"),"Evy Crosi")</f>
        <v>Evy Crosi</v>
      </c>
      <c r="B120" s="6" t="str">
        <f>IFERROR(__xludf.DUMMYFUNCTION("""COMPUTED_VALUE"""),"ecrosi3a@simplemachines.org")</f>
        <v>ecrosi3a@simplemachines.org</v>
      </c>
      <c r="C120" s="6" t="str">
        <f>IFERROR(__xludf.DUMMYFUNCTION("""COMPUTED_VALUE"""),"Russia")</f>
        <v>Russia</v>
      </c>
      <c r="D120" s="6">
        <f>COUNTIFS('Raw Data Sales'!H120:H1118, LEFT(A120, FIND(" ",A120)-1), 'Raw Data Sales'!I120:I1118, MID(A120, FIND(" ",A120)+1, 100))</f>
        <v>1</v>
      </c>
      <c r="E120" s="6">
        <f>SUMIFS('Raw Data Sales'!M120:M1118, 'Raw Data Sales'!H120:H1118, LEFT(A120, FIND(" ",A120)-1), 'Raw Data Sales'!I120:I1118, MID(A120, FIND(" ",A120)+1, 100))</f>
        <v>71</v>
      </c>
      <c r="F120" s="6">
        <f>SUMIFS('Raw Data Sales'!N120:N1118, 'Raw Data Sales'!H120:H1118, LEFT(A120, FIND(" ",A120)-1), 'Raw Data Sales'!I120:I1118, MID(A120, FIND(" ",A120)+1, 100))</f>
        <v>747.99</v>
      </c>
    </row>
    <row r="121">
      <c r="A121" s="6" t="str">
        <f>IFERROR(__xludf.DUMMYFUNCTION("UNIQUE('Raw Data Sales'!H121:H1119 &amp; "" "" &amp; 'Raw Data Sales'!I121:I1119)"),"Sherman Chaves")</f>
        <v>Sherman Chaves</v>
      </c>
      <c r="B121" s="6" t="str">
        <f>IFERROR(__xludf.DUMMYFUNCTION("""COMPUTED_VALUE"""),"schaves3b@theguardian.com")</f>
        <v>schaves3b@theguardian.com</v>
      </c>
      <c r="C121" s="6" t="str">
        <f>IFERROR(__xludf.DUMMYFUNCTION("""COMPUTED_VALUE"""),"Russia")</f>
        <v>Russia</v>
      </c>
      <c r="D121" s="6">
        <f>COUNTIFS('Raw Data Sales'!H121:H1119, LEFT(A121, FIND(" ",A121)-1), 'Raw Data Sales'!I121:I1119, MID(A121, FIND(" ",A121)+1, 100))</f>
        <v>1</v>
      </c>
      <c r="E121" s="6">
        <f>SUMIFS('Raw Data Sales'!M121:M1119, 'Raw Data Sales'!H121:H1119, LEFT(A121, FIND(" ",A121)-1), 'Raw Data Sales'!I121:I1119, MID(A121, FIND(" ",A121)+1, 100))</f>
        <v>77</v>
      </c>
      <c r="F121" s="6">
        <f>SUMIFS('Raw Data Sales'!N121:N1119, 'Raw Data Sales'!H121:H1119, LEFT(A121, FIND(" ",A121)-1), 'Raw Data Sales'!I121:I1119, MID(A121, FIND(" ",A121)+1, 100))</f>
        <v>5048.35</v>
      </c>
    </row>
    <row r="122">
      <c r="A122" s="6" t="str">
        <f>IFERROR(__xludf.DUMMYFUNCTION("UNIQUE('Raw Data Sales'!H122:H1120 &amp; "" "" &amp; 'Raw Data Sales'!I122:I1120)"),"Johannes Gadault")</f>
        <v>Johannes Gadault</v>
      </c>
      <c r="B122" s="6" t="str">
        <f>IFERROR(__xludf.DUMMYFUNCTION("""COMPUTED_VALUE"""),"jgadault3c@nationalgeographic.com")</f>
        <v>jgadault3c@nationalgeographic.com</v>
      </c>
      <c r="C122" s="6" t="str">
        <f>IFERROR(__xludf.DUMMYFUNCTION("""COMPUTED_VALUE"""),"Russia")</f>
        <v>Russia</v>
      </c>
      <c r="D122" s="6">
        <f>COUNTIFS('Raw Data Sales'!H122:H1120, LEFT(A122, FIND(" ",A122)-1), 'Raw Data Sales'!I122:I1120, MID(A122, FIND(" ",A122)+1, 100))</f>
        <v>1</v>
      </c>
      <c r="E122" s="6">
        <f>SUMIFS('Raw Data Sales'!M122:M1120, 'Raw Data Sales'!H122:H1120, LEFT(A122, FIND(" ",A122)-1), 'Raw Data Sales'!I122:I1120, MID(A122, FIND(" ",A122)+1, 100))</f>
        <v>53</v>
      </c>
      <c r="F122" s="6">
        <f>SUMIFS('Raw Data Sales'!N122:N1120, 'Raw Data Sales'!H122:H1120, LEFT(A122, FIND(" ",A122)-1), 'Raw Data Sales'!I122:I1120, MID(A122, FIND(" ",A122)+1, 100))</f>
        <v>2042.29</v>
      </c>
    </row>
    <row r="123">
      <c r="A123" s="6" t="str">
        <f>IFERROR(__xludf.DUMMYFUNCTION("UNIQUE('Raw Data Sales'!H123:H1121 &amp; "" "" &amp; 'Raw Data Sales'!I123:I1121)"),"Tadeas Kings")</f>
        <v>Tadeas Kings</v>
      </c>
      <c r="B123" s="6" t="str">
        <f>IFERROR(__xludf.DUMMYFUNCTION("""COMPUTED_VALUE"""),"tkings3d@bbc.co.uk")</f>
        <v>tkings3d@bbc.co.uk</v>
      </c>
      <c r="C123" s="6" t="str">
        <f>IFERROR(__xludf.DUMMYFUNCTION("""COMPUTED_VALUE"""),"Philippines")</f>
        <v>Philippines</v>
      </c>
      <c r="D123" s="6">
        <f>COUNTIFS('Raw Data Sales'!H123:H1121, LEFT(A123, FIND(" ",A123)-1), 'Raw Data Sales'!I123:I1121, MID(A123, FIND(" ",A123)+1, 100))</f>
        <v>1</v>
      </c>
      <c r="E123" s="6">
        <f>SUMIFS('Raw Data Sales'!M123:M1121, 'Raw Data Sales'!H123:H1121, LEFT(A123, FIND(" ",A123)-1), 'Raw Data Sales'!I123:I1121, MID(A123, FIND(" ",A123)+1, 100))</f>
        <v>22</v>
      </c>
      <c r="F123" s="6">
        <f>SUMIFS('Raw Data Sales'!N123:N1121, 'Raw Data Sales'!H123:H1121, LEFT(A123, FIND(" ",A123)-1), 'Raw Data Sales'!I123:I1121, MID(A123, FIND(" ",A123)+1, 100))</f>
        <v>4820.45</v>
      </c>
    </row>
    <row r="124">
      <c r="A124" s="6" t="str">
        <f>IFERROR(__xludf.DUMMYFUNCTION("UNIQUE('Raw Data Sales'!H124:H1122 &amp; "" "" &amp; 'Raw Data Sales'!I124:I1122)"),"Araldo Curling")</f>
        <v>Araldo Curling</v>
      </c>
      <c r="B124" s="6" t="str">
        <f>IFERROR(__xludf.DUMMYFUNCTION("""COMPUTED_VALUE"""),"acurling3e@liveinternet.ru")</f>
        <v>acurling3e@liveinternet.ru</v>
      </c>
      <c r="C124" s="6" t="str">
        <f>IFERROR(__xludf.DUMMYFUNCTION("""COMPUTED_VALUE"""),"Russia")</f>
        <v>Russia</v>
      </c>
      <c r="D124" s="6">
        <f>COUNTIFS('Raw Data Sales'!H124:H1122, LEFT(A124, FIND(" ",A124)-1), 'Raw Data Sales'!I124:I1122, MID(A124, FIND(" ",A124)+1, 100))</f>
        <v>1</v>
      </c>
      <c r="E124" s="6">
        <f>SUMIFS('Raw Data Sales'!M124:M1122, 'Raw Data Sales'!H124:H1122, LEFT(A124, FIND(" ",A124)-1), 'Raw Data Sales'!I124:I1122, MID(A124, FIND(" ",A124)+1, 100))</f>
        <v>57</v>
      </c>
      <c r="F124" s="6">
        <f>SUMIFS('Raw Data Sales'!N124:N1122, 'Raw Data Sales'!H124:H1122, LEFT(A124, FIND(" ",A124)-1), 'Raw Data Sales'!I124:I1122, MID(A124, FIND(" ",A124)+1, 100))</f>
        <v>7733.31</v>
      </c>
    </row>
    <row r="125">
      <c r="A125" s="6" t="str">
        <f>IFERROR(__xludf.DUMMYFUNCTION("UNIQUE('Raw Data Sales'!H125:H1123 &amp; "" "" &amp; 'Raw Data Sales'!I125:I1123)"),"Grace Laroze")</f>
        <v>Grace Laroze</v>
      </c>
      <c r="B125" s="6" t="str">
        <f>IFERROR(__xludf.DUMMYFUNCTION("""COMPUTED_VALUE"""),"glaroze3f@utexas.edu")</f>
        <v>glaroze3f@utexas.edu</v>
      </c>
      <c r="C125" s="6" t="str">
        <f>IFERROR(__xludf.DUMMYFUNCTION("""COMPUTED_VALUE"""),"Mexico")</f>
        <v>Mexico</v>
      </c>
      <c r="D125" s="6">
        <f>COUNTIFS('Raw Data Sales'!H125:H1123, LEFT(A125, FIND(" ",A125)-1), 'Raw Data Sales'!I125:I1123, MID(A125, FIND(" ",A125)+1, 100))</f>
        <v>1</v>
      </c>
      <c r="E125" s="6">
        <f>SUMIFS('Raw Data Sales'!M125:M1123, 'Raw Data Sales'!H125:H1123, LEFT(A125, FIND(" ",A125)-1), 'Raw Data Sales'!I125:I1123, MID(A125, FIND(" ",A125)+1, 100))</f>
        <v>58</v>
      </c>
      <c r="F125" s="6">
        <f>SUMIFS('Raw Data Sales'!N125:N1123, 'Raw Data Sales'!H125:H1123, LEFT(A125, FIND(" ",A125)-1), 'Raw Data Sales'!I125:I1123, MID(A125, FIND(" ",A125)+1, 100))</f>
        <v>825.82</v>
      </c>
    </row>
    <row r="126">
      <c r="A126" s="6" t="str">
        <f>IFERROR(__xludf.DUMMYFUNCTION("UNIQUE('Raw Data Sales'!H126:H1124 &amp; "" "" &amp; 'Raw Data Sales'!I126:I1124)"),"Juana Milella")</f>
        <v>Juana Milella</v>
      </c>
      <c r="B126" s="6" t="str">
        <f>IFERROR(__xludf.DUMMYFUNCTION("""COMPUTED_VALUE"""),"jmilella3g@cyberchimps.com")</f>
        <v>jmilella3g@cyberchimps.com</v>
      </c>
      <c r="C126" s="6" t="str">
        <f>IFERROR(__xludf.DUMMYFUNCTION("""COMPUTED_VALUE"""),"Poland")</f>
        <v>Poland</v>
      </c>
      <c r="D126" s="6">
        <f>COUNTIFS('Raw Data Sales'!H126:H1124, LEFT(A126, FIND(" ",A126)-1), 'Raw Data Sales'!I126:I1124, MID(A126, FIND(" ",A126)+1, 100))</f>
        <v>1</v>
      </c>
      <c r="E126" s="6">
        <f>SUMIFS('Raw Data Sales'!M126:M1124, 'Raw Data Sales'!H126:H1124, LEFT(A126, FIND(" ",A126)-1), 'Raw Data Sales'!I126:I1124, MID(A126, FIND(" ",A126)+1, 100))</f>
        <v>56</v>
      </c>
      <c r="F126" s="6">
        <f>SUMIFS('Raw Data Sales'!N126:N1124, 'Raw Data Sales'!H126:H1124, LEFT(A126, FIND(" ",A126)-1), 'Raw Data Sales'!I126:I1124, MID(A126, FIND(" ",A126)+1, 100))</f>
        <v>4118.69</v>
      </c>
    </row>
    <row r="127">
      <c r="A127" s="6" t="str">
        <f>IFERROR(__xludf.DUMMYFUNCTION("UNIQUE('Raw Data Sales'!H127:H1125 &amp; "" "" &amp; 'Raw Data Sales'!I127:I1125)"),"Boy Hoggetts")</f>
        <v>Boy Hoggetts</v>
      </c>
      <c r="B127" s="6" t="str">
        <f>IFERROR(__xludf.DUMMYFUNCTION("""COMPUTED_VALUE"""),"bhoggetts3h@youku.com")</f>
        <v>bhoggetts3h@youku.com</v>
      </c>
      <c r="C127" s="6" t="str">
        <f>IFERROR(__xludf.DUMMYFUNCTION("""COMPUTED_VALUE"""),"Chad")</f>
        <v>Chad</v>
      </c>
      <c r="D127" s="6">
        <f>COUNTIFS('Raw Data Sales'!H127:H1125, LEFT(A127, FIND(" ",A127)-1), 'Raw Data Sales'!I127:I1125, MID(A127, FIND(" ",A127)+1, 100))</f>
        <v>1</v>
      </c>
      <c r="E127" s="6">
        <f>SUMIFS('Raw Data Sales'!M127:M1125, 'Raw Data Sales'!H127:H1125, LEFT(A127, FIND(" ",A127)-1), 'Raw Data Sales'!I127:I1125, MID(A127, FIND(" ",A127)+1, 100))</f>
        <v>35</v>
      </c>
      <c r="F127" s="6">
        <f>SUMIFS('Raw Data Sales'!N127:N1125, 'Raw Data Sales'!H127:H1125, LEFT(A127, FIND(" ",A127)-1), 'Raw Data Sales'!I127:I1125, MID(A127, FIND(" ",A127)+1, 100))</f>
        <v>6114.46</v>
      </c>
    </row>
    <row r="128">
      <c r="A128" s="6" t="str">
        <f>IFERROR(__xludf.DUMMYFUNCTION("UNIQUE('Raw Data Sales'!H128:H1126 &amp; "" "" &amp; 'Raw Data Sales'!I128:I1126)"),"Huntley Northridge")</f>
        <v>Huntley Northridge</v>
      </c>
      <c r="B128" s="6" t="str">
        <f>IFERROR(__xludf.DUMMYFUNCTION("""COMPUTED_VALUE"""),"hnorthridge3i@yellowpages.com")</f>
        <v>hnorthridge3i@yellowpages.com</v>
      </c>
      <c r="C128" s="6" t="str">
        <f>IFERROR(__xludf.DUMMYFUNCTION("""COMPUTED_VALUE"""),"Peru")</f>
        <v>Peru</v>
      </c>
      <c r="D128" s="6">
        <f>COUNTIFS('Raw Data Sales'!H128:H1126, LEFT(A128, FIND(" ",A128)-1), 'Raw Data Sales'!I128:I1126, MID(A128, FIND(" ",A128)+1, 100))</f>
        <v>1</v>
      </c>
      <c r="E128" s="6">
        <f>SUMIFS('Raw Data Sales'!M128:M1126, 'Raw Data Sales'!H128:H1126, LEFT(A128, FIND(" ",A128)-1), 'Raw Data Sales'!I128:I1126, MID(A128, FIND(" ",A128)+1, 100))</f>
        <v>51</v>
      </c>
      <c r="F128" s="6">
        <f>SUMIFS('Raw Data Sales'!N128:N1126, 'Raw Data Sales'!H128:H1126, LEFT(A128, FIND(" ",A128)-1), 'Raw Data Sales'!I128:I1126, MID(A128, FIND(" ",A128)+1, 100))</f>
        <v>4329.48</v>
      </c>
    </row>
    <row r="129">
      <c r="A129" s="6" t="str">
        <f>IFERROR(__xludf.DUMMYFUNCTION("UNIQUE('Raw Data Sales'!H129:H1127 &amp; "" "" &amp; 'Raw Data Sales'!I129:I1127)"),"Gibb Thorsen")</f>
        <v>Gibb Thorsen</v>
      </c>
      <c r="B129" s="6" t="str">
        <f>IFERROR(__xludf.DUMMYFUNCTION("""COMPUTED_VALUE"""),"gthorsen3j@java.com")</f>
        <v>gthorsen3j@java.com</v>
      </c>
      <c r="C129" s="6" t="str">
        <f>IFERROR(__xludf.DUMMYFUNCTION("""COMPUTED_VALUE"""),"China")</f>
        <v>China</v>
      </c>
      <c r="D129" s="6">
        <f>COUNTIFS('Raw Data Sales'!H129:H1127, LEFT(A129, FIND(" ",A129)-1), 'Raw Data Sales'!I129:I1127, MID(A129, FIND(" ",A129)+1, 100))</f>
        <v>1</v>
      </c>
      <c r="E129" s="6">
        <f>SUMIFS('Raw Data Sales'!M129:M1127, 'Raw Data Sales'!H129:H1127, LEFT(A129, FIND(" ",A129)-1), 'Raw Data Sales'!I129:I1127, MID(A129, FIND(" ",A129)+1, 100))</f>
        <v>69</v>
      </c>
      <c r="F129" s="6">
        <f>SUMIFS('Raw Data Sales'!N129:N1127, 'Raw Data Sales'!H129:H1127, LEFT(A129, FIND(" ",A129)-1), 'Raw Data Sales'!I129:I1127, MID(A129, FIND(" ",A129)+1, 100))</f>
        <v>3511.71</v>
      </c>
    </row>
    <row r="130">
      <c r="A130" s="6" t="str">
        <f>IFERROR(__xludf.DUMMYFUNCTION("UNIQUE('Raw Data Sales'!H130:H1128 &amp; "" "" &amp; 'Raw Data Sales'!I130:I1128)"),"Jermaine Rannigan")</f>
        <v>Jermaine Rannigan</v>
      </c>
      <c r="B130" s="6" t="str">
        <f>IFERROR(__xludf.DUMMYFUNCTION("""COMPUTED_VALUE"""),"jrannigan3k@dailymail.co.uk")</f>
        <v>jrannigan3k@dailymail.co.uk</v>
      </c>
      <c r="C130" s="6" t="str">
        <f>IFERROR(__xludf.DUMMYFUNCTION("""COMPUTED_VALUE"""),"China")</f>
        <v>China</v>
      </c>
      <c r="D130" s="6">
        <f>COUNTIFS('Raw Data Sales'!H130:H1128, LEFT(A130, FIND(" ",A130)-1), 'Raw Data Sales'!I130:I1128, MID(A130, FIND(" ",A130)+1, 100))</f>
        <v>1</v>
      </c>
      <c r="E130" s="6">
        <f>SUMIFS('Raw Data Sales'!M130:M1128, 'Raw Data Sales'!H130:H1128, LEFT(A130, FIND(" ",A130)-1), 'Raw Data Sales'!I130:I1128, MID(A130, FIND(" ",A130)+1, 100))</f>
        <v>82</v>
      </c>
      <c r="F130" s="6">
        <f>SUMIFS('Raw Data Sales'!N130:N1128, 'Raw Data Sales'!H130:H1128, LEFT(A130, FIND(" ",A130)-1), 'Raw Data Sales'!I130:I1128, MID(A130, FIND(" ",A130)+1, 100))</f>
        <v>4827.14</v>
      </c>
    </row>
    <row r="131">
      <c r="A131" s="6" t="str">
        <f>IFERROR(__xludf.DUMMYFUNCTION("UNIQUE('Raw Data Sales'!H131:H1129 &amp; "" "" &amp; 'Raw Data Sales'!I131:I1129)"),"Robyn Breeds")</f>
        <v>Robyn Breeds</v>
      </c>
      <c r="B131" s="6" t="str">
        <f>IFERROR(__xludf.DUMMYFUNCTION("""COMPUTED_VALUE"""),"rbreeds3l@guardian.co.uk")</f>
        <v>rbreeds3l@guardian.co.uk</v>
      </c>
      <c r="C131" s="6" t="str">
        <f>IFERROR(__xludf.DUMMYFUNCTION("""COMPUTED_VALUE"""),"Russia")</f>
        <v>Russia</v>
      </c>
      <c r="D131" s="6">
        <f>COUNTIFS('Raw Data Sales'!H131:H1129, LEFT(A131, FIND(" ",A131)-1), 'Raw Data Sales'!I131:I1129, MID(A131, FIND(" ",A131)+1, 100))</f>
        <v>1</v>
      </c>
      <c r="E131" s="6">
        <f>SUMIFS('Raw Data Sales'!M131:M1129, 'Raw Data Sales'!H131:H1129, LEFT(A131, FIND(" ",A131)-1), 'Raw Data Sales'!I131:I1129, MID(A131, FIND(" ",A131)+1, 100))</f>
        <v>85</v>
      </c>
      <c r="F131" s="6">
        <f>SUMIFS('Raw Data Sales'!N131:N1129, 'Raw Data Sales'!H131:H1129, LEFT(A131, FIND(" ",A131)-1), 'Raw Data Sales'!I131:I1129, MID(A131, FIND(" ",A131)+1, 100))</f>
        <v>1376.12</v>
      </c>
    </row>
    <row r="132">
      <c r="A132" s="6" t="str">
        <f>IFERROR(__xludf.DUMMYFUNCTION("UNIQUE('Raw Data Sales'!H132:H1130 &amp; "" "" &amp; 'Raw Data Sales'!I132:I1130)"),"Marquita Hayler")</f>
        <v>Marquita Hayler</v>
      </c>
      <c r="B132" s="6" t="str">
        <f>IFERROR(__xludf.DUMMYFUNCTION("""COMPUTED_VALUE"""),"mhayler3m@si.edu")</f>
        <v>mhayler3m@si.edu</v>
      </c>
      <c r="C132" s="6" t="str">
        <f>IFERROR(__xludf.DUMMYFUNCTION("""COMPUTED_VALUE"""),"Greece")</f>
        <v>Greece</v>
      </c>
      <c r="D132" s="6">
        <f>COUNTIFS('Raw Data Sales'!H132:H1130, LEFT(A132, FIND(" ",A132)-1), 'Raw Data Sales'!I132:I1130, MID(A132, FIND(" ",A132)+1, 100))</f>
        <v>1</v>
      </c>
      <c r="E132" s="6">
        <f>SUMIFS('Raw Data Sales'!M132:M1130, 'Raw Data Sales'!H132:H1130, LEFT(A132, FIND(" ",A132)-1), 'Raw Data Sales'!I132:I1130, MID(A132, FIND(" ",A132)+1, 100))</f>
        <v>81</v>
      </c>
      <c r="F132" s="6">
        <f>SUMIFS('Raw Data Sales'!N132:N1130, 'Raw Data Sales'!H132:H1130, LEFT(A132, FIND(" ",A132)-1), 'Raw Data Sales'!I132:I1130, MID(A132, FIND(" ",A132)+1, 100))</f>
        <v>8744.84</v>
      </c>
    </row>
    <row r="133">
      <c r="A133" s="6" t="str">
        <f>IFERROR(__xludf.DUMMYFUNCTION("UNIQUE('Raw Data Sales'!H133:H1131 &amp; "" "" &amp; 'Raw Data Sales'!I133:I1131)"),"Joann Loseby")</f>
        <v>Joann Loseby</v>
      </c>
      <c r="B133" s="6" t="str">
        <f>IFERROR(__xludf.DUMMYFUNCTION("""COMPUTED_VALUE"""),"jloseby3n@51.la")</f>
        <v>jloseby3n@51.la</v>
      </c>
      <c r="C133" s="6" t="str">
        <f>IFERROR(__xludf.DUMMYFUNCTION("""COMPUTED_VALUE"""),"Mexico")</f>
        <v>Mexico</v>
      </c>
      <c r="D133" s="6">
        <f>COUNTIFS('Raw Data Sales'!H133:H1131, LEFT(A133, FIND(" ",A133)-1), 'Raw Data Sales'!I133:I1131, MID(A133, FIND(" ",A133)+1, 100))</f>
        <v>1</v>
      </c>
      <c r="E133" s="6">
        <f>SUMIFS('Raw Data Sales'!M133:M1131, 'Raw Data Sales'!H133:H1131, LEFT(A133, FIND(" ",A133)-1), 'Raw Data Sales'!I133:I1131, MID(A133, FIND(" ",A133)+1, 100))</f>
        <v>55</v>
      </c>
      <c r="F133" s="6">
        <f>SUMIFS('Raw Data Sales'!N133:N1131, 'Raw Data Sales'!H133:H1131, LEFT(A133, FIND(" ",A133)-1), 'Raw Data Sales'!I133:I1131, MID(A133, FIND(" ",A133)+1, 100))</f>
        <v>9155.09</v>
      </c>
    </row>
    <row r="134">
      <c r="A134" s="6" t="str">
        <f>IFERROR(__xludf.DUMMYFUNCTION("UNIQUE('Raw Data Sales'!H134:H1132 &amp; "" "" &amp; 'Raw Data Sales'!I134:I1132)"),"Cecilius Pettwood")</f>
        <v>Cecilius Pettwood</v>
      </c>
      <c r="B134" s="6" t="str">
        <f>IFERROR(__xludf.DUMMYFUNCTION("""COMPUTED_VALUE"""),"cpettwood3o@sakura.ne.jp")</f>
        <v>cpettwood3o@sakura.ne.jp</v>
      </c>
      <c r="C134" s="6" t="str">
        <f>IFERROR(__xludf.DUMMYFUNCTION("""COMPUTED_VALUE"""),"Armenia")</f>
        <v>Armenia</v>
      </c>
      <c r="D134" s="6">
        <f>COUNTIFS('Raw Data Sales'!H134:H1132, LEFT(A134, FIND(" ",A134)-1), 'Raw Data Sales'!I134:I1132, MID(A134, FIND(" ",A134)+1, 100))</f>
        <v>1</v>
      </c>
      <c r="E134" s="6">
        <f>SUMIFS('Raw Data Sales'!M134:M1132, 'Raw Data Sales'!H134:H1132, LEFT(A134, FIND(" ",A134)-1), 'Raw Data Sales'!I134:I1132, MID(A134, FIND(" ",A134)+1, 100))</f>
        <v>39</v>
      </c>
      <c r="F134" s="6">
        <f>SUMIFS('Raw Data Sales'!N134:N1132, 'Raw Data Sales'!H134:H1132, LEFT(A134, FIND(" ",A134)-1), 'Raw Data Sales'!I134:I1132, MID(A134, FIND(" ",A134)+1, 100))</f>
        <v>1238.15</v>
      </c>
    </row>
    <row r="135">
      <c r="A135" s="6" t="str">
        <f>IFERROR(__xludf.DUMMYFUNCTION("UNIQUE('Raw Data Sales'!H135:H1133 &amp; "" "" &amp; 'Raw Data Sales'!I135:I1133)"),"Judith Sante")</f>
        <v>Judith Sante</v>
      </c>
      <c r="B135" s="6" t="str">
        <f>IFERROR(__xludf.DUMMYFUNCTION("""COMPUTED_VALUE"""),"jsante3p@webnode.com")</f>
        <v>jsante3p@webnode.com</v>
      </c>
      <c r="C135" s="6" t="str">
        <f>IFERROR(__xludf.DUMMYFUNCTION("""COMPUTED_VALUE"""),"Thailand")</f>
        <v>Thailand</v>
      </c>
      <c r="D135" s="6">
        <f>COUNTIFS('Raw Data Sales'!H135:H1133, LEFT(A135, FIND(" ",A135)-1), 'Raw Data Sales'!I135:I1133, MID(A135, FIND(" ",A135)+1, 100))</f>
        <v>1</v>
      </c>
      <c r="E135" s="6">
        <f>SUMIFS('Raw Data Sales'!M135:M1133, 'Raw Data Sales'!H135:H1133, LEFT(A135, FIND(" ",A135)-1), 'Raw Data Sales'!I135:I1133, MID(A135, FIND(" ",A135)+1, 100))</f>
        <v>4</v>
      </c>
      <c r="F135" s="6">
        <f>SUMIFS('Raw Data Sales'!N135:N1133, 'Raw Data Sales'!H135:H1133, LEFT(A135, FIND(" ",A135)-1), 'Raw Data Sales'!I135:I1133, MID(A135, FIND(" ",A135)+1, 100))</f>
        <v>121.86</v>
      </c>
    </row>
    <row r="136">
      <c r="A136" s="6" t="str">
        <f>IFERROR(__xludf.DUMMYFUNCTION("UNIQUE('Raw Data Sales'!H136:H1134 &amp; "" "" &amp; 'Raw Data Sales'!I136:I1134)"),"Hasheem M'Chirrie")</f>
        <v>Hasheem M'Chirrie</v>
      </c>
      <c r="B136" s="6" t="str">
        <f>IFERROR(__xludf.DUMMYFUNCTION("""COMPUTED_VALUE"""),"hmchirrie3q@earthlink.net")</f>
        <v>hmchirrie3q@earthlink.net</v>
      </c>
      <c r="C136" s="6" t="str">
        <f>IFERROR(__xludf.DUMMYFUNCTION("""COMPUTED_VALUE"""),"China")</f>
        <v>China</v>
      </c>
      <c r="D136" s="6">
        <f>COUNTIFS('Raw Data Sales'!H136:H1134, LEFT(A136, FIND(" ",A136)-1), 'Raw Data Sales'!I136:I1134, MID(A136, FIND(" ",A136)+1, 100))</f>
        <v>1</v>
      </c>
      <c r="E136" s="6">
        <f>SUMIFS('Raw Data Sales'!M136:M1134, 'Raw Data Sales'!H136:H1134, LEFT(A136, FIND(" ",A136)-1), 'Raw Data Sales'!I136:I1134, MID(A136, FIND(" ",A136)+1, 100))</f>
        <v>38</v>
      </c>
      <c r="F136" s="6">
        <f>SUMIFS('Raw Data Sales'!N136:N1134, 'Raw Data Sales'!H136:H1134, LEFT(A136, FIND(" ",A136)-1), 'Raw Data Sales'!I136:I1134, MID(A136, FIND(" ",A136)+1, 100))</f>
        <v>678.35</v>
      </c>
    </row>
    <row r="137">
      <c r="A137" s="6" t="str">
        <f>IFERROR(__xludf.DUMMYFUNCTION("UNIQUE('Raw Data Sales'!H137:H1135 &amp; "" "" &amp; 'Raw Data Sales'!I137:I1135)"),"Audy De Michele")</f>
        <v>Audy De Michele</v>
      </c>
      <c r="B137" s="6" t="str">
        <f>IFERROR(__xludf.DUMMYFUNCTION("""COMPUTED_VALUE"""),"ademichele3r@hubpages.com")</f>
        <v>ademichele3r@hubpages.com</v>
      </c>
      <c r="C137" s="6" t="str">
        <f>IFERROR(__xludf.DUMMYFUNCTION("""COMPUTED_VALUE"""),"China")</f>
        <v>China</v>
      </c>
      <c r="D137" s="6">
        <f>COUNTIFS('Raw Data Sales'!H137:H1135, LEFT(A137, FIND(" ",A137)-1), 'Raw Data Sales'!I137:I1135, MID(A137, FIND(" ",A137)+1, 100))</f>
        <v>1</v>
      </c>
      <c r="E137" s="6">
        <f>SUMIFS('Raw Data Sales'!M137:M1135, 'Raw Data Sales'!H137:H1135, LEFT(A137, FIND(" ",A137)-1), 'Raw Data Sales'!I137:I1135, MID(A137, FIND(" ",A137)+1, 100))</f>
        <v>40</v>
      </c>
      <c r="F137" s="6">
        <f>SUMIFS('Raw Data Sales'!N137:N1135, 'Raw Data Sales'!H137:H1135, LEFT(A137, FIND(" ",A137)-1), 'Raw Data Sales'!I137:I1135, MID(A137, FIND(" ",A137)+1, 100))</f>
        <v>1789.26</v>
      </c>
    </row>
    <row r="138">
      <c r="A138" s="6" t="str">
        <f>IFERROR(__xludf.DUMMYFUNCTION("UNIQUE('Raw Data Sales'!H138:H1136 &amp; "" "" &amp; 'Raw Data Sales'!I138:I1136)"),"Susanna Brimner")</f>
        <v>Susanna Brimner</v>
      </c>
      <c r="B138" s="6" t="str">
        <f>IFERROR(__xludf.DUMMYFUNCTION("""COMPUTED_VALUE"""),"sbrimner3s@gmpg.org")</f>
        <v>sbrimner3s@gmpg.org</v>
      </c>
      <c r="C138" s="6" t="str">
        <f>IFERROR(__xludf.DUMMYFUNCTION("""COMPUTED_VALUE"""),"Madagascar")</f>
        <v>Madagascar</v>
      </c>
      <c r="D138" s="6">
        <f>COUNTIFS('Raw Data Sales'!H138:H1136, LEFT(A138, FIND(" ",A138)-1), 'Raw Data Sales'!I138:I1136, MID(A138, FIND(" ",A138)+1, 100))</f>
        <v>1</v>
      </c>
      <c r="E138" s="6">
        <f>SUMIFS('Raw Data Sales'!M138:M1136, 'Raw Data Sales'!H138:H1136, LEFT(A138, FIND(" ",A138)-1), 'Raw Data Sales'!I138:I1136, MID(A138, FIND(" ",A138)+1, 100))</f>
        <v>44</v>
      </c>
      <c r="F138" s="6">
        <f>SUMIFS('Raw Data Sales'!N138:N1136, 'Raw Data Sales'!H138:H1136, LEFT(A138, FIND(" ",A138)-1), 'Raw Data Sales'!I138:I1136, MID(A138, FIND(" ",A138)+1, 100))</f>
        <v>2017.93</v>
      </c>
    </row>
    <row r="139">
      <c r="A139" s="6" t="str">
        <f>IFERROR(__xludf.DUMMYFUNCTION("UNIQUE('Raw Data Sales'!H139:H1137 &amp; "" "" &amp; 'Raw Data Sales'!I139:I1137)"),"Jen Littlejohn")</f>
        <v>Jen Littlejohn</v>
      </c>
      <c r="B139" s="6" t="str">
        <f>IFERROR(__xludf.DUMMYFUNCTION("""COMPUTED_VALUE"""),"jlittlejohn3t@skyrock.com")</f>
        <v>jlittlejohn3t@skyrock.com</v>
      </c>
      <c r="C139" s="6" t="str">
        <f>IFERROR(__xludf.DUMMYFUNCTION("""COMPUTED_VALUE"""),"Czech Republic")</f>
        <v>Czech Republic</v>
      </c>
      <c r="D139" s="6">
        <f>COUNTIFS('Raw Data Sales'!H139:H1137, LEFT(A139, FIND(" ",A139)-1), 'Raw Data Sales'!I139:I1137, MID(A139, FIND(" ",A139)+1, 100))</f>
        <v>1</v>
      </c>
      <c r="E139" s="6">
        <f>SUMIFS('Raw Data Sales'!M139:M1137, 'Raw Data Sales'!H139:H1137, LEFT(A139, FIND(" ",A139)-1), 'Raw Data Sales'!I139:I1137, MID(A139, FIND(" ",A139)+1, 100))</f>
        <v>24</v>
      </c>
      <c r="F139" s="6">
        <f>SUMIFS('Raw Data Sales'!N139:N1137, 'Raw Data Sales'!H139:H1137, LEFT(A139, FIND(" ",A139)-1), 'Raw Data Sales'!I139:I1137, MID(A139, FIND(" ",A139)+1, 100))</f>
        <v>8447.31</v>
      </c>
    </row>
    <row r="140">
      <c r="A140" s="6" t="str">
        <f>IFERROR(__xludf.DUMMYFUNCTION("UNIQUE('Raw Data Sales'!H140:H1138 &amp; "" "" &amp; 'Raw Data Sales'!I140:I1138)"),"Francois Sievewright")</f>
        <v>Francois Sievewright</v>
      </c>
      <c r="B140" s="6" t="str">
        <f>IFERROR(__xludf.DUMMYFUNCTION("""COMPUTED_VALUE"""),"fsievewright3u@hostgator.com")</f>
        <v>fsievewright3u@hostgator.com</v>
      </c>
      <c r="C140" s="6" t="str">
        <f>IFERROR(__xludf.DUMMYFUNCTION("""COMPUTED_VALUE"""),"Brazil")</f>
        <v>Brazil</v>
      </c>
      <c r="D140" s="6">
        <f>COUNTIFS('Raw Data Sales'!H140:H1138, LEFT(A140, FIND(" ",A140)-1), 'Raw Data Sales'!I140:I1138, MID(A140, FIND(" ",A140)+1, 100))</f>
        <v>1</v>
      </c>
      <c r="E140" s="6">
        <f>SUMIFS('Raw Data Sales'!M140:M1138, 'Raw Data Sales'!H140:H1138, LEFT(A140, FIND(" ",A140)-1), 'Raw Data Sales'!I140:I1138, MID(A140, FIND(" ",A140)+1, 100))</f>
        <v>10</v>
      </c>
      <c r="F140" s="6">
        <f>SUMIFS('Raw Data Sales'!N140:N1138, 'Raw Data Sales'!H140:H1138, LEFT(A140, FIND(" ",A140)-1), 'Raw Data Sales'!I140:I1138, MID(A140, FIND(" ",A140)+1, 100))</f>
        <v>567.68</v>
      </c>
    </row>
    <row r="141">
      <c r="A141" s="6" t="str">
        <f>IFERROR(__xludf.DUMMYFUNCTION("UNIQUE('Raw Data Sales'!H141:H1139 &amp; "" "" &amp; 'Raw Data Sales'!I141:I1139)"),"Sylas Sailor")</f>
        <v>Sylas Sailor</v>
      </c>
      <c r="B141" s="6" t="str">
        <f>IFERROR(__xludf.DUMMYFUNCTION("""COMPUTED_VALUE"""),"ssailor3v@ebay.co.uk")</f>
        <v>ssailor3v@ebay.co.uk</v>
      </c>
      <c r="C141" s="6" t="str">
        <f>IFERROR(__xludf.DUMMYFUNCTION("""COMPUTED_VALUE"""),"China")</f>
        <v>China</v>
      </c>
      <c r="D141" s="6">
        <f>COUNTIFS('Raw Data Sales'!H141:H1139, LEFT(A141, FIND(" ",A141)-1), 'Raw Data Sales'!I141:I1139, MID(A141, FIND(" ",A141)+1, 100))</f>
        <v>1</v>
      </c>
      <c r="E141" s="6">
        <f>SUMIFS('Raw Data Sales'!M141:M1139, 'Raw Data Sales'!H141:H1139, LEFT(A141, FIND(" ",A141)-1), 'Raw Data Sales'!I141:I1139, MID(A141, FIND(" ",A141)+1, 100))</f>
        <v>44</v>
      </c>
      <c r="F141" s="6">
        <f>SUMIFS('Raw Data Sales'!N141:N1139, 'Raw Data Sales'!H141:H1139, LEFT(A141, FIND(" ",A141)-1), 'Raw Data Sales'!I141:I1139, MID(A141, FIND(" ",A141)+1, 100))</f>
        <v>9916.65</v>
      </c>
    </row>
    <row r="142">
      <c r="A142" s="6" t="str">
        <f>IFERROR(__xludf.DUMMYFUNCTION("UNIQUE('Raw Data Sales'!H142:H1140 &amp; "" "" &amp; 'Raw Data Sales'!I142:I1140)"),"Woodie Oxborough")</f>
        <v>Woodie Oxborough</v>
      </c>
      <c r="B142" s="6" t="str">
        <f>IFERROR(__xludf.DUMMYFUNCTION("""COMPUTED_VALUE"""),"woxborough3w@bloglovin.com")</f>
        <v>woxborough3w@bloglovin.com</v>
      </c>
      <c r="C142" s="6" t="str">
        <f>IFERROR(__xludf.DUMMYFUNCTION("""COMPUTED_VALUE"""),"China")</f>
        <v>China</v>
      </c>
      <c r="D142" s="6">
        <f>COUNTIFS('Raw Data Sales'!H142:H1140, LEFT(A142, FIND(" ",A142)-1), 'Raw Data Sales'!I142:I1140, MID(A142, FIND(" ",A142)+1, 100))</f>
        <v>1</v>
      </c>
      <c r="E142" s="6">
        <f>SUMIFS('Raw Data Sales'!M142:M1140, 'Raw Data Sales'!H142:H1140, LEFT(A142, FIND(" ",A142)-1), 'Raw Data Sales'!I142:I1140, MID(A142, FIND(" ",A142)+1, 100))</f>
        <v>21</v>
      </c>
      <c r="F142" s="6">
        <f>SUMIFS('Raw Data Sales'!N142:N1140, 'Raw Data Sales'!H142:H1140, LEFT(A142, FIND(" ",A142)-1), 'Raw Data Sales'!I142:I1140, MID(A142, FIND(" ",A142)+1, 100))</f>
        <v>9272.31</v>
      </c>
    </row>
    <row r="143">
      <c r="A143" s="6" t="str">
        <f>IFERROR(__xludf.DUMMYFUNCTION("UNIQUE('Raw Data Sales'!H143:H1141 &amp; "" "" &amp; 'Raw Data Sales'!I143:I1141)"),"Cordi Van Salzberger")</f>
        <v>Cordi Van Salzberger</v>
      </c>
      <c r="B143" s="6" t="str">
        <f>IFERROR(__xludf.DUMMYFUNCTION("""COMPUTED_VALUE"""),"cvansalzberger3x@bluehost.com")</f>
        <v>cvansalzberger3x@bluehost.com</v>
      </c>
      <c r="C143" s="6" t="str">
        <f>IFERROR(__xludf.DUMMYFUNCTION("""COMPUTED_VALUE"""),"China")</f>
        <v>China</v>
      </c>
      <c r="D143" s="6">
        <f>COUNTIFS('Raw Data Sales'!H143:H1141, LEFT(A143, FIND(" ",A143)-1), 'Raw Data Sales'!I143:I1141, MID(A143, FIND(" ",A143)+1, 100))</f>
        <v>1</v>
      </c>
      <c r="E143" s="6">
        <f>SUMIFS('Raw Data Sales'!M143:M1141, 'Raw Data Sales'!H143:H1141, LEFT(A143, FIND(" ",A143)-1), 'Raw Data Sales'!I143:I1141, MID(A143, FIND(" ",A143)+1, 100))</f>
        <v>66</v>
      </c>
      <c r="F143" s="6">
        <f>SUMIFS('Raw Data Sales'!N143:N1141, 'Raw Data Sales'!H143:H1141, LEFT(A143, FIND(" ",A143)-1), 'Raw Data Sales'!I143:I1141, MID(A143, FIND(" ",A143)+1, 100))</f>
        <v>5910.85</v>
      </c>
    </row>
    <row r="144">
      <c r="A144" s="6" t="str">
        <f>IFERROR(__xludf.DUMMYFUNCTION("UNIQUE('Raw Data Sales'!H144:H1142 &amp; "" "" &amp; 'Raw Data Sales'!I144:I1142)"),"Erinn Esson")</f>
        <v>Erinn Esson</v>
      </c>
      <c r="B144" s="6" t="str">
        <f>IFERROR(__xludf.DUMMYFUNCTION("""COMPUTED_VALUE"""),"eesson3y@imageshack.us")</f>
        <v>eesson3y@imageshack.us</v>
      </c>
      <c r="C144" s="6" t="str">
        <f>IFERROR(__xludf.DUMMYFUNCTION("""COMPUTED_VALUE"""),"Bolivia")</f>
        <v>Bolivia</v>
      </c>
      <c r="D144" s="6">
        <f>COUNTIFS('Raw Data Sales'!H144:H1142, LEFT(A144, FIND(" ",A144)-1), 'Raw Data Sales'!I144:I1142, MID(A144, FIND(" ",A144)+1, 100))</f>
        <v>1</v>
      </c>
      <c r="E144" s="6">
        <f>SUMIFS('Raw Data Sales'!M144:M1142, 'Raw Data Sales'!H144:H1142, LEFT(A144, FIND(" ",A144)-1), 'Raw Data Sales'!I144:I1142, MID(A144, FIND(" ",A144)+1, 100))</f>
        <v>40</v>
      </c>
      <c r="F144" s="6">
        <f>SUMIFS('Raw Data Sales'!N144:N1142, 'Raw Data Sales'!H144:H1142, LEFT(A144, FIND(" ",A144)-1), 'Raw Data Sales'!I144:I1142, MID(A144, FIND(" ",A144)+1, 100))</f>
        <v>7551.54</v>
      </c>
    </row>
    <row r="145">
      <c r="A145" s="6" t="str">
        <f>IFERROR(__xludf.DUMMYFUNCTION("UNIQUE('Raw Data Sales'!H145:H1143 &amp; "" "" &amp; 'Raw Data Sales'!I145:I1143)"),"Sandy Aukland")</f>
        <v>Sandy Aukland</v>
      </c>
      <c r="B145" s="6" t="str">
        <f>IFERROR(__xludf.DUMMYFUNCTION("""COMPUTED_VALUE"""),"saukland3z@walmart.com")</f>
        <v>saukland3z@walmart.com</v>
      </c>
      <c r="C145" s="6" t="str">
        <f>IFERROR(__xludf.DUMMYFUNCTION("""COMPUTED_VALUE"""),"Indonesia")</f>
        <v>Indonesia</v>
      </c>
      <c r="D145" s="6">
        <f>COUNTIFS('Raw Data Sales'!H145:H1143, LEFT(A145, FIND(" ",A145)-1), 'Raw Data Sales'!I145:I1143, MID(A145, FIND(" ",A145)+1, 100))</f>
        <v>1</v>
      </c>
      <c r="E145" s="6">
        <f>SUMIFS('Raw Data Sales'!M145:M1143, 'Raw Data Sales'!H145:H1143, LEFT(A145, FIND(" ",A145)-1), 'Raw Data Sales'!I145:I1143, MID(A145, FIND(" ",A145)+1, 100))</f>
        <v>26</v>
      </c>
      <c r="F145" s="6">
        <f>SUMIFS('Raw Data Sales'!N145:N1143, 'Raw Data Sales'!H145:H1143, LEFT(A145, FIND(" ",A145)-1), 'Raw Data Sales'!I145:I1143, MID(A145, FIND(" ",A145)+1, 100))</f>
        <v>6423.07</v>
      </c>
    </row>
    <row r="146">
      <c r="A146" s="6" t="str">
        <f>IFERROR(__xludf.DUMMYFUNCTION("UNIQUE('Raw Data Sales'!H146:H1144 &amp; "" "" &amp; 'Raw Data Sales'!I146:I1144)"),"Rex McCrillis")</f>
        <v>Rex McCrillis</v>
      </c>
      <c r="B146" s="6" t="str">
        <f>IFERROR(__xludf.DUMMYFUNCTION("""COMPUTED_VALUE"""),"rmccrillis40@shareasale.com")</f>
        <v>rmccrillis40@shareasale.com</v>
      </c>
      <c r="C146" s="6" t="str">
        <f>IFERROR(__xludf.DUMMYFUNCTION("""COMPUTED_VALUE"""),"Russia")</f>
        <v>Russia</v>
      </c>
      <c r="D146" s="6">
        <f>COUNTIFS('Raw Data Sales'!H146:H1144, LEFT(A146, FIND(" ",A146)-1), 'Raw Data Sales'!I146:I1144, MID(A146, FIND(" ",A146)+1, 100))</f>
        <v>1</v>
      </c>
      <c r="E146" s="6">
        <f>SUMIFS('Raw Data Sales'!M146:M1144, 'Raw Data Sales'!H146:H1144, LEFT(A146, FIND(" ",A146)-1), 'Raw Data Sales'!I146:I1144, MID(A146, FIND(" ",A146)+1, 100))</f>
        <v>13</v>
      </c>
      <c r="F146" s="6">
        <f>SUMIFS('Raw Data Sales'!N146:N1144, 'Raw Data Sales'!H146:H1144, LEFT(A146, FIND(" ",A146)-1), 'Raw Data Sales'!I146:I1144, MID(A146, FIND(" ",A146)+1, 100))</f>
        <v>6902.44</v>
      </c>
    </row>
    <row r="147">
      <c r="A147" s="6" t="str">
        <f>IFERROR(__xludf.DUMMYFUNCTION("UNIQUE('Raw Data Sales'!H147:H1145 &amp; "" "" &amp; 'Raw Data Sales'!I147:I1145)"),"Rhiamon Dabbes")</f>
        <v>Rhiamon Dabbes</v>
      </c>
      <c r="B147" s="6" t="str">
        <f>IFERROR(__xludf.DUMMYFUNCTION("""COMPUTED_VALUE"""),"rdabbes41@blinklist.com")</f>
        <v>rdabbes41@blinklist.com</v>
      </c>
      <c r="C147" s="6" t="str">
        <f>IFERROR(__xludf.DUMMYFUNCTION("""COMPUTED_VALUE"""),"Philippines")</f>
        <v>Philippines</v>
      </c>
      <c r="D147" s="6">
        <f>COUNTIFS('Raw Data Sales'!H147:H1145, LEFT(A147, FIND(" ",A147)-1), 'Raw Data Sales'!I147:I1145, MID(A147, FIND(" ",A147)+1, 100))</f>
        <v>1</v>
      </c>
      <c r="E147" s="6">
        <f>SUMIFS('Raw Data Sales'!M147:M1145, 'Raw Data Sales'!H147:H1145, LEFT(A147, FIND(" ",A147)-1), 'Raw Data Sales'!I147:I1145, MID(A147, FIND(" ",A147)+1, 100))</f>
        <v>97</v>
      </c>
      <c r="F147" s="6">
        <f>SUMIFS('Raw Data Sales'!N147:N1145, 'Raw Data Sales'!H147:H1145, LEFT(A147, FIND(" ",A147)-1), 'Raw Data Sales'!I147:I1145, MID(A147, FIND(" ",A147)+1, 100))</f>
        <v>7282.02</v>
      </c>
    </row>
    <row r="148">
      <c r="A148" s="6" t="str">
        <f>IFERROR(__xludf.DUMMYFUNCTION("UNIQUE('Raw Data Sales'!H148:H1146 &amp; "" "" &amp; 'Raw Data Sales'!I148:I1146)"),"Vi Renzullo")</f>
        <v>Vi Renzullo</v>
      </c>
      <c r="B148" s="6" t="str">
        <f>IFERROR(__xludf.DUMMYFUNCTION("""COMPUTED_VALUE"""),"vrenzullo42@ocn.ne.jp")</f>
        <v>vrenzullo42@ocn.ne.jp</v>
      </c>
      <c r="C148" s="6" t="str">
        <f>IFERROR(__xludf.DUMMYFUNCTION("""COMPUTED_VALUE"""),"China")</f>
        <v>China</v>
      </c>
      <c r="D148" s="6">
        <f>COUNTIFS('Raw Data Sales'!H148:H1146, LEFT(A148, FIND(" ",A148)-1), 'Raw Data Sales'!I148:I1146, MID(A148, FIND(" ",A148)+1, 100))</f>
        <v>1</v>
      </c>
      <c r="E148" s="6">
        <f>SUMIFS('Raw Data Sales'!M148:M1146, 'Raw Data Sales'!H148:H1146, LEFT(A148, FIND(" ",A148)-1), 'Raw Data Sales'!I148:I1146, MID(A148, FIND(" ",A148)+1, 100))</f>
        <v>88</v>
      </c>
      <c r="F148" s="6">
        <f>SUMIFS('Raw Data Sales'!N148:N1146, 'Raw Data Sales'!H148:H1146, LEFT(A148, FIND(" ",A148)-1), 'Raw Data Sales'!I148:I1146, MID(A148, FIND(" ",A148)+1, 100))</f>
        <v>3767.4</v>
      </c>
    </row>
    <row r="149">
      <c r="A149" s="6" t="str">
        <f>IFERROR(__xludf.DUMMYFUNCTION("UNIQUE('Raw Data Sales'!H149:H1147 &amp; "" "" &amp; 'Raw Data Sales'!I149:I1147)"),"Lindsy Lundon")</f>
        <v>Lindsy Lundon</v>
      </c>
      <c r="B149" s="6" t="str">
        <f>IFERROR(__xludf.DUMMYFUNCTION("""COMPUTED_VALUE"""),"llundon43@uol.com.br")</f>
        <v>llundon43@uol.com.br</v>
      </c>
      <c r="C149" s="6" t="str">
        <f>IFERROR(__xludf.DUMMYFUNCTION("""COMPUTED_VALUE"""),"Philippines")</f>
        <v>Philippines</v>
      </c>
      <c r="D149" s="6">
        <f>COUNTIFS('Raw Data Sales'!H149:H1147, LEFT(A149, FIND(" ",A149)-1), 'Raw Data Sales'!I149:I1147, MID(A149, FIND(" ",A149)+1, 100))</f>
        <v>1</v>
      </c>
      <c r="E149" s="6">
        <f>SUMIFS('Raw Data Sales'!M149:M1147, 'Raw Data Sales'!H149:H1147, LEFT(A149, FIND(" ",A149)-1), 'Raw Data Sales'!I149:I1147, MID(A149, FIND(" ",A149)+1, 100))</f>
        <v>75</v>
      </c>
      <c r="F149" s="6">
        <f>SUMIFS('Raw Data Sales'!N149:N1147, 'Raw Data Sales'!H149:H1147, LEFT(A149, FIND(" ",A149)-1), 'Raw Data Sales'!I149:I1147, MID(A149, FIND(" ",A149)+1, 100))</f>
        <v>6811.26</v>
      </c>
    </row>
    <row r="150">
      <c r="A150" s="6" t="str">
        <f>IFERROR(__xludf.DUMMYFUNCTION("UNIQUE('Raw Data Sales'!H150:H1148 &amp; "" "" &amp; 'Raw Data Sales'!I150:I1148)"),"Dag Quogan")</f>
        <v>Dag Quogan</v>
      </c>
      <c r="B150" s="6" t="str">
        <f>IFERROR(__xludf.DUMMYFUNCTION("""COMPUTED_VALUE"""),"dquogan44@nifty.com")</f>
        <v>dquogan44@nifty.com</v>
      </c>
      <c r="C150" s="6" t="str">
        <f>IFERROR(__xludf.DUMMYFUNCTION("""COMPUTED_VALUE"""),"China")</f>
        <v>China</v>
      </c>
      <c r="D150" s="6">
        <f>COUNTIFS('Raw Data Sales'!H150:H1148, LEFT(A150, FIND(" ",A150)-1), 'Raw Data Sales'!I150:I1148, MID(A150, FIND(" ",A150)+1, 100))</f>
        <v>1</v>
      </c>
      <c r="E150" s="6">
        <f>SUMIFS('Raw Data Sales'!M150:M1148, 'Raw Data Sales'!H150:H1148, LEFT(A150, FIND(" ",A150)-1), 'Raw Data Sales'!I150:I1148, MID(A150, FIND(" ",A150)+1, 100))</f>
        <v>53</v>
      </c>
      <c r="F150" s="6">
        <f>SUMIFS('Raw Data Sales'!N150:N1148, 'Raw Data Sales'!H150:H1148, LEFT(A150, FIND(" ",A150)-1), 'Raw Data Sales'!I150:I1148, MID(A150, FIND(" ",A150)+1, 100))</f>
        <v>4891.91</v>
      </c>
    </row>
    <row r="151">
      <c r="A151" s="6" t="str">
        <f>IFERROR(__xludf.DUMMYFUNCTION("UNIQUE('Raw Data Sales'!H151:H1149 &amp; "" "" &amp; 'Raw Data Sales'!I151:I1149)"),"Byrann Johnston")</f>
        <v>Byrann Johnston</v>
      </c>
      <c r="B151" s="6" t="str">
        <f>IFERROR(__xludf.DUMMYFUNCTION("""COMPUTED_VALUE"""),"bjohnston45@dagondesign.com")</f>
        <v>bjohnston45@dagondesign.com</v>
      </c>
      <c r="C151" s="6" t="str">
        <f>IFERROR(__xludf.DUMMYFUNCTION("""COMPUTED_VALUE"""),"France")</f>
        <v>France</v>
      </c>
      <c r="D151" s="6">
        <f>COUNTIFS('Raw Data Sales'!H151:H1149, LEFT(A151, FIND(" ",A151)-1), 'Raw Data Sales'!I151:I1149, MID(A151, FIND(" ",A151)+1, 100))</f>
        <v>1</v>
      </c>
      <c r="E151" s="6">
        <f>SUMIFS('Raw Data Sales'!M151:M1149, 'Raw Data Sales'!H151:H1149, LEFT(A151, FIND(" ",A151)-1), 'Raw Data Sales'!I151:I1149, MID(A151, FIND(" ",A151)+1, 100))</f>
        <v>15</v>
      </c>
      <c r="F151" s="6">
        <f>SUMIFS('Raw Data Sales'!N151:N1149, 'Raw Data Sales'!H151:H1149, LEFT(A151, FIND(" ",A151)-1), 'Raw Data Sales'!I151:I1149, MID(A151, FIND(" ",A151)+1, 100))</f>
        <v>156.14</v>
      </c>
    </row>
    <row r="152">
      <c r="A152" s="6" t="str">
        <f>IFERROR(__xludf.DUMMYFUNCTION("UNIQUE('Raw Data Sales'!H152:H1150 &amp; "" "" &amp; 'Raw Data Sales'!I152:I1150)"),"Annaliese Bollen")</f>
        <v>Annaliese Bollen</v>
      </c>
      <c r="B152" s="6" t="str">
        <f>IFERROR(__xludf.DUMMYFUNCTION("""COMPUTED_VALUE"""),"abollen46@hao123.com")</f>
        <v>abollen46@hao123.com</v>
      </c>
      <c r="C152" s="6" t="str">
        <f>IFERROR(__xludf.DUMMYFUNCTION("""COMPUTED_VALUE"""),"Pakistan")</f>
        <v>Pakistan</v>
      </c>
      <c r="D152" s="6">
        <f>COUNTIFS('Raw Data Sales'!H152:H1150, LEFT(A152, FIND(" ",A152)-1), 'Raw Data Sales'!I152:I1150, MID(A152, FIND(" ",A152)+1, 100))</f>
        <v>1</v>
      </c>
      <c r="E152" s="6">
        <f>SUMIFS('Raw Data Sales'!M152:M1150, 'Raw Data Sales'!H152:H1150, LEFT(A152, FIND(" ",A152)-1), 'Raw Data Sales'!I152:I1150, MID(A152, FIND(" ",A152)+1, 100))</f>
        <v>16</v>
      </c>
      <c r="F152" s="6">
        <f>SUMIFS('Raw Data Sales'!N152:N1150, 'Raw Data Sales'!H152:H1150, LEFT(A152, FIND(" ",A152)-1), 'Raw Data Sales'!I152:I1150, MID(A152, FIND(" ",A152)+1, 100))</f>
        <v>1144.68</v>
      </c>
    </row>
    <row r="153">
      <c r="A153" s="6" t="str">
        <f>IFERROR(__xludf.DUMMYFUNCTION("UNIQUE('Raw Data Sales'!H153:H1151 &amp; "" "" &amp; 'Raw Data Sales'!I153:I1151)"),"Carlyle Drummer")</f>
        <v>Carlyle Drummer</v>
      </c>
      <c r="B153" s="6" t="str">
        <f>IFERROR(__xludf.DUMMYFUNCTION("""COMPUTED_VALUE"""),"cdrummer47@icio.us")</f>
        <v>cdrummer47@icio.us</v>
      </c>
      <c r="C153" s="6" t="str">
        <f>IFERROR(__xludf.DUMMYFUNCTION("""COMPUTED_VALUE"""),"China")</f>
        <v>China</v>
      </c>
      <c r="D153" s="6">
        <f>COUNTIFS('Raw Data Sales'!H153:H1151, LEFT(A153, FIND(" ",A153)-1), 'Raw Data Sales'!I153:I1151, MID(A153, FIND(" ",A153)+1, 100))</f>
        <v>1</v>
      </c>
      <c r="E153" s="6">
        <f>SUMIFS('Raw Data Sales'!M153:M1151, 'Raw Data Sales'!H153:H1151, LEFT(A153, FIND(" ",A153)-1), 'Raw Data Sales'!I153:I1151, MID(A153, FIND(" ",A153)+1, 100))</f>
        <v>2</v>
      </c>
      <c r="F153" s="6">
        <f>SUMIFS('Raw Data Sales'!N153:N1151, 'Raw Data Sales'!H153:H1151, LEFT(A153, FIND(" ",A153)-1), 'Raw Data Sales'!I153:I1151, MID(A153, FIND(" ",A153)+1, 100))</f>
        <v>3755.28</v>
      </c>
    </row>
    <row r="154">
      <c r="A154" s="6" t="str">
        <f>IFERROR(__xludf.DUMMYFUNCTION("UNIQUE('Raw Data Sales'!H154:H1152 &amp; "" "" &amp; 'Raw Data Sales'!I154:I1152)"),"Lyman Constance")</f>
        <v>Lyman Constance</v>
      </c>
      <c r="B154" s="6" t="str">
        <f>IFERROR(__xludf.DUMMYFUNCTION("""COMPUTED_VALUE"""),"lconstance48@simplemachines.org")</f>
        <v>lconstance48@simplemachines.org</v>
      </c>
      <c r="C154" s="6" t="str">
        <f>IFERROR(__xludf.DUMMYFUNCTION("""COMPUTED_VALUE"""),"Japan")</f>
        <v>Japan</v>
      </c>
      <c r="D154" s="6">
        <f>COUNTIFS('Raw Data Sales'!H154:H1152, LEFT(A154, FIND(" ",A154)-1), 'Raw Data Sales'!I154:I1152, MID(A154, FIND(" ",A154)+1, 100))</f>
        <v>1</v>
      </c>
      <c r="E154" s="6">
        <f>SUMIFS('Raw Data Sales'!M154:M1152, 'Raw Data Sales'!H154:H1152, LEFT(A154, FIND(" ",A154)-1), 'Raw Data Sales'!I154:I1152, MID(A154, FIND(" ",A154)+1, 100))</f>
        <v>55</v>
      </c>
      <c r="F154" s="6">
        <f>SUMIFS('Raw Data Sales'!N154:N1152, 'Raw Data Sales'!H154:H1152, LEFT(A154, FIND(" ",A154)-1), 'Raw Data Sales'!I154:I1152, MID(A154, FIND(" ",A154)+1, 100))</f>
        <v>9074.32</v>
      </c>
    </row>
    <row r="155">
      <c r="A155" s="6" t="str">
        <f>IFERROR(__xludf.DUMMYFUNCTION("UNIQUE('Raw Data Sales'!H155:H1153 &amp; "" "" &amp; 'Raw Data Sales'!I155:I1153)"),"Dunstan Wynes")</f>
        <v>Dunstan Wynes</v>
      </c>
      <c r="B155" s="6" t="str">
        <f>IFERROR(__xludf.DUMMYFUNCTION("""COMPUTED_VALUE"""),"dwynes49@naver.com")</f>
        <v>dwynes49@naver.com</v>
      </c>
      <c r="C155" s="6" t="str">
        <f>IFERROR(__xludf.DUMMYFUNCTION("""COMPUTED_VALUE"""),"China")</f>
        <v>China</v>
      </c>
      <c r="D155" s="6">
        <f>COUNTIFS('Raw Data Sales'!H155:H1153, LEFT(A155, FIND(" ",A155)-1), 'Raw Data Sales'!I155:I1153, MID(A155, FIND(" ",A155)+1, 100))</f>
        <v>1</v>
      </c>
      <c r="E155" s="6">
        <f>SUMIFS('Raw Data Sales'!M155:M1153, 'Raw Data Sales'!H155:H1153, LEFT(A155, FIND(" ",A155)-1), 'Raw Data Sales'!I155:I1153, MID(A155, FIND(" ",A155)+1, 100))</f>
        <v>47</v>
      </c>
      <c r="F155" s="6">
        <f>SUMIFS('Raw Data Sales'!N155:N1153, 'Raw Data Sales'!H155:H1153, LEFT(A155, FIND(" ",A155)-1), 'Raw Data Sales'!I155:I1153, MID(A155, FIND(" ",A155)+1, 100))</f>
        <v>7768.24</v>
      </c>
    </row>
    <row r="156">
      <c r="A156" s="6" t="str">
        <f>IFERROR(__xludf.DUMMYFUNCTION("UNIQUE('Raw Data Sales'!H156:H1154 &amp; "" "" &amp; 'Raw Data Sales'!I156:I1154)"),"Valentine Fishburn")</f>
        <v>Valentine Fishburn</v>
      </c>
      <c r="B156" s="6" t="str">
        <f>IFERROR(__xludf.DUMMYFUNCTION("""COMPUTED_VALUE"""),"vfishburn4a@qq.com")</f>
        <v>vfishburn4a@qq.com</v>
      </c>
      <c r="C156" s="6" t="str">
        <f>IFERROR(__xludf.DUMMYFUNCTION("""COMPUTED_VALUE"""),"China")</f>
        <v>China</v>
      </c>
      <c r="D156" s="6">
        <f>COUNTIFS('Raw Data Sales'!H156:H1154, LEFT(A156, FIND(" ",A156)-1), 'Raw Data Sales'!I156:I1154, MID(A156, FIND(" ",A156)+1, 100))</f>
        <v>1</v>
      </c>
      <c r="E156" s="6">
        <f>SUMIFS('Raw Data Sales'!M156:M1154, 'Raw Data Sales'!H156:H1154, LEFT(A156, FIND(" ",A156)-1), 'Raw Data Sales'!I156:I1154, MID(A156, FIND(" ",A156)+1, 100))</f>
        <v>17</v>
      </c>
      <c r="F156" s="6">
        <f>SUMIFS('Raw Data Sales'!N156:N1154, 'Raw Data Sales'!H156:H1154, LEFT(A156, FIND(" ",A156)-1), 'Raw Data Sales'!I156:I1154, MID(A156, FIND(" ",A156)+1, 100))</f>
        <v>135.03</v>
      </c>
    </row>
    <row r="157">
      <c r="A157" s="6" t="str">
        <f>IFERROR(__xludf.DUMMYFUNCTION("UNIQUE('Raw Data Sales'!H157:H1155 &amp; "" "" &amp; 'Raw Data Sales'!I157:I1155)"),"Julissa Egell")</f>
        <v>Julissa Egell</v>
      </c>
      <c r="B157" s="6" t="str">
        <f>IFERROR(__xludf.DUMMYFUNCTION("""COMPUTED_VALUE"""),"jegell4b@ted.com")</f>
        <v>jegell4b@ted.com</v>
      </c>
      <c r="C157" s="6" t="str">
        <f>IFERROR(__xludf.DUMMYFUNCTION("""COMPUTED_VALUE"""),"Argentina")</f>
        <v>Argentina</v>
      </c>
      <c r="D157" s="6">
        <f>COUNTIFS('Raw Data Sales'!H157:H1155, LEFT(A157, FIND(" ",A157)-1), 'Raw Data Sales'!I157:I1155, MID(A157, FIND(" ",A157)+1, 100))</f>
        <v>1</v>
      </c>
      <c r="E157" s="6">
        <f>SUMIFS('Raw Data Sales'!M157:M1155, 'Raw Data Sales'!H157:H1155, LEFT(A157, FIND(" ",A157)-1), 'Raw Data Sales'!I157:I1155, MID(A157, FIND(" ",A157)+1, 100))</f>
        <v>30</v>
      </c>
      <c r="F157" s="6">
        <f>SUMIFS('Raw Data Sales'!N157:N1155, 'Raw Data Sales'!H157:H1155, LEFT(A157, FIND(" ",A157)-1), 'Raw Data Sales'!I157:I1155, MID(A157, FIND(" ",A157)+1, 100))</f>
        <v>8961.02</v>
      </c>
    </row>
    <row r="158">
      <c r="A158" s="6" t="str">
        <f>IFERROR(__xludf.DUMMYFUNCTION("UNIQUE('Raw Data Sales'!H158:H1156 &amp; "" "" &amp; 'Raw Data Sales'!I158:I1156)"),"Kennett Wrathall")</f>
        <v>Kennett Wrathall</v>
      </c>
      <c r="B158" s="6" t="str">
        <f>IFERROR(__xludf.DUMMYFUNCTION("""COMPUTED_VALUE"""),"kwrathall4c@lulu.com")</f>
        <v>kwrathall4c@lulu.com</v>
      </c>
      <c r="C158" s="6" t="str">
        <f>IFERROR(__xludf.DUMMYFUNCTION("""COMPUTED_VALUE"""),"Peru")</f>
        <v>Peru</v>
      </c>
      <c r="D158" s="6">
        <f>COUNTIFS('Raw Data Sales'!H158:H1156, LEFT(A158, FIND(" ",A158)-1), 'Raw Data Sales'!I158:I1156, MID(A158, FIND(" ",A158)+1, 100))</f>
        <v>1</v>
      </c>
      <c r="E158" s="6">
        <f>SUMIFS('Raw Data Sales'!M158:M1156, 'Raw Data Sales'!H158:H1156, LEFT(A158, FIND(" ",A158)-1), 'Raw Data Sales'!I158:I1156, MID(A158, FIND(" ",A158)+1, 100))</f>
        <v>7</v>
      </c>
      <c r="F158" s="6">
        <f>SUMIFS('Raw Data Sales'!N158:N1156, 'Raw Data Sales'!H158:H1156, LEFT(A158, FIND(" ",A158)-1), 'Raw Data Sales'!I158:I1156, MID(A158, FIND(" ",A158)+1, 100))</f>
        <v>4118.01</v>
      </c>
    </row>
    <row r="159">
      <c r="A159" s="6" t="str">
        <f>IFERROR(__xludf.DUMMYFUNCTION("UNIQUE('Raw Data Sales'!H159:H1157 &amp; "" "" &amp; 'Raw Data Sales'!I159:I1157)"),"Torrey Halbard")</f>
        <v>Torrey Halbard</v>
      </c>
      <c r="B159" s="6" t="str">
        <f>IFERROR(__xludf.DUMMYFUNCTION("""COMPUTED_VALUE"""),"thalbard4d@ucla.edu")</f>
        <v>thalbard4d@ucla.edu</v>
      </c>
      <c r="C159" s="6" t="str">
        <f>IFERROR(__xludf.DUMMYFUNCTION("""COMPUTED_VALUE"""),"Sri Lanka")</f>
        <v>Sri Lanka</v>
      </c>
      <c r="D159" s="6">
        <f>COUNTIFS('Raw Data Sales'!H159:H1157, LEFT(A159, FIND(" ",A159)-1), 'Raw Data Sales'!I159:I1157, MID(A159, FIND(" ",A159)+1, 100))</f>
        <v>1</v>
      </c>
      <c r="E159" s="6">
        <f>SUMIFS('Raw Data Sales'!M159:M1157, 'Raw Data Sales'!H159:H1157, LEFT(A159, FIND(" ",A159)-1), 'Raw Data Sales'!I159:I1157, MID(A159, FIND(" ",A159)+1, 100))</f>
        <v>29</v>
      </c>
      <c r="F159" s="6">
        <f>SUMIFS('Raw Data Sales'!N159:N1157, 'Raw Data Sales'!H159:H1157, LEFT(A159, FIND(" ",A159)-1), 'Raw Data Sales'!I159:I1157, MID(A159, FIND(" ",A159)+1, 100))</f>
        <v>7327.53</v>
      </c>
    </row>
    <row r="160">
      <c r="A160" s="6" t="str">
        <f>IFERROR(__xludf.DUMMYFUNCTION("UNIQUE('Raw Data Sales'!H160:H1158 &amp; "" "" &amp; 'Raw Data Sales'!I160:I1158)"),"Lauri Busch")</f>
        <v>Lauri Busch</v>
      </c>
      <c r="B160" s="6" t="str">
        <f>IFERROR(__xludf.DUMMYFUNCTION("""COMPUTED_VALUE"""),"lbusch4e@trellian.com")</f>
        <v>lbusch4e@trellian.com</v>
      </c>
      <c r="C160" s="6" t="str">
        <f>IFERROR(__xludf.DUMMYFUNCTION("""COMPUTED_VALUE"""),"Indonesia")</f>
        <v>Indonesia</v>
      </c>
      <c r="D160" s="6">
        <f>COUNTIFS('Raw Data Sales'!H160:H1158, LEFT(A160, FIND(" ",A160)-1), 'Raw Data Sales'!I160:I1158, MID(A160, FIND(" ",A160)+1, 100))</f>
        <v>1</v>
      </c>
      <c r="E160" s="6">
        <f>SUMIFS('Raw Data Sales'!M160:M1158, 'Raw Data Sales'!H160:H1158, LEFT(A160, FIND(" ",A160)-1), 'Raw Data Sales'!I160:I1158, MID(A160, FIND(" ",A160)+1, 100))</f>
        <v>61</v>
      </c>
      <c r="F160" s="6">
        <f>SUMIFS('Raw Data Sales'!N160:N1158, 'Raw Data Sales'!H160:H1158, LEFT(A160, FIND(" ",A160)-1), 'Raw Data Sales'!I160:I1158, MID(A160, FIND(" ",A160)+1, 100))</f>
        <v>5137.03</v>
      </c>
    </row>
    <row r="161">
      <c r="A161" s="6" t="str">
        <f>IFERROR(__xludf.DUMMYFUNCTION("UNIQUE('Raw Data Sales'!H161:H1159 &amp; "" "" &amp; 'Raw Data Sales'!I161:I1159)"),"Kaine Kyrkeman")</f>
        <v>Kaine Kyrkeman</v>
      </c>
      <c r="B161" s="6" t="str">
        <f>IFERROR(__xludf.DUMMYFUNCTION("""COMPUTED_VALUE"""),"kkyrkeman4f@craigslist.org")</f>
        <v>kkyrkeman4f@craigslist.org</v>
      </c>
      <c r="C161" s="6" t="str">
        <f>IFERROR(__xludf.DUMMYFUNCTION("""COMPUTED_VALUE"""),"Albania")</f>
        <v>Albania</v>
      </c>
      <c r="D161" s="6">
        <f>COUNTIFS('Raw Data Sales'!H161:H1159, LEFT(A161, FIND(" ",A161)-1), 'Raw Data Sales'!I161:I1159, MID(A161, FIND(" ",A161)+1, 100))</f>
        <v>1</v>
      </c>
      <c r="E161" s="6">
        <f>SUMIFS('Raw Data Sales'!M161:M1159, 'Raw Data Sales'!H161:H1159, LEFT(A161, FIND(" ",A161)-1), 'Raw Data Sales'!I161:I1159, MID(A161, FIND(" ",A161)+1, 100))</f>
        <v>11</v>
      </c>
      <c r="F161" s="6">
        <f>SUMIFS('Raw Data Sales'!N161:N1159, 'Raw Data Sales'!H161:H1159, LEFT(A161, FIND(" ",A161)-1), 'Raw Data Sales'!I161:I1159, MID(A161, FIND(" ",A161)+1, 100))</f>
        <v>4465.36</v>
      </c>
    </row>
    <row r="162">
      <c r="A162" s="6" t="str">
        <f>IFERROR(__xludf.DUMMYFUNCTION("UNIQUE('Raw Data Sales'!H162:H1160 &amp; "" "" &amp; 'Raw Data Sales'!I162:I1160)"),"Cheri McKenney")</f>
        <v>Cheri McKenney</v>
      </c>
      <c r="B162" s="6" t="str">
        <f>IFERROR(__xludf.DUMMYFUNCTION("""COMPUTED_VALUE"""),"cmckenney4g@ftc.gov")</f>
        <v>cmckenney4g@ftc.gov</v>
      </c>
      <c r="C162" s="6" t="str">
        <f>IFERROR(__xludf.DUMMYFUNCTION("""COMPUTED_VALUE"""),"China")</f>
        <v>China</v>
      </c>
      <c r="D162" s="6">
        <f>COUNTIFS('Raw Data Sales'!H162:H1160, LEFT(A162, FIND(" ",A162)-1), 'Raw Data Sales'!I162:I1160, MID(A162, FIND(" ",A162)+1, 100))</f>
        <v>1</v>
      </c>
      <c r="E162" s="6">
        <f>SUMIFS('Raw Data Sales'!M162:M1160, 'Raw Data Sales'!H162:H1160, LEFT(A162, FIND(" ",A162)-1), 'Raw Data Sales'!I162:I1160, MID(A162, FIND(" ",A162)+1, 100))</f>
        <v>52</v>
      </c>
      <c r="F162" s="6">
        <f>SUMIFS('Raw Data Sales'!N162:N1160, 'Raw Data Sales'!H162:H1160, LEFT(A162, FIND(" ",A162)-1), 'Raw Data Sales'!I162:I1160, MID(A162, FIND(" ",A162)+1, 100))</f>
        <v>7488.46</v>
      </c>
    </row>
    <row r="163">
      <c r="A163" s="6" t="str">
        <f>IFERROR(__xludf.DUMMYFUNCTION("UNIQUE('Raw Data Sales'!H163:H1161 &amp; "" "" &amp; 'Raw Data Sales'!I163:I1161)"),"Cleo Roelofsen")</f>
        <v>Cleo Roelofsen</v>
      </c>
      <c r="B163" s="6" t="str">
        <f>IFERROR(__xludf.DUMMYFUNCTION("""COMPUTED_VALUE"""),"croelofsen4h@hao123.com")</f>
        <v>croelofsen4h@hao123.com</v>
      </c>
      <c r="C163" s="6" t="str">
        <f>IFERROR(__xludf.DUMMYFUNCTION("""COMPUTED_VALUE"""),"Chile")</f>
        <v>Chile</v>
      </c>
      <c r="D163" s="6">
        <f>COUNTIFS('Raw Data Sales'!H163:H1161, LEFT(A163, FIND(" ",A163)-1), 'Raw Data Sales'!I163:I1161, MID(A163, FIND(" ",A163)+1, 100))</f>
        <v>1</v>
      </c>
      <c r="E163" s="6">
        <f>SUMIFS('Raw Data Sales'!M163:M1161, 'Raw Data Sales'!H163:H1161, LEFT(A163, FIND(" ",A163)-1), 'Raw Data Sales'!I163:I1161, MID(A163, FIND(" ",A163)+1, 100))</f>
        <v>40</v>
      </c>
      <c r="F163" s="6">
        <f>SUMIFS('Raw Data Sales'!N163:N1161, 'Raw Data Sales'!H163:H1161, LEFT(A163, FIND(" ",A163)-1), 'Raw Data Sales'!I163:I1161, MID(A163, FIND(" ",A163)+1, 100))</f>
        <v>7839.58</v>
      </c>
    </row>
    <row r="164">
      <c r="A164" s="6" t="str">
        <f>IFERROR(__xludf.DUMMYFUNCTION("UNIQUE('Raw Data Sales'!H164:H1162 &amp; "" "" &amp; 'Raw Data Sales'!I164:I1162)"),"Zaneta Dowsett")</f>
        <v>Zaneta Dowsett</v>
      </c>
      <c r="B164" s="6" t="str">
        <f>IFERROR(__xludf.DUMMYFUNCTION("""COMPUTED_VALUE"""),"zdowsett4i@myspace.com")</f>
        <v>zdowsett4i@myspace.com</v>
      </c>
      <c r="C164" s="6" t="str">
        <f>IFERROR(__xludf.DUMMYFUNCTION("""COMPUTED_VALUE"""),"China")</f>
        <v>China</v>
      </c>
      <c r="D164" s="6">
        <f>COUNTIFS('Raw Data Sales'!H164:H1162, LEFT(A164, FIND(" ",A164)-1), 'Raw Data Sales'!I164:I1162, MID(A164, FIND(" ",A164)+1, 100))</f>
        <v>1</v>
      </c>
      <c r="E164" s="6">
        <f>SUMIFS('Raw Data Sales'!M164:M1162, 'Raw Data Sales'!H164:H1162, LEFT(A164, FIND(" ",A164)-1), 'Raw Data Sales'!I164:I1162, MID(A164, FIND(" ",A164)+1, 100))</f>
        <v>55</v>
      </c>
      <c r="F164" s="6">
        <f>SUMIFS('Raw Data Sales'!N164:N1162, 'Raw Data Sales'!H164:H1162, LEFT(A164, FIND(" ",A164)-1), 'Raw Data Sales'!I164:I1162, MID(A164, FIND(" ",A164)+1, 100))</f>
        <v>2629.23</v>
      </c>
    </row>
    <row r="165">
      <c r="A165" s="6" t="str">
        <f>IFERROR(__xludf.DUMMYFUNCTION("UNIQUE('Raw Data Sales'!H165:H1163 &amp; "" "" &amp; 'Raw Data Sales'!I165:I1163)"),"Matti de la Tremoille")</f>
        <v>Matti de la Tremoille</v>
      </c>
      <c r="B165" s="6" t="str">
        <f>IFERROR(__xludf.DUMMYFUNCTION("""COMPUTED_VALUE"""),"mdelatremoille4j@yale.edu")</f>
        <v>mdelatremoille4j@yale.edu</v>
      </c>
      <c r="C165" s="6" t="str">
        <f>IFERROR(__xludf.DUMMYFUNCTION("""COMPUTED_VALUE"""),"Philippines")</f>
        <v>Philippines</v>
      </c>
      <c r="D165" s="6">
        <f>COUNTIFS('Raw Data Sales'!H165:H1163, LEFT(A165, FIND(" ",A165)-1), 'Raw Data Sales'!I165:I1163, MID(A165, FIND(" ",A165)+1, 100))</f>
        <v>1</v>
      </c>
      <c r="E165" s="6">
        <f>SUMIFS('Raw Data Sales'!M165:M1163, 'Raw Data Sales'!H165:H1163, LEFT(A165, FIND(" ",A165)-1), 'Raw Data Sales'!I165:I1163, MID(A165, FIND(" ",A165)+1, 100))</f>
        <v>62</v>
      </c>
      <c r="F165" s="6">
        <f>SUMIFS('Raw Data Sales'!N165:N1163, 'Raw Data Sales'!H165:H1163, LEFT(A165, FIND(" ",A165)-1), 'Raw Data Sales'!I165:I1163, MID(A165, FIND(" ",A165)+1, 100))</f>
        <v>1636.6</v>
      </c>
    </row>
    <row r="166">
      <c r="A166" s="6" t="str">
        <f>IFERROR(__xludf.DUMMYFUNCTION("UNIQUE('Raw Data Sales'!H166:H1164 &amp; "" "" &amp; 'Raw Data Sales'!I166:I1164)"),"Rochester Kemish")</f>
        <v>Rochester Kemish</v>
      </c>
      <c r="B166" s="6" t="str">
        <f>IFERROR(__xludf.DUMMYFUNCTION("""COMPUTED_VALUE"""),"rkemish4k@dion.ne.jp")</f>
        <v>rkemish4k@dion.ne.jp</v>
      </c>
      <c r="C166" s="6" t="str">
        <f>IFERROR(__xludf.DUMMYFUNCTION("""COMPUTED_VALUE"""),"Czech Republic")</f>
        <v>Czech Republic</v>
      </c>
      <c r="D166" s="6">
        <f>COUNTIFS('Raw Data Sales'!H166:H1164, LEFT(A166, FIND(" ",A166)-1), 'Raw Data Sales'!I166:I1164, MID(A166, FIND(" ",A166)+1, 100))</f>
        <v>1</v>
      </c>
      <c r="E166" s="6">
        <f>SUMIFS('Raw Data Sales'!M166:M1164, 'Raw Data Sales'!H166:H1164, LEFT(A166, FIND(" ",A166)-1), 'Raw Data Sales'!I166:I1164, MID(A166, FIND(" ",A166)+1, 100))</f>
        <v>2</v>
      </c>
      <c r="F166" s="6">
        <f>SUMIFS('Raw Data Sales'!N166:N1164, 'Raw Data Sales'!H166:H1164, LEFT(A166, FIND(" ",A166)-1), 'Raw Data Sales'!I166:I1164, MID(A166, FIND(" ",A166)+1, 100))</f>
        <v>2601.01</v>
      </c>
    </row>
    <row r="167">
      <c r="A167" s="6" t="str">
        <f>IFERROR(__xludf.DUMMYFUNCTION("UNIQUE('Raw Data Sales'!H167:H1165 &amp; "" "" &amp; 'Raw Data Sales'!I167:I1165)"),"Hunter Grinyov")</f>
        <v>Hunter Grinyov</v>
      </c>
      <c r="B167" s="6" t="str">
        <f>IFERROR(__xludf.DUMMYFUNCTION("""COMPUTED_VALUE"""),"hgrinyov4l@noaa.gov")</f>
        <v>hgrinyov4l@noaa.gov</v>
      </c>
      <c r="C167" s="6" t="str">
        <f>IFERROR(__xludf.DUMMYFUNCTION("""COMPUTED_VALUE"""),"Ukraine")</f>
        <v>Ukraine</v>
      </c>
      <c r="D167" s="6">
        <f>COUNTIFS('Raw Data Sales'!H167:H1165, LEFT(A167, FIND(" ",A167)-1), 'Raw Data Sales'!I167:I1165, MID(A167, FIND(" ",A167)+1, 100))</f>
        <v>1</v>
      </c>
      <c r="E167" s="6">
        <f>SUMIFS('Raw Data Sales'!M167:M1165, 'Raw Data Sales'!H167:H1165, LEFT(A167, FIND(" ",A167)-1), 'Raw Data Sales'!I167:I1165, MID(A167, FIND(" ",A167)+1, 100))</f>
        <v>54</v>
      </c>
      <c r="F167" s="6">
        <f>SUMIFS('Raw Data Sales'!N167:N1165, 'Raw Data Sales'!H167:H1165, LEFT(A167, FIND(" ",A167)-1), 'Raw Data Sales'!I167:I1165, MID(A167, FIND(" ",A167)+1, 100))</f>
        <v>2614.39</v>
      </c>
    </row>
    <row r="168">
      <c r="A168" s="6" t="str">
        <f>IFERROR(__xludf.DUMMYFUNCTION("UNIQUE('Raw Data Sales'!H168:H1166 &amp; "" "" &amp; 'Raw Data Sales'!I168:I1166)"),"Alyosha Yeliashev")</f>
        <v>Alyosha Yeliashev</v>
      </c>
      <c r="B168" s="6" t="str">
        <f>IFERROR(__xludf.DUMMYFUNCTION("""COMPUTED_VALUE"""),"ayeliashev4m@studiopress.com")</f>
        <v>ayeliashev4m@studiopress.com</v>
      </c>
      <c r="C168" s="6" t="str">
        <f>IFERROR(__xludf.DUMMYFUNCTION("""COMPUTED_VALUE"""),"Serbia")</f>
        <v>Serbia</v>
      </c>
      <c r="D168" s="6">
        <f>COUNTIFS('Raw Data Sales'!H168:H1166, LEFT(A168, FIND(" ",A168)-1), 'Raw Data Sales'!I168:I1166, MID(A168, FIND(" ",A168)+1, 100))</f>
        <v>1</v>
      </c>
      <c r="E168" s="6">
        <f>SUMIFS('Raw Data Sales'!M168:M1166, 'Raw Data Sales'!H168:H1166, LEFT(A168, FIND(" ",A168)-1), 'Raw Data Sales'!I168:I1166, MID(A168, FIND(" ",A168)+1, 100))</f>
        <v>58</v>
      </c>
      <c r="F168" s="6">
        <f>SUMIFS('Raw Data Sales'!N168:N1166, 'Raw Data Sales'!H168:H1166, LEFT(A168, FIND(" ",A168)-1), 'Raw Data Sales'!I168:I1166, MID(A168, FIND(" ",A168)+1, 100))</f>
        <v>4940.42</v>
      </c>
    </row>
    <row r="169">
      <c r="A169" s="6" t="str">
        <f>IFERROR(__xludf.DUMMYFUNCTION("UNIQUE('Raw Data Sales'!H169:H1167 &amp; "" "" &amp; 'Raw Data Sales'!I169:I1167)"),"Clint Vanacci")</f>
        <v>Clint Vanacci</v>
      </c>
      <c r="B169" s="6" t="str">
        <f>IFERROR(__xludf.DUMMYFUNCTION("""COMPUTED_VALUE"""),"cvanacci4n@ca.gov")</f>
        <v>cvanacci4n@ca.gov</v>
      </c>
      <c r="C169" s="6" t="str">
        <f>IFERROR(__xludf.DUMMYFUNCTION("""COMPUTED_VALUE"""),"China")</f>
        <v>China</v>
      </c>
      <c r="D169" s="6">
        <f>COUNTIFS('Raw Data Sales'!H169:H1167, LEFT(A169, FIND(" ",A169)-1), 'Raw Data Sales'!I169:I1167, MID(A169, FIND(" ",A169)+1, 100))</f>
        <v>1</v>
      </c>
      <c r="E169" s="6">
        <f>SUMIFS('Raw Data Sales'!M169:M1167, 'Raw Data Sales'!H169:H1167, LEFT(A169, FIND(" ",A169)-1), 'Raw Data Sales'!I169:I1167, MID(A169, FIND(" ",A169)+1, 100))</f>
        <v>48</v>
      </c>
      <c r="F169" s="6">
        <f>SUMIFS('Raw Data Sales'!N169:N1167, 'Raw Data Sales'!H169:H1167, LEFT(A169, FIND(" ",A169)-1), 'Raw Data Sales'!I169:I1167, MID(A169, FIND(" ",A169)+1, 100))</f>
        <v>762.74</v>
      </c>
    </row>
    <row r="170">
      <c r="A170" s="6" t="str">
        <f>IFERROR(__xludf.DUMMYFUNCTION("UNIQUE('Raw Data Sales'!H170:H1168 &amp; "" "" &amp; 'Raw Data Sales'!I170:I1168)"),"Bathsheba Oswick")</f>
        <v>Bathsheba Oswick</v>
      </c>
      <c r="B170" s="6" t="str">
        <f>IFERROR(__xludf.DUMMYFUNCTION("""COMPUTED_VALUE"""),"boswick4o@japanpost.jp")</f>
        <v>boswick4o@japanpost.jp</v>
      </c>
      <c r="C170" s="6" t="str">
        <f>IFERROR(__xludf.DUMMYFUNCTION("""COMPUTED_VALUE"""),"China")</f>
        <v>China</v>
      </c>
      <c r="D170" s="6">
        <f>COUNTIFS('Raw Data Sales'!H170:H1168, LEFT(A170, FIND(" ",A170)-1), 'Raw Data Sales'!I170:I1168, MID(A170, FIND(" ",A170)+1, 100))</f>
        <v>1</v>
      </c>
      <c r="E170" s="6">
        <f>SUMIFS('Raw Data Sales'!M170:M1168, 'Raw Data Sales'!H170:H1168, LEFT(A170, FIND(" ",A170)-1), 'Raw Data Sales'!I170:I1168, MID(A170, FIND(" ",A170)+1, 100))</f>
        <v>2</v>
      </c>
      <c r="F170" s="6">
        <f>SUMIFS('Raw Data Sales'!N170:N1168, 'Raw Data Sales'!H170:H1168, LEFT(A170, FIND(" ",A170)-1), 'Raw Data Sales'!I170:I1168, MID(A170, FIND(" ",A170)+1, 100))</f>
        <v>2284.63</v>
      </c>
    </row>
    <row r="171">
      <c r="A171" s="6" t="str">
        <f>IFERROR(__xludf.DUMMYFUNCTION("UNIQUE('Raw Data Sales'!H171:H1169 &amp; "" "" &amp; 'Raw Data Sales'!I171:I1169)"),"Lanny Leary")</f>
        <v>Lanny Leary</v>
      </c>
      <c r="B171" s="6" t="str">
        <f>IFERROR(__xludf.DUMMYFUNCTION("""COMPUTED_VALUE"""),"lleary4p@smugmug.com")</f>
        <v>lleary4p@smugmug.com</v>
      </c>
      <c r="C171" s="6" t="str">
        <f>IFERROR(__xludf.DUMMYFUNCTION("""COMPUTED_VALUE"""),"United States")</f>
        <v>United States</v>
      </c>
      <c r="D171" s="6">
        <f>COUNTIFS('Raw Data Sales'!H171:H1169, LEFT(A171, FIND(" ",A171)-1), 'Raw Data Sales'!I171:I1169, MID(A171, FIND(" ",A171)+1, 100))</f>
        <v>1</v>
      </c>
      <c r="E171" s="6">
        <f>SUMIFS('Raw Data Sales'!M171:M1169, 'Raw Data Sales'!H171:H1169, LEFT(A171, FIND(" ",A171)-1), 'Raw Data Sales'!I171:I1169, MID(A171, FIND(" ",A171)+1, 100))</f>
        <v>11</v>
      </c>
      <c r="F171" s="6">
        <f>SUMIFS('Raw Data Sales'!N171:N1169, 'Raw Data Sales'!H171:H1169, LEFT(A171, FIND(" ",A171)-1), 'Raw Data Sales'!I171:I1169, MID(A171, FIND(" ",A171)+1, 100))</f>
        <v>7733.2</v>
      </c>
    </row>
    <row r="172">
      <c r="A172" s="6" t="str">
        <f>IFERROR(__xludf.DUMMYFUNCTION("UNIQUE('Raw Data Sales'!H172:H1170 &amp; "" "" &amp; 'Raw Data Sales'!I172:I1170)"),"Robinet Massen")</f>
        <v>Robinet Massen</v>
      </c>
      <c r="B172" s="6" t="str">
        <f>IFERROR(__xludf.DUMMYFUNCTION("""COMPUTED_VALUE"""),"rmassen4q@arizona.edu")</f>
        <v>rmassen4q@arizona.edu</v>
      </c>
      <c r="C172" s="6" t="str">
        <f>IFERROR(__xludf.DUMMYFUNCTION("""COMPUTED_VALUE"""),"China")</f>
        <v>China</v>
      </c>
      <c r="D172" s="6">
        <f>COUNTIFS('Raw Data Sales'!H172:H1170, LEFT(A172, FIND(" ",A172)-1), 'Raw Data Sales'!I172:I1170, MID(A172, FIND(" ",A172)+1, 100))</f>
        <v>1</v>
      </c>
      <c r="E172" s="6">
        <f>SUMIFS('Raw Data Sales'!M172:M1170, 'Raw Data Sales'!H172:H1170, LEFT(A172, FIND(" ",A172)-1), 'Raw Data Sales'!I172:I1170, MID(A172, FIND(" ",A172)+1, 100))</f>
        <v>71</v>
      </c>
      <c r="F172" s="6">
        <f>SUMIFS('Raw Data Sales'!N172:N1170, 'Raw Data Sales'!H172:H1170, LEFT(A172, FIND(" ",A172)-1), 'Raw Data Sales'!I172:I1170, MID(A172, FIND(" ",A172)+1, 100))</f>
        <v>9115.95</v>
      </c>
    </row>
    <row r="173">
      <c r="A173" s="6" t="str">
        <f>IFERROR(__xludf.DUMMYFUNCTION("UNIQUE('Raw Data Sales'!H173:H1171 &amp; "" "" &amp; 'Raw Data Sales'!I173:I1171)"),"Jamie Twydell")</f>
        <v>Jamie Twydell</v>
      </c>
      <c r="B173" s="6" t="str">
        <f>IFERROR(__xludf.DUMMYFUNCTION("""COMPUTED_VALUE"""),"jtwydell4r@sphinn.com")</f>
        <v>jtwydell4r@sphinn.com</v>
      </c>
      <c r="C173" s="6" t="str">
        <f>IFERROR(__xludf.DUMMYFUNCTION("""COMPUTED_VALUE"""),"China")</f>
        <v>China</v>
      </c>
      <c r="D173" s="6">
        <f>COUNTIFS('Raw Data Sales'!H173:H1171, LEFT(A173, FIND(" ",A173)-1), 'Raw Data Sales'!I173:I1171, MID(A173, FIND(" ",A173)+1, 100))</f>
        <v>1</v>
      </c>
      <c r="E173" s="6">
        <f>SUMIFS('Raw Data Sales'!M173:M1171, 'Raw Data Sales'!H173:H1171, LEFT(A173, FIND(" ",A173)-1), 'Raw Data Sales'!I173:I1171, MID(A173, FIND(" ",A173)+1, 100))</f>
        <v>50</v>
      </c>
      <c r="F173" s="6">
        <f>SUMIFS('Raw Data Sales'!N173:N1171, 'Raw Data Sales'!H173:H1171, LEFT(A173, FIND(" ",A173)-1), 'Raw Data Sales'!I173:I1171, MID(A173, FIND(" ",A173)+1, 100))</f>
        <v>5184.57</v>
      </c>
    </row>
    <row r="174">
      <c r="A174" s="6" t="str">
        <f>IFERROR(__xludf.DUMMYFUNCTION("UNIQUE('Raw Data Sales'!H174:H1172 &amp; "" "" &amp; 'Raw Data Sales'!I174:I1172)"),"Marya Binden")</f>
        <v>Marya Binden</v>
      </c>
      <c r="B174" s="6" t="str">
        <f>IFERROR(__xludf.DUMMYFUNCTION("""COMPUTED_VALUE"""),"mbinden4s@prnewswire.com")</f>
        <v>mbinden4s@prnewswire.com</v>
      </c>
      <c r="C174" s="6" t="str">
        <f>IFERROR(__xludf.DUMMYFUNCTION("""COMPUTED_VALUE"""),"Palestinian Territory")</f>
        <v>Palestinian Territory</v>
      </c>
      <c r="D174" s="6">
        <f>COUNTIFS('Raw Data Sales'!H174:H1172, LEFT(A174, FIND(" ",A174)-1), 'Raw Data Sales'!I174:I1172, MID(A174, FIND(" ",A174)+1, 100))</f>
        <v>1</v>
      </c>
      <c r="E174" s="6">
        <f>SUMIFS('Raw Data Sales'!M174:M1172, 'Raw Data Sales'!H174:H1172, LEFT(A174, FIND(" ",A174)-1), 'Raw Data Sales'!I174:I1172, MID(A174, FIND(" ",A174)+1, 100))</f>
        <v>44</v>
      </c>
      <c r="F174" s="6">
        <f>SUMIFS('Raw Data Sales'!N174:N1172, 'Raw Data Sales'!H174:H1172, LEFT(A174, FIND(" ",A174)-1), 'Raw Data Sales'!I174:I1172, MID(A174, FIND(" ",A174)+1, 100))</f>
        <v>33.25</v>
      </c>
    </row>
    <row r="175">
      <c r="A175" s="6" t="str">
        <f>IFERROR(__xludf.DUMMYFUNCTION("UNIQUE('Raw Data Sales'!H175:H1173 &amp; "" "" &amp; 'Raw Data Sales'!I175:I1173)"),"Martguerita Kinnoch")</f>
        <v>Martguerita Kinnoch</v>
      </c>
      <c r="B175" s="6" t="str">
        <f>IFERROR(__xludf.DUMMYFUNCTION("""COMPUTED_VALUE"""),"mkinnoch4t@sina.com.cn")</f>
        <v>mkinnoch4t@sina.com.cn</v>
      </c>
      <c r="C175" s="6" t="str">
        <f>IFERROR(__xludf.DUMMYFUNCTION("""COMPUTED_VALUE"""),"Montenegro")</f>
        <v>Montenegro</v>
      </c>
      <c r="D175" s="6">
        <f>COUNTIFS('Raw Data Sales'!H175:H1173, LEFT(A175, FIND(" ",A175)-1), 'Raw Data Sales'!I175:I1173, MID(A175, FIND(" ",A175)+1, 100))</f>
        <v>1</v>
      </c>
      <c r="E175" s="6">
        <f>SUMIFS('Raw Data Sales'!M175:M1173, 'Raw Data Sales'!H175:H1173, LEFT(A175, FIND(" ",A175)-1), 'Raw Data Sales'!I175:I1173, MID(A175, FIND(" ",A175)+1, 100))</f>
        <v>22</v>
      </c>
      <c r="F175" s="6">
        <f>SUMIFS('Raw Data Sales'!N175:N1173, 'Raw Data Sales'!H175:H1173, LEFT(A175, FIND(" ",A175)-1), 'Raw Data Sales'!I175:I1173, MID(A175, FIND(" ",A175)+1, 100))</f>
        <v>9999.6</v>
      </c>
    </row>
    <row r="176">
      <c r="A176" s="6" t="str">
        <f>IFERROR(__xludf.DUMMYFUNCTION("UNIQUE('Raw Data Sales'!H176:H1174 &amp; "" "" &amp; 'Raw Data Sales'!I176:I1174)"),"Kimberly Baleine")</f>
        <v>Kimberly Baleine</v>
      </c>
      <c r="B176" s="6" t="str">
        <f>IFERROR(__xludf.DUMMYFUNCTION("""COMPUTED_VALUE"""),"kbaleine4u@aboutads.info")</f>
        <v>kbaleine4u@aboutads.info</v>
      </c>
      <c r="C176" s="6" t="str">
        <f>IFERROR(__xludf.DUMMYFUNCTION("""COMPUTED_VALUE"""),"Somalia")</f>
        <v>Somalia</v>
      </c>
      <c r="D176" s="6">
        <f>COUNTIFS('Raw Data Sales'!H176:H1174, LEFT(A176, FIND(" ",A176)-1), 'Raw Data Sales'!I176:I1174, MID(A176, FIND(" ",A176)+1, 100))</f>
        <v>1</v>
      </c>
      <c r="E176" s="6">
        <f>SUMIFS('Raw Data Sales'!M176:M1174, 'Raw Data Sales'!H176:H1174, LEFT(A176, FIND(" ",A176)-1), 'Raw Data Sales'!I176:I1174, MID(A176, FIND(" ",A176)+1, 100))</f>
        <v>71</v>
      </c>
      <c r="F176" s="6">
        <f>SUMIFS('Raw Data Sales'!N176:N1174, 'Raw Data Sales'!H176:H1174, LEFT(A176, FIND(" ",A176)-1), 'Raw Data Sales'!I176:I1174, MID(A176, FIND(" ",A176)+1, 100))</f>
        <v>6777.3</v>
      </c>
    </row>
    <row r="177">
      <c r="A177" s="6" t="str">
        <f>IFERROR(__xludf.DUMMYFUNCTION("UNIQUE('Raw Data Sales'!H177:H1175 &amp; "" "" &amp; 'Raw Data Sales'!I177:I1175)"),"Josi Sybbe")</f>
        <v>Josi Sybbe</v>
      </c>
      <c r="B177" s="6" t="str">
        <f>IFERROR(__xludf.DUMMYFUNCTION("""COMPUTED_VALUE"""),"jsybbe4v@yahoo.co.jp")</f>
        <v>jsybbe4v@yahoo.co.jp</v>
      </c>
      <c r="C177" s="6" t="str">
        <f>IFERROR(__xludf.DUMMYFUNCTION("""COMPUTED_VALUE"""),"Sweden")</f>
        <v>Sweden</v>
      </c>
      <c r="D177" s="6">
        <f>COUNTIFS('Raw Data Sales'!H177:H1175, LEFT(A177, FIND(" ",A177)-1), 'Raw Data Sales'!I177:I1175, MID(A177, FIND(" ",A177)+1, 100))</f>
        <v>1</v>
      </c>
      <c r="E177" s="6">
        <f>SUMIFS('Raw Data Sales'!M177:M1175, 'Raw Data Sales'!H177:H1175, LEFT(A177, FIND(" ",A177)-1), 'Raw Data Sales'!I177:I1175, MID(A177, FIND(" ",A177)+1, 100))</f>
        <v>22</v>
      </c>
      <c r="F177" s="6">
        <f>SUMIFS('Raw Data Sales'!N177:N1175, 'Raw Data Sales'!H177:H1175, LEFT(A177, FIND(" ",A177)-1), 'Raw Data Sales'!I177:I1175, MID(A177, FIND(" ",A177)+1, 100))</f>
        <v>7147.62</v>
      </c>
    </row>
    <row r="178">
      <c r="A178" s="6" t="str">
        <f>IFERROR(__xludf.DUMMYFUNCTION("UNIQUE('Raw Data Sales'!H178:H1176 &amp; "" "" &amp; 'Raw Data Sales'!I178:I1176)"),"Darsie Lavrick")</f>
        <v>Darsie Lavrick</v>
      </c>
      <c r="B178" s="6" t="str">
        <f>IFERROR(__xludf.DUMMYFUNCTION("""COMPUTED_VALUE"""),"dlavrick4w@yahoo.com")</f>
        <v>dlavrick4w@yahoo.com</v>
      </c>
      <c r="C178" s="6" t="str">
        <f>IFERROR(__xludf.DUMMYFUNCTION("""COMPUTED_VALUE"""),"China")</f>
        <v>China</v>
      </c>
      <c r="D178" s="6">
        <f>COUNTIFS('Raw Data Sales'!H178:H1176, LEFT(A178, FIND(" ",A178)-1), 'Raw Data Sales'!I178:I1176, MID(A178, FIND(" ",A178)+1, 100))</f>
        <v>1</v>
      </c>
      <c r="E178" s="6">
        <f>SUMIFS('Raw Data Sales'!M178:M1176, 'Raw Data Sales'!H178:H1176, LEFT(A178, FIND(" ",A178)-1), 'Raw Data Sales'!I178:I1176, MID(A178, FIND(" ",A178)+1, 100))</f>
        <v>27</v>
      </c>
      <c r="F178" s="6">
        <f>SUMIFS('Raw Data Sales'!N178:N1176, 'Raw Data Sales'!H178:H1176, LEFT(A178, FIND(" ",A178)-1), 'Raw Data Sales'!I178:I1176, MID(A178, FIND(" ",A178)+1, 100))</f>
        <v>7090.93</v>
      </c>
    </row>
    <row r="179">
      <c r="A179" s="6" t="str">
        <f>IFERROR(__xludf.DUMMYFUNCTION("UNIQUE('Raw Data Sales'!H179:H1177 &amp; "" "" &amp; 'Raw Data Sales'!I179:I1177)"),"Meredeth Covendon")</f>
        <v>Meredeth Covendon</v>
      </c>
      <c r="B179" s="6" t="str">
        <f>IFERROR(__xludf.DUMMYFUNCTION("""COMPUTED_VALUE"""),"mcovendon4x@wordpress.org")</f>
        <v>mcovendon4x@wordpress.org</v>
      </c>
      <c r="C179" s="6" t="str">
        <f>IFERROR(__xludf.DUMMYFUNCTION("""COMPUTED_VALUE"""),"Indonesia")</f>
        <v>Indonesia</v>
      </c>
      <c r="D179" s="6">
        <f>COUNTIFS('Raw Data Sales'!H179:H1177, LEFT(A179, FIND(" ",A179)-1), 'Raw Data Sales'!I179:I1177, MID(A179, FIND(" ",A179)+1, 100))</f>
        <v>1</v>
      </c>
      <c r="E179" s="6">
        <f>SUMIFS('Raw Data Sales'!M179:M1177, 'Raw Data Sales'!H179:H1177, LEFT(A179, FIND(" ",A179)-1), 'Raw Data Sales'!I179:I1177, MID(A179, FIND(" ",A179)+1, 100))</f>
        <v>89</v>
      </c>
      <c r="F179" s="6">
        <f>SUMIFS('Raw Data Sales'!N179:N1177, 'Raw Data Sales'!H179:H1177, LEFT(A179, FIND(" ",A179)-1), 'Raw Data Sales'!I179:I1177, MID(A179, FIND(" ",A179)+1, 100))</f>
        <v>7684.01</v>
      </c>
    </row>
    <row r="180">
      <c r="A180" s="6" t="str">
        <f>IFERROR(__xludf.DUMMYFUNCTION("UNIQUE('Raw Data Sales'!H180:H1178 &amp; "" "" &amp; 'Raw Data Sales'!I180:I1178)"),"Trueman Morcom")</f>
        <v>Trueman Morcom</v>
      </c>
      <c r="B180" s="6" t="str">
        <f>IFERROR(__xludf.DUMMYFUNCTION("""COMPUTED_VALUE"""),"tmorcom4y@nasa.gov")</f>
        <v>tmorcom4y@nasa.gov</v>
      </c>
      <c r="C180" s="6" t="str">
        <f>IFERROR(__xludf.DUMMYFUNCTION("""COMPUTED_VALUE"""),"Brazil")</f>
        <v>Brazil</v>
      </c>
      <c r="D180" s="6">
        <f>COUNTIFS('Raw Data Sales'!H180:H1178, LEFT(A180, FIND(" ",A180)-1), 'Raw Data Sales'!I180:I1178, MID(A180, FIND(" ",A180)+1, 100))</f>
        <v>1</v>
      </c>
      <c r="E180" s="6">
        <f>SUMIFS('Raw Data Sales'!M180:M1178, 'Raw Data Sales'!H180:H1178, LEFT(A180, FIND(" ",A180)-1), 'Raw Data Sales'!I180:I1178, MID(A180, FIND(" ",A180)+1, 100))</f>
        <v>20</v>
      </c>
      <c r="F180" s="6">
        <f>SUMIFS('Raw Data Sales'!N180:N1178, 'Raw Data Sales'!H180:H1178, LEFT(A180, FIND(" ",A180)-1), 'Raw Data Sales'!I180:I1178, MID(A180, FIND(" ",A180)+1, 100))</f>
        <v>5341.59</v>
      </c>
    </row>
    <row r="181">
      <c r="A181" s="6" t="str">
        <f>IFERROR(__xludf.DUMMYFUNCTION("UNIQUE('Raw Data Sales'!H181:H1179 &amp; "" "" &amp; 'Raw Data Sales'!I181:I1179)"),"Burtie Westmerland")</f>
        <v>Burtie Westmerland</v>
      </c>
      <c r="B181" s="6" t="str">
        <f>IFERROR(__xludf.DUMMYFUNCTION("""COMPUTED_VALUE"""),"bwestmerland4z@fotki.com")</f>
        <v>bwestmerland4z@fotki.com</v>
      </c>
      <c r="C181" s="6" t="str">
        <f>IFERROR(__xludf.DUMMYFUNCTION("""COMPUTED_VALUE"""),"Niger")</f>
        <v>Niger</v>
      </c>
      <c r="D181" s="6">
        <f>COUNTIFS('Raw Data Sales'!H181:H1179, LEFT(A181, FIND(" ",A181)-1), 'Raw Data Sales'!I181:I1179, MID(A181, FIND(" ",A181)+1, 100))</f>
        <v>1</v>
      </c>
      <c r="E181" s="6">
        <f>SUMIFS('Raw Data Sales'!M181:M1179, 'Raw Data Sales'!H181:H1179, LEFT(A181, FIND(" ",A181)-1), 'Raw Data Sales'!I181:I1179, MID(A181, FIND(" ",A181)+1, 100))</f>
        <v>43</v>
      </c>
      <c r="F181" s="6">
        <f>SUMIFS('Raw Data Sales'!N181:N1179, 'Raw Data Sales'!H181:H1179, LEFT(A181, FIND(" ",A181)-1), 'Raw Data Sales'!I181:I1179, MID(A181, FIND(" ",A181)+1, 100))</f>
        <v>532.61</v>
      </c>
    </row>
    <row r="182">
      <c r="A182" s="6" t="str">
        <f>IFERROR(__xludf.DUMMYFUNCTION("UNIQUE('Raw Data Sales'!H182:H1180 &amp; "" "" &amp; 'Raw Data Sales'!I182:I1180)"),"Davie Reijmers")</f>
        <v>Davie Reijmers</v>
      </c>
      <c r="B182" s="6" t="str">
        <f>IFERROR(__xludf.DUMMYFUNCTION("""COMPUTED_VALUE"""),"dreijmers50@youtu.be")</f>
        <v>dreijmers50@youtu.be</v>
      </c>
      <c r="C182" s="6" t="str">
        <f>IFERROR(__xludf.DUMMYFUNCTION("""COMPUTED_VALUE"""),"Syria")</f>
        <v>Syria</v>
      </c>
      <c r="D182" s="6">
        <f>COUNTIFS('Raw Data Sales'!H182:H1180, LEFT(A182, FIND(" ",A182)-1), 'Raw Data Sales'!I182:I1180, MID(A182, FIND(" ",A182)+1, 100))</f>
        <v>1</v>
      </c>
      <c r="E182" s="6">
        <f>SUMIFS('Raw Data Sales'!M182:M1180, 'Raw Data Sales'!H182:H1180, LEFT(A182, FIND(" ",A182)-1), 'Raw Data Sales'!I182:I1180, MID(A182, FIND(" ",A182)+1, 100))</f>
        <v>85</v>
      </c>
      <c r="F182" s="6">
        <f>SUMIFS('Raw Data Sales'!N182:N1180, 'Raw Data Sales'!H182:H1180, LEFT(A182, FIND(" ",A182)-1), 'Raw Data Sales'!I182:I1180, MID(A182, FIND(" ",A182)+1, 100))</f>
        <v>6448.87</v>
      </c>
    </row>
    <row r="183">
      <c r="A183" s="6" t="str">
        <f>IFERROR(__xludf.DUMMYFUNCTION("UNIQUE('Raw Data Sales'!H183:H1181 &amp; "" "" &amp; 'Raw Data Sales'!I183:I1181)"),"Kaitlyn Benka")</f>
        <v>Kaitlyn Benka</v>
      </c>
      <c r="B183" s="6" t="str">
        <f>IFERROR(__xludf.DUMMYFUNCTION("""COMPUTED_VALUE"""),"kbenka51@barnesandnoble.com")</f>
        <v>kbenka51@barnesandnoble.com</v>
      </c>
      <c r="C183" s="6" t="str">
        <f>IFERROR(__xludf.DUMMYFUNCTION("""COMPUTED_VALUE"""),"Nigeria")</f>
        <v>Nigeria</v>
      </c>
      <c r="D183" s="6">
        <f>COUNTIFS('Raw Data Sales'!H183:H1181, LEFT(A183, FIND(" ",A183)-1), 'Raw Data Sales'!I183:I1181, MID(A183, FIND(" ",A183)+1, 100))</f>
        <v>1</v>
      </c>
      <c r="E183" s="6">
        <f>SUMIFS('Raw Data Sales'!M183:M1181, 'Raw Data Sales'!H183:H1181, LEFT(A183, FIND(" ",A183)-1), 'Raw Data Sales'!I183:I1181, MID(A183, FIND(" ",A183)+1, 100))</f>
        <v>64</v>
      </c>
      <c r="F183" s="6">
        <f>SUMIFS('Raw Data Sales'!N183:N1181, 'Raw Data Sales'!H183:H1181, LEFT(A183, FIND(" ",A183)-1), 'Raw Data Sales'!I183:I1181, MID(A183, FIND(" ",A183)+1, 100))</f>
        <v>1598.94</v>
      </c>
    </row>
    <row r="184">
      <c r="A184" s="6" t="str">
        <f>IFERROR(__xludf.DUMMYFUNCTION("UNIQUE('Raw Data Sales'!H184:H1182 &amp; "" "" &amp; 'Raw Data Sales'!I184:I1182)"),"Jesselyn McGrorty")</f>
        <v>Jesselyn McGrorty</v>
      </c>
      <c r="B184" s="6" t="str">
        <f>IFERROR(__xludf.DUMMYFUNCTION("""COMPUTED_VALUE"""),"jmcgrorty52@free.fr")</f>
        <v>jmcgrorty52@free.fr</v>
      </c>
      <c r="C184" s="6" t="str">
        <f>IFERROR(__xludf.DUMMYFUNCTION("""COMPUTED_VALUE"""),"Ukraine")</f>
        <v>Ukraine</v>
      </c>
      <c r="D184" s="6">
        <f>COUNTIFS('Raw Data Sales'!H184:H1182, LEFT(A184, FIND(" ",A184)-1), 'Raw Data Sales'!I184:I1182, MID(A184, FIND(" ",A184)+1, 100))</f>
        <v>1</v>
      </c>
      <c r="E184" s="6">
        <f>SUMIFS('Raw Data Sales'!M184:M1182, 'Raw Data Sales'!H184:H1182, LEFT(A184, FIND(" ",A184)-1), 'Raw Data Sales'!I184:I1182, MID(A184, FIND(" ",A184)+1, 100))</f>
        <v>3</v>
      </c>
      <c r="F184" s="6">
        <f>SUMIFS('Raw Data Sales'!N184:N1182, 'Raw Data Sales'!H184:H1182, LEFT(A184, FIND(" ",A184)-1), 'Raw Data Sales'!I184:I1182, MID(A184, FIND(" ",A184)+1, 100))</f>
        <v>5067.2</v>
      </c>
    </row>
    <row r="185">
      <c r="A185" s="6" t="str">
        <f>IFERROR(__xludf.DUMMYFUNCTION("UNIQUE('Raw Data Sales'!H185:H1183 &amp; "" "" &amp; 'Raw Data Sales'!I185:I1183)"),"Teodora Beton")</f>
        <v>Teodora Beton</v>
      </c>
      <c r="B185" s="6" t="str">
        <f>IFERROR(__xludf.DUMMYFUNCTION("""COMPUTED_VALUE"""),"tbeton53@java.com")</f>
        <v>tbeton53@java.com</v>
      </c>
      <c r="C185" s="6" t="str">
        <f>IFERROR(__xludf.DUMMYFUNCTION("""COMPUTED_VALUE"""),"Canada")</f>
        <v>Canada</v>
      </c>
      <c r="D185" s="6">
        <f>COUNTIFS('Raw Data Sales'!H185:H1183, LEFT(A185, FIND(" ",A185)-1), 'Raw Data Sales'!I185:I1183, MID(A185, FIND(" ",A185)+1, 100))</f>
        <v>1</v>
      </c>
      <c r="E185" s="6">
        <f>SUMIFS('Raw Data Sales'!M185:M1183, 'Raw Data Sales'!H185:H1183, LEFT(A185, FIND(" ",A185)-1), 'Raw Data Sales'!I185:I1183, MID(A185, FIND(" ",A185)+1, 100))</f>
        <v>64</v>
      </c>
      <c r="F185" s="6">
        <f>SUMIFS('Raw Data Sales'!N185:N1183, 'Raw Data Sales'!H185:H1183, LEFT(A185, FIND(" ",A185)-1), 'Raw Data Sales'!I185:I1183, MID(A185, FIND(" ",A185)+1, 100))</f>
        <v>1034.81</v>
      </c>
    </row>
    <row r="186">
      <c r="A186" s="6" t="str">
        <f>IFERROR(__xludf.DUMMYFUNCTION("UNIQUE('Raw Data Sales'!H186:H1184 &amp; "" "" &amp; 'Raw Data Sales'!I186:I1184)"),"Myrah Emm")</f>
        <v>Myrah Emm</v>
      </c>
      <c r="B186" s="6" t="str">
        <f>IFERROR(__xludf.DUMMYFUNCTION("""COMPUTED_VALUE"""),"memm54@vistaprint.com")</f>
        <v>memm54@vistaprint.com</v>
      </c>
      <c r="C186" s="6" t="str">
        <f>IFERROR(__xludf.DUMMYFUNCTION("""COMPUTED_VALUE"""),"Thailand")</f>
        <v>Thailand</v>
      </c>
      <c r="D186" s="6">
        <f>COUNTIFS('Raw Data Sales'!H186:H1184, LEFT(A186, FIND(" ",A186)-1), 'Raw Data Sales'!I186:I1184, MID(A186, FIND(" ",A186)+1, 100))</f>
        <v>1</v>
      </c>
      <c r="E186" s="6">
        <f>SUMIFS('Raw Data Sales'!M186:M1184, 'Raw Data Sales'!H186:H1184, LEFT(A186, FIND(" ",A186)-1), 'Raw Data Sales'!I186:I1184, MID(A186, FIND(" ",A186)+1, 100))</f>
        <v>11</v>
      </c>
      <c r="F186" s="6">
        <f>SUMIFS('Raw Data Sales'!N186:N1184, 'Raw Data Sales'!H186:H1184, LEFT(A186, FIND(" ",A186)-1), 'Raw Data Sales'!I186:I1184, MID(A186, FIND(" ",A186)+1, 100))</f>
        <v>1587.37</v>
      </c>
    </row>
    <row r="187">
      <c r="A187" s="6" t="str">
        <f>IFERROR(__xludf.DUMMYFUNCTION("UNIQUE('Raw Data Sales'!H187:H1185 &amp; "" "" &amp; 'Raw Data Sales'!I187:I1185)"),"Binni Bendin")</f>
        <v>Binni Bendin</v>
      </c>
      <c r="B187" s="6" t="str">
        <f>IFERROR(__xludf.DUMMYFUNCTION("""COMPUTED_VALUE"""),"bbendin55@usgs.gov")</f>
        <v>bbendin55@usgs.gov</v>
      </c>
      <c r="C187" s="6" t="str">
        <f>IFERROR(__xludf.DUMMYFUNCTION("""COMPUTED_VALUE"""),"Brazil")</f>
        <v>Brazil</v>
      </c>
      <c r="D187" s="6">
        <f>COUNTIFS('Raw Data Sales'!H187:H1185, LEFT(A187, FIND(" ",A187)-1), 'Raw Data Sales'!I187:I1185, MID(A187, FIND(" ",A187)+1, 100))</f>
        <v>1</v>
      </c>
      <c r="E187" s="6">
        <f>SUMIFS('Raw Data Sales'!M187:M1185, 'Raw Data Sales'!H187:H1185, LEFT(A187, FIND(" ",A187)-1), 'Raw Data Sales'!I187:I1185, MID(A187, FIND(" ",A187)+1, 100))</f>
        <v>13</v>
      </c>
      <c r="F187" s="6">
        <f>SUMIFS('Raw Data Sales'!N187:N1185, 'Raw Data Sales'!H187:H1185, LEFT(A187, FIND(" ",A187)-1), 'Raw Data Sales'!I187:I1185, MID(A187, FIND(" ",A187)+1, 100))</f>
        <v>6629.23</v>
      </c>
    </row>
    <row r="188">
      <c r="A188" s="6" t="str">
        <f>IFERROR(__xludf.DUMMYFUNCTION("UNIQUE('Raw Data Sales'!H188:H1186 &amp; "" "" &amp; 'Raw Data Sales'!I188:I1186)"),"Berty Risen")</f>
        <v>Berty Risen</v>
      </c>
      <c r="B188" s="6" t="str">
        <f>IFERROR(__xludf.DUMMYFUNCTION("""COMPUTED_VALUE"""),"brisen56@over-blog.com")</f>
        <v>brisen56@over-blog.com</v>
      </c>
      <c r="C188" s="6" t="str">
        <f>IFERROR(__xludf.DUMMYFUNCTION("""COMPUTED_VALUE"""),"Indonesia")</f>
        <v>Indonesia</v>
      </c>
      <c r="D188" s="6">
        <f>COUNTIFS('Raw Data Sales'!H188:H1186, LEFT(A188, FIND(" ",A188)-1), 'Raw Data Sales'!I188:I1186, MID(A188, FIND(" ",A188)+1, 100))</f>
        <v>1</v>
      </c>
      <c r="E188" s="6">
        <f>SUMIFS('Raw Data Sales'!M188:M1186, 'Raw Data Sales'!H188:H1186, LEFT(A188, FIND(" ",A188)-1), 'Raw Data Sales'!I188:I1186, MID(A188, FIND(" ",A188)+1, 100))</f>
        <v>31</v>
      </c>
      <c r="F188" s="6">
        <f>SUMIFS('Raw Data Sales'!N188:N1186, 'Raw Data Sales'!H188:H1186, LEFT(A188, FIND(" ",A188)-1), 'Raw Data Sales'!I188:I1186, MID(A188, FIND(" ",A188)+1, 100))</f>
        <v>5190.72</v>
      </c>
    </row>
    <row r="189">
      <c r="A189" s="6" t="str">
        <f>IFERROR(__xludf.DUMMYFUNCTION("UNIQUE('Raw Data Sales'!H189:H1187 &amp; "" "" &amp; 'Raw Data Sales'!I189:I1187)"),"Constance Woodyatt")</f>
        <v>Constance Woodyatt</v>
      </c>
      <c r="B189" s="6" t="str">
        <f>IFERROR(__xludf.DUMMYFUNCTION("""COMPUTED_VALUE"""),"cwoodyatt57@netlog.com")</f>
        <v>cwoodyatt57@netlog.com</v>
      </c>
      <c r="C189" s="6" t="str">
        <f>IFERROR(__xludf.DUMMYFUNCTION("""COMPUTED_VALUE"""),"Portugal")</f>
        <v>Portugal</v>
      </c>
      <c r="D189" s="6">
        <f>COUNTIFS('Raw Data Sales'!H189:H1187, LEFT(A189, FIND(" ",A189)-1), 'Raw Data Sales'!I189:I1187, MID(A189, FIND(" ",A189)+1, 100))</f>
        <v>1</v>
      </c>
      <c r="E189" s="6">
        <f>SUMIFS('Raw Data Sales'!M189:M1187, 'Raw Data Sales'!H189:H1187, LEFT(A189, FIND(" ",A189)-1), 'Raw Data Sales'!I189:I1187, MID(A189, FIND(" ",A189)+1, 100))</f>
        <v>12</v>
      </c>
      <c r="F189" s="6">
        <f>SUMIFS('Raw Data Sales'!N189:N1187, 'Raw Data Sales'!H189:H1187, LEFT(A189, FIND(" ",A189)-1), 'Raw Data Sales'!I189:I1187, MID(A189, FIND(" ",A189)+1, 100))</f>
        <v>5470.04</v>
      </c>
    </row>
    <row r="190">
      <c r="A190" s="6" t="str">
        <f>IFERROR(__xludf.DUMMYFUNCTION("UNIQUE('Raw Data Sales'!H190:H1188 &amp; "" "" &amp; 'Raw Data Sales'!I190:I1188)"),"Della Hercock")</f>
        <v>Della Hercock</v>
      </c>
      <c r="B190" s="6" t="str">
        <f>IFERROR(__xludf.DUMMYFUNCTION("""COMPUTED_VALUE"""),"dhercock58@4shared.com")</f>
        <v>dhercock58@4shared.com</v>
      </c>
      <c r="C190" s="6" t="str">
        <f>IFERROR(__xludf.DUMMYFUNCTION("""COMPUTED_VALUE"""),"China")</f>
        <v>China</v>
      </c>
      <c r="D190" s="6">
        <f>COUNTIFS('Raw Data Sales'!H190:H1188, LEFT(A190, FIND(" ",A190)-1), 'Raw Data Sales'!I190:I1188, MID(A190, FIND(" ",A190)+1, 100))</f>
        <v>1</v>
      </c>
      <c r="E190" s="6">
        <f>SUMIFS('Raw Data Sales'!M190:M1188, 'Raw Data Sales'!H190:H1188, LEFT(A190, FIND(" ",A190)-1), 'Raw Data Sales'!I190:I1188, MID(A190, FIND(" ",A190)+1, 100))</f>
        <v>96</v>
      </c>
      <c r="F190" s="6">
        <f>SUMIFS('Raw Data Sales'!N190:N1188, 'Raw Data Sales'!H190:H1188, LEFT(A190, FIND(" ",A190)-1), 'Raw Data Sales'!I190:I1188, MID(A190, FIND(" ",A190)+1, 100))</f>
        <v>6643.62</v>
      </c>
    </row>
    <row r="191">
      <c r="A191" s="6" t="str">
        <f>IFERROR(__xludf.DUMMYFUNCTION("UNIQUE('Raw Data Sales'!H191:H1189 &amp; "" "" &amp; 'Raw Data Sales'!I191:I1189)"),"Thorn Cisco")</f>
        <v>Thorn Cisco</v>
      </c>
      <c r="B191" s="6" t="str">
        <f>IFERROR(__xludf.DUMMYFUNCTION("""COMPUTED_VALUE"""),"tcisco59@usnews.com")</f>
        <v>tcisco59@usnews.com</v>
      </c>
      <c r="C191" s="6" t="str">
        <f>IFERROR(__xludf.DUMMYFUNCTION("""COMPUTED_VALUE"""),"Yemen")</f>
        <v>Yemen</v>
      </c>
      <c r="D191" s="6">
        <f>COUNTIFS('Raw Data Sales'!H191:H1189, LEFT(A191, FIND(" ",A191)-1), 'Raw Data Sales'!I191:I1189, MID(A191, FIND(" ",A191)+1, 100))</f>
        <v>1</v>
      </c>
      <c r="E191" s="6">
        <f>SUMIFS('Raw Data Sales'!M191:M1189, 'Raw Data Sales'!H191:H1189, LEFT(A191, FIND(" ",A191)-1), 'Raw Data Sales'!I191:I1189, MID(A191, FIND(" ",A191)+1, 100))</f>
        <v>75</v>
      </c>
      <c r="F191" s="6">
        <f>SUMIFS('Raw Data Sales'!N191:N1189, 'Raw Data Sales'!H191:H1189, LEFT(A191, FIND(" ",A191)-1), 'Raw Data Sales'!I191:I1189, MID(A191, FIND(" ",A191)+1, 100))</f>
        <v>6437.31</v>
      </c>
    </row>
    <row r="192">
      <c r="A192" s="6" t="str">
        <f>IFERROR(__xludf.DUMMYFUNCTION("UNIQUE('Raw Data Sales'!H192:H1190 &amp; "" "" &amp; 'Raw Data Sales'!I192:I1190)"),"Julia Ketts")</f>
        <v>Julia Ketts</v>
      </c>
      <c r="B192" s="6" t="str">
        <f>IFERROR(__xludf.DUMMYFUNCTION("""COMPUTED_VALUE"""),"jketts5a@blog.com")</f>
        <v>jketts5a@blog.com</v>
      </c>
      <c r="C192" s="6" t="str">
        <f>IFERROR(__xludf.DUMMYFUNCTION("""COMPUTED_VALUE"""),"Russia")</f>
        <v>Russia</v>
      </c>
      <c r="D192" s="6">
        <f>COUNTIFS('Raw Data Sales'!H192:H1190, LEFT(A192, FIND(" ",A192)-1), 'Raw Data Sales'!I192:I1190, MID(A192, FIND(" ",A192)+1, 100))</f>
        <v>1</v>
      </c>
      <c r="E192" s="6">
        <f>SUMIFS('Raw Data Sales'!M192:M1190, 'Raw Data Sales'!H192:H1190, LEFT(A192, FIND(" ",A192)-1), 'Raw Data Sales'!I192:I1190, MID(A192, FIND(" ",A192)+1, 100))</f>
        <v>10</v>
      </c>
      <c r="F192" s="6">
        <f>SUMIFS('Raw Data Sales'!N192:N1190, 'Raw Data Sales'!H192:H1190, LEFT(A192, FIND(" ",A192)-1), 'Raw Data Sales'!I192:I1190, MID(A192, FIND(" ",A192)+1, 100))</f>
        <v>3969.24</v>
      </c>
    </row>
    <row r="193">
      <c r="A193" s="6" t="str">
        <f>IFERROR(__xludf.DUMMYFUNCTION("UNIQUE('Raw Data Sales'!H193:H1191 &amp; "" "" &amp; 'Raw Data Sales'!I193:I1191)"),"Jillian Jados")</f>
        <v>Jillian Jados</v>
      </c>
      <c r="B193" s="6" t="str">
        <f>IFERROR(__xludf.DUMMYFUNCTION("""COMPUTED_VALUE"""),"jjados5b@engadget.com")</f>
        <v>jjados5b@engadget.com</v>
      </c>
      <c r="C193" s="6" t="str">
        <f>IFERROR(__xludf.DUMMYFUNCTION("""COMPUTED_VALUE"""),"Sweden")</f>
        <v>Sweden</v>
      </c>
      <c r="D193" s="6">
        <f>COUNTIFS('Raw Data Sales'!H193:H1191, LEFT(A193, FIND(" ",A193)-1), 'Raw Data Sales'!I193:I1191, MID(A193, FIND(" ",A193)+1, 100))</f>
        <v>1</v>
      </c>
      <c r="E193" s="6">
        <f>SUMIFS('Raw Data Sales'!M193:M1191, 'Raw Data Sales'!H193:H1191, LEFT(A193, FIND(" ",A193)-1), 'Raw Data Sales'!I193:I1191, MID(A193, FIND(" ",A193)+1, 100))</f>
        <v>66</v>
      </c>
      <c r="F193" s="6">
        <f>SUMIFS('Raw Data Sales'!N193:N1191, 'Raw Data Sales'!H193:H1191, LEFT(A193, FIND(" ",A193)-1), 'Raw Data Sales'!I193:I1191, MID(A193, FIND(" ",A193)+1, 100))</f>
        <v>7315.87</v>
      </c>
    </row>
    <row r="194">
      <c r="A194" s="6" t="str">
        <f>IFERROR(__xludf.DUMMYFUNCTION("UNIQUE('Raw Data Sales'!H194:H1192 &amp; "" "" &amp; 'Raw Data Sales'!I194:I1192)"),"Goldarina Kilkenny")</f>
        <v>Goldarina Kilkenny</v>
      </c>
      <c r="B194" s="6" t="str">
        <f>IFERROR(__xludf.DUMMYFUNCTION("""COMPUTED_VALUE"""),"gkilkenny5c@elegantthemes.com")</f>
        <v>gkilkenny5c@elegantthemes.com</v>
      </c>
      <c r="C194" s="6" t="str">
        <f>IFERROR(__xludf.DUMMYFUNCTION("""COMPUTED_VALUE"""),"Turkmenistan")</f>
        <v>Turkmenistan</v>
      </c>
      <c r="D194" s="6">
        <f>COUNTIFS('Raw Data Sales'!H194:H1192, LEFT(A194, FIND(" ",A194)-1), 'Raw Data Sales'!I194:I1192, MID(A194, FIND(" ",A194)+1, 100))</f>
        <v>1</v>
      </c>
      <c r="E194" s="6">
        <f>SUMIFS('Raw Data Sales'!M194:M1192, 'Raw Data Sales'!H194:H1192, LEFT(A194, FIND(" ",A194)-1), 'Raw Data Sales'!I194:I1192, MID(A194, FIND(" ",A194)+1, 100))</f>
        <v>86</v>
      </c>
      <c r="F194" s="6">
        <f>SUMIFS('Raw Data Sales'!N194:N1192, 'Raw Data Sales'!H194:H1192, LEFT(A194, FIND(" ",A194)-1), 'Raw Data Sales'!I194:I1192, MID(A194, FIND(" ",A194)+1, 100))</f>
        <v>1566.33</v>
      </c>
    </row>
    <row r="195">
      <c r="A195" s="6" t="str">
        <f>IFERROR(__xludf.DUMMYFUNCTION("UNIQUE('Raw Data Sales'!H195:H1193 &amp; "" "" &amp; 'Raw Data Sales'!I195:I1193)"),"Colet Drake")</f>
        <v>Colet Drake</v>
      </c>
      <c r="B195" s="6" t="str">
        <f>IFERROR(__xludf.DUMMYFUNCTION("""COMPUTED_VALUE"""),"cdrake5d@techcrunch.com")</f>
        <v>cdrake5d@techcrunch.com</v>
      </c>
      <c r="C195" s="6" t="str">
        <f>IFERROR(__xludf.DUMMYFUNCTION("""COMPUTED_VALUE"""),"Vietnam")</f>
        <v>Vietnam</v>
      </c>
      <c r="D195" s="6">
        <f>COUNTIFS('Raw Data Sales'!H195:H1193, LEFT(A195, FIND(" ",A195)-1), 'Raw Data Sales'!I195:I1193, MID(A195, FIND(" ",A195)+1, 100))</f>
        <v>1</v>
      </c>
      <c r="E195" s="6">
        <f>SUMIFS('Raw Data Sales'!M195:M1193, 'Raw Data Sales'!H195:H1193, LEFT(A195, FIND(" ",A195)-1), 'Raw Data Sales'!I195:I1193, MID(A195, FIND(" ",A195)+1, 100))</f>
        <v>15</v>
      </c>
      <c r="F195" s="6">
        <f>SUMIFS('Raw Data Sales'!N195:N1193, 'Raw Data Sales'!H195:H1193, LEFT(A195, FIND(" ",A195)-1), 'Raw Data Sales'!I195:I1193, MID(A195, FIND(" ",A195)+1, 100))</f>
        <v>2732.35</v>
      </c>
    </row>
    <row r="196">
      <c r="A196" s="6" t="str">
        <f>IFERROR(__xludf.DUMMYFUNCTION("UNIQUE('Raw Data Sales'!H196:H1194 &amp; "" "" &amp; 'Raw Data Sales'!I196:I1194)"),"Osbourn Dwelly")</f>
        <v>Osbourn Dwelly</v>
      </c>
      <c r="B196" s="6" t="str">
        <f>IFERROR(__xludf.DUMMYFUNCTION("""COMPUTED_VALUE"""),"odwelly5e@tuttocitta.it")</f>
        <v>odwelly5e@tuttocitta.it</v>
      </c>
      <c r="C196" s="6" t="str">
        <f>IFERROR(__xludf.DUMMYFUNCTION("""COMPUTED_VALUE"""),"China")</f>
        <v>China</v>
      </c>
      <c r="D196" s="6">
        <f>COUNTIFS('Raw Data Sales'!H196:H1194, LEFT(A196, FIND(" ",A196)-1), 'Raw Data Sales'!I196:I1194, MID(A196, FIND(" ",A196)+1, 100))</f>
        <v>1</v>
      </c>
      <c r="E196" s="6">
        <f>SUMIFS('Raw Data Sales'!M196:M1194, 'Raw Data Sales'!H196:H1194, LEFT(A196, FIND(" ",A196)-1), 'Raw Data Sales'!I196:I1194, MID(A196, FIND(" ",A196)+1, 100))</f>
        <v>59</v>
      </c>
      <c r="F196" s="6">
        <f>SUMIFS('Raw Data Sales'!N196:N1194, 'Raw Data Sales'!H196:H1194, LEFT(A196, FIND(" ",A196)-1), 'Raw Data Sales'!I196:I1194, MID(A196, FIND(" ",A196)+1, 100))</f>
        <v>2865.02</v>
      </c>
    </row>
    <row r="197">
      <c r="A197" s="6" t="str">
        <f>IFERROR(__xludf.DUMMYFUNCTION("UNIQUE('Raw Data Sales'!H197:H1195 &amp; "" "" &amp; 'Raw Data Sales'!I197:I1195)"),"Aymer Doorey")</f>
        <v>Aymer Doorey</v>
      </c>
      <c r="B197" s="6" t="str">
        <f>IFERROR(__xludf.DUMMYFUNCTION("""COMPUTED_VALUE"""),"adoorey5f@rakuten.co.jp")</f>
        <v>adoorey5f@rakuten.co.jp</v>
      </c>
      <c r="C197" s="6" t="str">
        <f>IFERROR(__xludf.DUMMYFUNCTION("""COMPUTED_VALUE"""),"Northern Mariana Islands")</f>
        <v>Northern Mariana Islands</v>
      </c>
      <c r="D197" s="6">
        <f>COUNTIFS('Raw Data Sales'!H197:H1195, LEFT(A197, FIND(" ",A197)-1), 'Raw Data Sales'!I197:I1195, MID(A197, FIND(" ",A197)+1, 100))</f>
        <v>1</v>
      </c>
      <c r="E197" s="6">
        <f>SUMIFS('Raw Data Sales'!M197:M1195, 'Raw Data Sales'!H197:H1195, LEFT(A197, FIND(" ",A197)-1), 'Raw Data Sales'!I197:I1195, MID(A197, FIND(" ",A197)+1, 100))</f>
        <v>73</v>
      </c>
      <c r="F197" s="6">
        <f>SUMIFS('Raw Data Sales'!N197:N1195, 'Raw Data Sales'!H197:H1195, LEFT(A197, FIND(" ",A197)-1), 'Raw Data Sales'!I197:I1195, MID(A197, FIND(" ",A197)+1, 100))</f>
        <v>1647.6</v>
      </c>
    </row>
    <row r="198">
      <c r="A198" s="6" t="str">
        <f>IFERROR(__xludf.DUMMYFUNCTION("UNIQUE('Raw Data Sales'!H198:H1196 &amp; "" "" &amp; 'Raw Data Sales'!I198:I1196)"),"Delmar Tebb")</f>
        <v>Delmar Tebb</v>
      </c>
      <c r="B198" s="6" t="str">
        <f>IFERROR(__xludf.DUMMYFUNCTION("""COMPUTED_VALUE"""),"dtebb5g@bing.com")</f>
        <v>dtebb5g@bing.com</v>
      </c>
      <c r="C198" s="6" t="str">
        <f>IFERROR(__xludf.DUMMYFUNCTION("""COMPUTED_VALUE"""),"Ukraine")</f>
        <v>Ukraine</v>
      </c>
      <c r="D198" s="6">
        <f>COUNTIFS('Raw Data Sales'!H198:H1196, LEFT(A198, FIND(" ",A198)-1), 'Raw Data Sales'!I198:I1196, MID(A198, FIND(" ",A198)+1, 100))</f>
        <v>1</v>
      </c>
      <c r="E198" s="6">
        <f>SUMIFS('Raw Data Sales'!M198:M1196, 'Raw Data Sales'!H198:H1196, LEFT(A198, FIND(" ",A198)-1), 'Raw Data Sales'!I198:I1196, MID(A198, FIND(" ",A198)+1, 100))</f>
        <v>98</v>
      </c>
      <c r="F198" s="6">
        <f>SUMIFS('Raw Data Sales'!N198:N1196, 'Raw Data Sales'!H198:H1196, LEFT(A198, FIND(" ",A198)-1), 'Raw Data Sales'!I198:I1196, MID(A198, FIND(" ",A198)+1, 100))</f>
        <v>3689.11</v>
      </c>
    </row>
    <row r="199">
      <c r="A199" s="6" t="str">
        <f>IFERROR(__xludf.DUMMYFUNCTION("UNIQUE('Raw Data Sales'!H199:H1197 &amp; "" "" &amp; 'Raw Data Sales'!I199:I1197)"),"Tyne Peachey")</f>
        <v>Tyne Peachey</v>
      </c>
      <c r="B199" s="6" t="str">
        <f>IFERROR(__xludf.DUMMYFUNCTION("""COMPUTED_VALUE"""),"tpeachey5h@google.com.br")</f>
        <v>tpeachey5h@google.com.br</v>
      </c>
      <c r="C199" s="6" t="str">
        <f>IFERROR(__xludf.DUMMYFUNCTION("""COMPUTED_VALUE"""),"China")</f>
        <v>China</v>
      </c>
      <c r="D199" s="6">
        <f>COUNTIFS('Raw Data Sales'!H199:H1197, LEFT(A199, FIND(" ",A199)-1), 'Raw Data Sales'!I199:I1197, MID(A199, FIND(" ",A199)+1, 100))</f>
        <v>1</v>
      </c>
      <c r="E199" s="6">
        <f>SUMIFS('Raw Data Sales'!M199:M1197, 'Raw Data Sales'!H199:H1197, LEFT(A199, FIND(" ",A199)-1), 'Raw Data Sales'!I199:I1197, MID(A199, FIND(" ",A199)+1, 100))</f>
        <v>14</v>
      </c>
      <c r="F199" s="6">
        <f>SUMIFS('Raw Data Sales'!N199:N1197, 'Raw Data Sales'!H199:H1197, LEFT(A199, FIND(" ",A199)-1), 'Raw Data Sales'!I199:I1197, MID(A199, FIND(" ",A199)+1, 100))</f>
        <v>7117.57</v>
      </c>
    </row>
    <row r="200">
      <c r="A200" s="6" t="str">
        <f>IFERROR(__xludf.DUMMYFUNCTION("UNIQUE('Raw Data Sales'!H200:H1198 &amp; "" "" &amp; 'Raw Data Sales'!I200:I1198)"),"Cacilie Lambin")</f>
        <v>Cacilie Lambin</v>
      </c>
      <c r="B200" s="6" t="str">
        <f>IFERROR(__xludf.DUMMYFUNCTION("""COMPUTED_VALUE"""),"clambin5i@oakley.com")</f>
        <v>clambin5i@oakley.com</v>
      </c>
      <c r="C200" s="6" t="str">
        <f>IFERROR(__xludf.DUMMYFUNCTION("""COMPUTED_VALUE"""),"Indonesia")</f>
        <v>Indonesia</v>
      </c>
      <c r="D200" s="6">
        <f>COUNTIFS('Raw Data Sales'!H200:H1198, LEFT(A200, FIND(" ",A200)-1), 'Raw Data Sales'!I200:I1198, MID(A200, FIND(" ",A200)+1, 100))</f>
        <v>1</v>
      </c>
      <c r="E200" s="6">
        <f>SUMIFS('Raw Data Sales'!M200:M1198, 'Raw Data Sales'!H200:H1198, LEFT(A200, FIND(" ",A200)-1), 'Raw Data Sales'!I200:I1198, MID(A200, FIND(" ",A200)+1, 100))</f>
        <v>84</v>
      </c>
      <c r="F200" s="6">
        <f>SUMIFS('Raw Data Sales'!N200:N1198, 'Raw Data Sales'!H200:H1198, LEFT(A200, FIND(" ",A200)-1), 'Raw Data Sales'!I200:I1198, MID(A200, FIND(" ",A200)+1, 100))</f>
        <v>2696.56</v>
      </c>
    </row>
    <row r="201">
      <c r="A201" s="6" t="str">
        <f>IFERROR(__xludf.DUMMYFUNCTION("UNIQUE('Raw Data Sales'!H201:H1199 &amp; "" "" &amp; 'Raw Data Sales'!I201:I1199)"),"Constancy Ogdahl")</f>
        <v>Constancy Ogdahl</v>
      </c>
      <c r="B201" s="6" t="str">
        <f>IFERROR(__xludf.DUMMYFUNCTION("""COMPUTED_VALUE"""),"cogdahl5j@macromedia.com")</f>
        <v>cogdahl5j@macromedia.com</v>
      </c>
      <c r="C201" s="6" t="str">
        <f>IFERROR(__xludf.DUMMYFUNCTION("""COMPUTED_VALUE"""),"Philippines")</f>
        <v>Philippines</v>
      </c>
      <c r="D201" s="6">
        <f>COUNTIFS('Raw Data Sales'!H201:H1199, LEFT(A201, FIND(" ",A201)-1), 'Raw Data Sales'!I201:I1199, MID(A201, FIND(" ",A201)+1, 100))</f>
        <v>1</v>
      </c>
      <c r="E201" s="6">
        <f>SUMIFS('Raw Data Sales'!M201:M1199, 'Raw Data Sales'!H201:H1199, LEFT(A201, FIND(" ",A201)-1), 'Raw Data Sales'!I201:I1199, MID(A201, FIND(" ",A201)+1, 100))</f>
        <v>99</v>
      </c>
      <c r="F201" s="6">
        <f>SUMIFS('Raw Data Sales'!N201:N1199, 'Raw Data Sales'!H201:H1199, LEFT(A201, FIND(" ",A201)-1), 'Raw Data Sales'!I201:I1199, MID(A201, FIND(" ",A201)+1, 100))</f>
        <v>8048.39</v>
      </c>
    </row>
    <row r="202">
      <c r="A202" s="6" t="str">
        <f>IFERROR(__xludf.DUMMYFUNCTION("UNIQUE('Raw Data Sales'!H202:H1200 &amp; "" "" &amp; 'Raw Data Sales'!I202:I1200)"),"Colly Dillamore")</f>
        <v>Colly Dillamore</v>
      </c>
      <c r="B202" s="6" t="str">
        <f>IFERROR(__xludf.DUMMYFUNCTION("""COMPUTED_VALUE"""),"cdillamore5k@aboutads.info")</f>
        <v>cdillamore5k@aboutads.info</v>
      </c>
      <c r="C202" s="6" t="str">
        <f>IFERROR(__xludf.DUMMYFUNCTION("""COMPUTED_VALUE"""),"Portugal")</f>
        <v>Portugal</v>
      </c>
      <c r="D202" s="6">
        <f>COUNTIFS('Raw Data Sales'!H202:H1200, LEFT(A202, FIND(" ",A202)-1), 'Raw Data Sales'!I202:I1200, MID(A202, FIND(" ",A202)+1, 100))</f>
        <v>1</v>
      </c>
      <c r="E202" s="6">
        <f>SUMIFS('Raw Data Sales'!M202:M1200, 'Raw Data Sales'!H202:H1200, LEFT(A202, FIND(" ",A202)-1), 'Raw Data Sales'!I202:I1200, MID(A202, FIND(" ",A202)+1, 100))</f>
        <v>39</v>
      </c>
      <c r="F202" s="6">
        <f>SUMIFS('Raw Data Sales'!N202:N1200, 'Raw Data Sales'!H202:H1200, LEFT(A202, FIND(" ",A202)-1), 'Raw Data Sales'!I202:I1200, MID(A202, FIND(" ",A202)+1, 100))</f>
        <v>9253.04</v>
      </c>
    </row>
    <row r="203">
      <c r="A203" s="6" t="str">
        <f>IFERROR(__xludf.DUMMYFUNCTION("UNIQUE('Raw Data Sales'!H203:H1201 &amp; "" "" &amp; 'Raw Data Sales'!I203:I1201)"),"Kimberlyn Forsard")</f>
        <v>Kimberlyn Forsard</v>
      </c>
      <c r="B203" s="6" t="str">
        <f>IFERROR(__xludf.DUMMYFUNCTION("""COMPUTED_VALUE"""),"kforsard5l@parallels.com")</f>
        <v>kforsard5l@parallels.com</v>
      </c>
      <c r="C203" s="6" t="str">
        <f>IFERROR(__xludf.DUMMYFUNCTION("""COMPUTED_VALUE"""),"China")</f>
        <v>China</v>
      </c>
      <c r="D203" s="6">
        <f>COUNTIFS('Raw Data Sales'!H203:H1201, LEFT(A203, FIND(" ",A203)-1), 'Raw Data Sales'!I203:I1201, MID(A203, FIND(" ",A203)+1, 100))</f>
        <v>1</v>
      </c>
      <c r="E203" s="6">
        <f>SUMIFS('Raw Data Sales'!M203:M1201, 'Raw Data Sales'!H203:H1201, LEFT(A203, FIND(" ",A203)-1), 'Raw Data Sales'!I203:I1201, MID(A203, FIND(" ",A203)+1, 100))</f>
        <v>58</v>
      </c>
      <c r="F203" s="6">
        <f>SUMIFS('Raw Data Sales'!N203:N1201, 'Raw Data Sales'!H203:H1201, LEFT(A203, FIND(" ",A203)-1), 'Raw Data Sales'!I203:I1201, MID(A203, FIND(" ",A203)+1, 100))</f>
        <v>9089.29</v>
      </c>
    </row>
    <row r="204">
      <c r="A204" s="6" t="str">
        <f>IFERROR(__xludf.DUMMYFUNCTION("UNIQUE('Raw Data Sales'!H204:H1202 &amp; "" "" &amp; 'Raw Data Sales'!I204:I1202)"),"Carlie Hannah")</f>
        <v>Carlie Hannah</v>
      </c>
      <c r="B204" s="6" t="str">
        <f>IFERROR(__xludf.DUMMYFUNCTION("""COMPUTED_VALUE"""),"channah5m@1und1.de")</f>
        <v>channah5m@1und1.de</v>
      </c>
      <c r="C204" s="6" t="str">
        <f>IFERROR(__xludf.DUMMYFUNCTION("""COMPUTED_VALUE"""),"France")</f>
        <v>France</v>
      </c>
      <c r="D204" s="6">
        <f>COUNTIFS('Raw Data Sales'!H204:H1202, LEFT(A204, FIND(" ",A204)-1), 'Raw Data Sales'!I204:I1202, MID(A204, FIND(" ",A204)+1, 100))</f>
        <v>1</v>
      </c>
      <c r="E204" s="6">
        <f>SUMIFS('Raw Data Sales'!M204:M1202, 'Raw Data Sales'!H204:H1202, LEFT(A204, FIND(" ",A204)-1), 'Raw Data Sales'!I204:I1202, MID(A204, FIND(" ",A204)+1, 100))</f>
        <v>15</v>
      </c>
      <c r="F204" s="6">
        <f>SUMIFS('Raw Data Sales'!N204:N1202, 'Raw Data Sales'!H204:H1202, LEFT(A204, FIND(" ",A204)-1), 'Raw Data Sales'!I204:I1202, MID(A204, FIND(" ",A204)+1, 100))</f>
        <v>755.1</v>
      </c>
    </row>
    <row r="205">
      <c r="A205" s="6" t="str">
        <f>IFERROR(__xludf.DUMMYFUNCTION("UNIQUE('Raw Data Sales'!H205:H1203 &amp; "" "" &amp; 'Raw Data Sales'!I205:I1203)"),"Jolee Capaldi")</f>
        <v>Jolee Capaldi</v>
      </c>
      <c r="B205" s="6" t="str">
        <f>IFERROR(__xludf.DUMMYFUNCTION("""COMPUTED_VALUE"""),"jcapaldi5n@samsung.com")</f>
        <v>jcapaldi5n@samsung.com</v>
      </c>
      <c r="C205" s="6" t="str">
        <f>IFERROR(__xludf.DUMMYFUNCTION("""COMPUTED_VALUE"""),"Indonesia")</f>
        <v>Indonesia</v>
      </c>
      <c r="D205" s="6">
        <f>COUNTIFS('Raw Data Sales'!H205:H1203, LEFT(A205, FIND(" ",A205)-1), 'Raw Data Sales'!I205:I1203, MID(A205, FIND(" ",A205)+1, 100))</f>
        <v>1</v>
      </c>
      <c r="E205" s="6">
        <f>SUMIFS('Raw Data Sales'!M205:M1203, 'Raw Data Sales'!H205:H1203, LEFT(A205, FIND(" ",A205)-1), 'Raw Data Sales'!I205:I1203, MID(A205, FIND(" ",A205)+1, 100))</f>
        <v>75</v>
      </c>
      <c r="F205" s="6">
        <f>SUMIFS('Raw Data Sales'!N205:N1203, 'Raw Data Sales'!H205:H1203, LEFT(A205, FIND(" ",A205)-1), 'Raw Data Sales'!I205:I1203, MID(A205, FIND(" ",A205)+1, 100))</f>
        <v>9730.61</v>
      </c>
    </row>
    <row r="206">
      <c r="A206" s="6" t="str">
        <f>IFERROR(__xludf.DUMMYFUNCTION("UNIQUE('Raw Data Sales'!H206:H1204 &amp; "" "" &amp; 'Raw Data Sales'!I206:I1204)"),"Clarice Segeswoeth")</f>
        <v>Clarice Segeswoeth</v>
      </c>
      <c r="B206" s="6" t="str">
        <f>IFERROR(__xludf.DUMMYFUNCTION("""COMPUTED_VALUE"""),"csegeswoeth5o@npr.org")</f>
        <v>csegeswoeth5o@npr.org</v>
      </c>
      <c r="C206" s="6" t="str">
        <f>IFERROR(__xludf.DUMMYFUNCTION("""COMPUTED_VALUE"""),"Nepal")</f>
        <v>Nepal</v>
      </c>
      <c r="D206" s="6">
        <f>COUNTIFS('Raw Data Sales'!H206:H1204, LEFT(A206, FIND(" ",A206)-1), 'Raw Data Sales'!I206:I1204, MID(A206, FIND(" ",A206)+1, 100))</f>
        <v>1</v>
      </c>
      <c r="E206" s="6">
        <f>SUMIFS('Raw Data Sales'!M206:M1204, 'Raw Data Sales'!H206:H1204, LEFT(A206, FIND(" ",A206)-1), 'Raw Data Sales'!I206:I1204, MID(A206, FIND(" ",A206)+1, 100))</f>
        <v>37</v>
      </c>
      <c r="F206" s="6">
        <f>SUMIFS('Raw Data Sales'!N206:N1204, 'Raw Data Sales'!H206:H1204, LEFT(A206, FIND(" ",A206)-1), 'Raw Data Sales'!I206:I1204, MID(A206, FIND(" ",A206)+1, 100))</f>
        <v>3563.16</v>
      </c>
    </row>
    <row r="207">
      <c r="A207" s="6" t="str">
        <f>IFERROR(__xludf.DUMMYFUNCTION("UNIQUE('Raw Data Sales'!H207:H1205 &amp; "" "" &amp; 'Raw Data Sales'!I207:I1205)"),"Marline Comley")</f>
        <v>Marline Comley</v>
      </c>
      <c r="B207" s="6" t="str">
        <f>IFERROR(__xludf.DUMMYFUNCTION("""COMPUTED_VALUE"""),"mcomley5p@booking.com")</f>
        <v>mcomley5p@booking.com</v>
      </c>
      <c r="C207" s="6" t="str">
        <f>IFERROR(__xludf.DUMMYFUNCTION("""COMPUTED_VALUE"""),"Philippines")</f>
        <v>Philippines</v>
      </c>
      <c r="D207" s="6">
        <f>COUNTIFS('Raw Data Sales'!H207:H1205, LEFT(A207, FIND(" ",A207)-1), 'Raw Data Sales'!I207:I1205, MID(A207, FIND(" ",A207)+1, 100))</f>
        <v>1</v>
      </c>
      <c r="E207" s="6">
        <f>SUMIFS('Raw Data Sales'!M207:M1205, 'Raw Data Sales'!H207:H1205, LEFT(A207, FIND(" ",A207)-1), 'Raw Data Sales'!I207:I1205, MID(A207, FIND(" ",A207)+1, 100))</f>
        <v>65</v>
      </c>
      <c r="F207" s="6">
        <f>SUMIFS('Raw Data Sales'!N207:N1205, 'Raw Data Sales'!H207:H1205, LEFT(A207, FIND(" ",A207)-1), 'Raw Data Sales'!I207:I1205, MID(A207, FIND(" ",A207)+1, 100))</f>
        <v>6831.51</v>
      </c>
    </row>
    <row r="208">
      <c r="A208" s="6" t="str">
        <f>IFERROR(__xludf.DUMMYFUNCTION("UNIQUE('Raw Data Sales'!H208:H1206 &amp; "" "" &amp; 'Raw Data Sales'!I208:I1206)"),"Shell Yurocjkin")</f>
        <v>Shell Yurocjkin</v>
      </c>
      <c r="B208" s="6" t="str">
        <f>IFERROR(__xludf.DUMMYFUNCTION("""COMPUTED_VALUE"""),"syurocjkin5q@google.ca")</f>
        <v>syurocjkin5q@google.ca</v>
      </c>
      <c r="C208" s="6" t="str">
        <f>IFERROR(__xludf.DUMMYFUNCTION("""COMPUTED_VALUE"""),"Indonesia")</f>
        <v>Indonesia</v>
      </c>
      <c r="D208" s="6">
        <f>COUNTIFS('Raw Data Sales'!H208:H1206, LEFT(A208, FIND(" ",A208)-1), 'Raw Data Sales'!I208:I1206, MID(A208, FIND(" ",A208)+1, 100))</f>
        <v>1</v>
      </c>
      <c r="E208" s="6">
        <f>SUMIFS('Raw Data Sales'!M208:M1206, 'Raw Data Sales'!H208:H1206, LEFT(A208, FIND(" ",A208)-1), 'Raw Data Sales'!I208:I1206, MID(A208, FIND(" ",A208)+1, 100))</f>
        <v>74</v>
      </c>
      <c r="F208" s="6">
        <f>SUMIFS('Raw Data Sales'!N208:N1206, 'Raw Data Sales'!H208:H1206, LEFT(A208, FIND(" ",A208)-1), 'Raw Data Sales'!I208:I1206, MID(A208, FIND(" ",A208)+1, 100))</f>
        <v>7047.33</v>
      </c>
    </row>
    <row r="209">
      <c r="A209" s="6" t="str">
        <f>IFERROR(__xludf.DUMMYFUNCTION("UNIQUE('Raw Data Sales'!H209:H1207 &amp; "" "" &amp; 'Raw Data Sales'!I209:I1207)"),"Solomon Cella")</f>
        <v>Solomon Cella</v>
      </c>
      <c r="B209" s="6" t="str">
        <f>IFERROR(__xludf.DUMMYFUNCTION("""COMPUTED_VALUE"""),"scella5r@statcounter.com")</f>
        <v>scella5r@statcounter.com</v>
      </c>
      <c r="C209" s="6" t="str">
        <f>IFERROR(__xludf.DUMMYFUNCTION("""COMPUTED_VALUE"""),"China")</f>
        <v>China</v>
      </c>
      <c r="D209" s="6">
        <f>COUNTIFS('Raw Data Sales'!H209:H1207, LEFT(A209, FIND(" ",A209)-1), 'Raw Data Sales'!I209:I1207, MID(A209, FIND(" ",A209)+1, 100))</f>
        <v>1</v>
      </c>
      <c r="E209" s="6">
        <f>SUMIFS('Raw Data Sales'!M209:M1207, 'Raw Data Sales'!H209:H1207, LEFT(A209, FIND(" ",A209)-1), 'Raw Data Sales'!I209:I1207, MID(A209, FIND(" ",A209)+1, 100))</f>
        <v>58</v>
      </c>
      <c r="F209" s="6">
        <f>SUMIFS('Raw Data Sales'!N209:N1207, 'Raw Data Sales'!H209:H1207, LEFT(A209, FIND(" ",A209)-1), 'Raw Data Sales'!I209:I1207, MID(A209, FIND(" ",A209)+1, 100))</f>
        <v>2552.5</v>
      </c>
    </row>
    <row r="210">
      <c r="A210" s="6" t="str">
        <f>IFERROR(__xludf.DUMMYFUNCTION("UNIQUE('Raw Data Sales'!H210:H1208 &amp; "" "" &amp; 'Raw Data Sales'!I210:I1208)"),"Jone Lake")</f>
        <v>Jone Lake</v>
      </c>
      <c r="B210" s="6" t="str">
        <f>IFERROR(__xludf.DUMMYFUNCTION("""COMPUTED_VALUE"""),"jlake5s@feedburner.com")</f>
        <v>jlake5s@feedburner.com</v>
      </c>
      <c r="C210" s="6" t="str">
        <f>IFERROR(__xludf.DUMMYFUNCTION("""COMPUTED_VALUE"""),"Philippines")</f>
        <v>Philippines</v>
      </c>
      <c r="D210" s="6">
        <f>COUNTIFS('Raw Data Sales'!H210:H1208, LEFT(A210, FIND(" ",A210)-1), 'Raw Data Sales'!I210:I1208, MID(A210, FIND(" ",A210)+1, 100))</f>
        <v>1</v>
      </c>
      <c r="E210" s="6">
        <f>SUMIFS('Raw Data Sales'!M210:M1208, 'Raw Data Sales'!H210:H1208, LEFT(A210, FIND(" ",A210)-1), 'Raw Data Sales'!I210:I1208, MID(A210, FIND(" ",A210)+1, 100))</f>
        <v>41</v>
      </c>
      <c r="F210" s="6">
        <f>SUMIFS('Raw Data Sales'!N210:N1208, 'Raw Data Sales'!H210:H1208, LEFT(A210, FIND(" ",A210)-1), 'Raw Data Sales'!I210:I1208, MID(A210, FIND(" ",A210)+1, 100))</f>
        <v>6094.4</v>
      </c>
    </row>
    <row r="211">
      <c r="A211" s="6" t="str">
        <f>IFERROR(__xludf.DUMMYFUNCTION("UNIQUE('Raw Data Sales'!H211:H1209 &amp; "" "" &amp; 'Raw Data Sales'!I211:I1209)"),"Isabelle Rawls")</f>
        <v>Isabelle Rawls</v>
      </c>
      <c r="B211" s="6" t="str">
        <f>IFERROR(__xludf.DUMMYFUNCTION("""COMPUTED_VALUE"""),"irawls5t@ftc.gov")</f>
        <v>irawls5t@ftc.gov</v>
      </c>
      <c r="C211" s="6" t="str">
        <f>IFERROR(__xludf.DUMMYFUNCTION("""COMPUTED_VALUE"""),"Brazil")</f>
        <v>Brazil</v>
      </c>
      <c r="D211" s="6">
        <f>COUNTIFS('Raw Data Sales'!H211:H1209, LEFT(A211, FIND(" ",A211)-1), 'Raw Data Sales'!I211:I1209, MID(A211, FIND(" ",A211)+1, 100))</f>
        <v>1</v>
      </c>
      <c r="E211" s="6">
        <f>SUMIFS('Raw Data Sales'!M211:M1209, 'Raw Data Sales'!H211:H1209, LEFT(A211, FIND(" ",A211)-1), 'Raw Data Sales'!I211:I1209, MID(A211, FIND(" ",A211)+1, 100))</f>
        <v>87</v>
      </c>
      <c r="F211" s="6">
        <f>SUMIFS('Raw Data Sales'!N211:N1209, 'Raw Data Sales'!H211:H1209, LEFT(A211, FIND(" ",A211)-1), 'Raw Data Sales'!I211:I1209, MID(A211, FIND(" ",A211)+1, 100))</f>
        <v>709.44</v>
      </c>
    </row>
    <row r="212">
      <c r="A212" s="6" t="str">
        <f>IFERROR(__xludf.DUMMYFUNCTION("UNIQUE('Raw Data Sales'!H212:H1210 &amp; "" "" &amp; 'Raw Data Sales'!I212:I1210)"),"Jodee Norgate")</f>
        <v>Jodee Norgate</v>
      </c>
      <c r="B212" s="6" t="str">
        <f>IFERROR(__xludf.DUMMYFUNCTION("""COMPUTED_VALUE"""),"jnorgate5u@plala.or.jp")</f>
        <v>jnorgate5u@plala.or.jp</v>
      </c>
      <c r="C212" s="6" t="str">
        <f>IFERROR(__xludf.DUMMYFUNCTION("""COMPUTED_VALUE"""),"Comoros")</f>
        <v>Comoros</v>
      </c>
      <c r="D212" s="6">
        <f>COUNTIFS('Raw Data Sales'!H212:H1210, LEFT(A212, FIND(" ",A212)-1), 'Raw Data Sales'!I212:I1210, MID(A212, FIND(" ",A212)+1, 100))</f>
        <v>1</v>
      </c>
      <c r="E212" s="6">
        <f>SUMIFS('Raw Data Sales'!M212:M1210, 'Raw Data Sales'!H212:H1210, LEFT(A212, FIND(" ",A212)-1), 'Raw Data Sales'!I212:I1210, MID(A212, FIND(" ",A212)+1, 100))</f>
        <v>62</v>
      </c>
      <c r="F212" s="6">
        <f>SUMIFS('Raw Data Sales'!N212:N1210, 'Raw Data Sales'!H212:H1210, LEFT(A212, FIND(" ",A212)-1), 'Raw Data Sales'!I212:I1210, MID(A212, FIND(" ",A212)+1, 100))</f>
        <v>6945.86</v>
      </c>
    </row>
    <row r="213">
      <c r="A213" s="6" t="str">
        <f>IFERROR(__xludf.DUMMYFUNCTION("UNIQUE('Raw Data Sales'!H213:H1211 &amp; "" "" &amp; 'Raw Data Sales'!I213:I1211)"),"Puff Muckleston")</f>
        <v>Puff Muckleston</v>
      </c>
      <c r="B213" s="6" t="str">
        <f>IFERROR(__xludf.DUMMYFUNCTION("""COMPUTED_VALUE"""),"pmuckleston5v@technorati.com")</f>
        <v>pmuckleston5v@technorati.com</v>
      </c>
      <c r="C213" s="6" t="str">
        <f>IFERROR(__xludf.DUMMYFUNCTION("""COMPUTED_VALUE"""),"Serbia")</f>
        <v>Serbia</v>
      </c>
      <c r="D213" s="6">
        <f>COUNTIFS('Raw Data Sales'!H213:H1211, LEFT(A213, FIND(" ",A213)-1), 'Raw Data Sales'!I213:I1211, MID(A213, FIND(" ",A213)+1, 100))</f>
        <v>1</v>
      </c>
      <c r="E213" s="6">
        <f>SUMIFS('Raw Data Sales'!M213:M1211, 'Raw Data Sales'!H213:H1211, LEFT(A213, FIND(" ",A213)-1), 'Raw Data Sales'!I213:I1211, MID(A213, FIND(" ",A213)+1, 100))</f>
        <v>97</v>
      </c>
      <c r="F213" s="6">
        <f>SUMIFS('Raw Data Sales'!N213:N1211, 'Raw Data Sales'!H213:H1211, LEFT(A213, FIND(" ",A213)-1), 'Raw Data Sales'!I213:I1211, MID(A213, FIND(" ",A213)+1, 100))</f>
        <v>2662.75</v>
      </c>
    </row>
    <row r="214">
      <c r="A214" s="6" t="str">
        <f>IFERROR(__xludf.DUMMYFUNCTION("UNIQUE('Raw Data Sales'!H214:H1212 &amp; "" "" &amp; 'Raw Data Sales'!I214:I1212)"),"Francois Roskelly")</f>
        <v>Francois Roskelly</v>
      </c>
      <c r="B214" s="6" t="str">
        <f>IFERROR(__xludf.DUMMYFUNCTION("""COMPUTED_VALUE"""),"froskelly5w@rakuten.co.jp")</f>
        <v>froskelly5w@rakuten.co.jp</v>
      </c>
      <c r="C214" s="6" t="str">
        <f>IFERROR(__xludf.DUMMYFUNCTION("""COMPUTED_VALUE"""),"China")</f>
        <v>China</v>
      </c>
      <c r="D214" s="6">
        <f>COUNTIFS('Raw Data Sales'!H214:H1212, LEFT(A214, FIND(" ",A214)-1), 'Raw Data Sales'!I214:I1212, MID(A214, FIND(" ",A214)+1, 100))</f>
        <v>1</v>
      </c>
      <c r="E214" s="6">
        <f>SUMIFS('Raw Data Sales'!M214:M1212, 'Raw Data Sales'!H214:H1212, LEFT(A214, FIND(" ",A214)-1), 'Raw Data Sales'!I214:I1212, MID(A214, FIND(" ",A214)+1, 100))</f>
        <v>90</v>
      </c>
      <c r="F214" s="6">
        <f>SUMIFS('Raw Data Sales'!N214:N1212, 'Raw Data Sales'!H214:H1212, LEFT(A214, FIND(" ",A214)-1), 'Raw Data Sales'!I214:I1212, MID(A214, FIND(" ",A214)+1, 100))</f>
        <v>3449.56</v>
      </c>
    </row>
    <row r="215">
      <c r="A215" s="6" t="str">
        <f>IFERROR(__xludf.DUMMYFUNCTION("UNIQUE('Raw Data Sales'!H215:H1213 &amp; "" "" &amp; 'Raw Data Sales'!I215:I1213)"),"Diarmid Caudle")</f>
        <v>Diarmid Caudle</v>
      </c>
      <c r="B215" s="6" t="str">
        <f>IFERROR(__xludf.DUMMYFUNCTION("""COMPUTED_VALUE"""),"dcaudle5x@tmall.com")</f>
        <v>dcaudle5x@tmall.com</v>
      </c>
      <c r="C215" s="6" t="str">
        <f>IFERROR(__xludf.DUMMYFUNCTION("""COMPUTED_VALUE"""),"China")</f>
        <v>China</v>
      </c>
      <c r="D215" s="6">
        <f>COUNTIFS('Raw Data Sales'!H215:H1213, LEFT(A215, FIND(" ",A215)-1), 'Raw Data Sales'!I215:I1213, MID(A215, FIND(" ",A215)+1, 100))</f>
        <v>1</v>
      </c>
      <c r="E215" s="6">
        <f>SUMIFS('Raw Data Sales'!M215:M1213, 'Raw Data Sales'!H215:H1213, LEFT(A215, FIND(" ",A215)-1), 'Raw Data Sales'!I215:I1213, MID(A215, FIND(" ",A215)+1, 100))</f>
        <v>83</v>
      </c>
      <c r="F215" s="6">
        <f>SUMIFS('Raw Data Sales'!N215:N1213, 'Raw Data Sales'!H215:H1213, LEFT(A215, FIND(" ",A215)-1), 'Raw Data Sales'!I215:I1213, MID(A215, FIND(" ",A215)+1, 100))</f>
        <v>2286.7</v>
      </c>
    </row>
    <row r="216">
      <c r="A216" s="6" t="str">
        <f>IFERROR(__xludf.DUMMYFUNCTION("UNIQUE('Raw Data Sales'!H216:H1214 &amp; "" "" &amp; 'Raw Data Sales'!I216:I1214)"),"Cecilio Stebbings")</f>
        <v>Cecilio Stebbings</v>
      </c>
      <c r="B216" s="6" t="str">
        <f>IFERROR(__xludf.DUMMYFUNCTION("""COMPUTED_VALUE"""),"cstebbings5y@ask.com")</f>
        <v>cstebbings5y@ask.com</v>
      </c>
      <c r="C216" s="6" t="str">
        <f>IFERROR(__xludf.DUMMYFUNCTION("""COMPUTED_VALUE"""),"Brazil")</f>
        <v>Brazil</v>
      </c>
      <c r="D216" s="6">
        <f>COUNTIFS('Raw Data Sales'!H216:H1214, LEFT(A216, FIND(" ",A216)-1), 'Raw Data Sales'!I216:I1214, MID(A216, FIND(" ",A216)+1, 100))</f>
        <v>1</v>
      </c>
      <c r="E216" s="6">
        <f>SUMIFS('Raw Data Sales'!M216:M1214, 'Raw Data Sales'!H216:H1214, LEFT(A216, FIND(" ",A216)-1), 'Raw Data Sales'!I216:I1214, MID(A216, FIND(" ",A216)+1, 100))</f>
        <v>76</v>
      </c>
      <c r="F216" s="6">
        <f>SUMIFS('Raw Data Sales'!N216:N1214, 'Raw Data Sales'!H216:H1214, LEFT(A216, FIND(" ",A216)-1), 'Raw Data Sales'!I216:I1214, MID(A216, FIND(" ",A216)+1, 100))</f>
        <v>7605.66</v>
      </c>
    </row>
    <row r="217">
      <c r="A217" s="6" t="str">
        <f>IFERROR(__xludf.DUMMYFUNCTION("UNIQUE('Raw Data Sales'!H217:H1215 &amp; "" "" &amp; 'Raw Data Sales'!I217:I1215)"),"Julia Keelinge")</f>
        <v>Julia Keelinge</v>
      </c>
      <c r="B217" s="6" t="str">
        <f>IFERROR(__xludf.DUMMYFUNCTION("""COMPUTED_VALUE"""),"jkeelinge5z@ft.com")</f>
        <v>jkeelinge5z@ft.com</v>
      </c>
      <c r="C217" s="6" t="str">
        <f>IFERROR(__xludf.DUMMYFUNCTION("""COMPUTED_VALUE"""),"China")</f>
        <v>China</v>
      </c>
      <c r="D217" s="6">
        <f>COUNTIFS('Raw Data Sales'!H217:H1215, LEFT(A217, FIND(" ",A217)-1), 'Raw Data Sales'!I217:I1215, MID(A217, FIND(" ",A217)+1, 100))</f>
        <v>1</v>
      </c>
      <c r="E217" s="6">
        <f>SUMIFS('Raw Data Sales'!M217:M1215, 'Raw Data Sales'!H217:H1215, LEFT(A217, FIND(" ",A217)-1), 'Raw Data Sales'!I217:I1215, MID(A217, FIND(" ",A217)+1, 100))</f>
        <v>79</v>
      </c>
      <c r="F217" s="6">
        <f>SUMIFS('Raw Data Sales'!N217:N1215, 'Raw Data Sales'!H217:H1215, LEFT(A217, FIND(" ",A217)-1), 'Raw Data Sales'!I217:I1215, MID(A217, FIND(" ",A217)+1, 100))</f>
        <v>3277.69</v>
      </c>
    </row>
    <row r="218">
      <c r="A218" s="6" t="str">
        <f>IFERROR(__xludf.DUMMYFUNCTION("UNIQUE('Raw Data Sales'!H218:H1216 &amp; "" "" &amp; 'Raw Data Sales'!I218:I1216)"),"Arvin Hyndson")</f>
        <v>Arvin Hyndson</v>
      </c>
      <c r="B218" s="6" t="str">
        <f>IFERROR(__xludf.DUMMYFUNCTION("""COMPUTED_VALUE"""),"ahyndson60@shareasale.com")</f>
        <v>ahyndson60@shareasale.com</v>
      </c>
      <c r="C218" s="6" t="str">
        <f>IFERROR(__xludf.DUMMYFUNCTION("""COMPUTED_VALUE"""),"Ukraine")</f>
        <v>Ukraine</v>
      </c>
      <c r="D218" s="6">
        <f>COUNTIFS('Raw Data Sales'!H218:H1216, LEFT(A218, FIND(" ",A218)-1), 'Raw Data Sales'!I218:I1216, MID(A218, FIND(" ",A218)+1, 100))</f>
        <v>1</v>
      </c>
      <c r="E218" s="6">
        <f>SUMIFS('Raw Data Sales'!M218:M1216, 'Raw Data Sales'!H218:H1216, LEFT(A218, FIND(" ",A218)-1), 'Raw Data Sales'!I218:I1216, MID(A218, FIND(" ",A218)+1, 100))</f>
        <v>61</v>
      </c>
      <c r="F218" s="6">
        <f>SUMIFS('Raw Data Sales'!N218:N1216, 'Raw Data Sales'!H218:H1216, LEFT(A218, FIND(" ",A218)-1), 'Raw Data Sales'!I218:I1216, MID(A218, FIND(" ",A218)+1, 100))</f>
        <v>8907.42</v>
      </c>
    </row>
    <row r="219">
      <c r="A219" s="6" t="str">
        <f>IFERROR(__xludf.DUMMYFUNCTION("UNIQUE('Raw Data Sales'!H219:H1217 &amp; "" "" &amp; 'Raw Data Sales'!I219:I1217)"),"Martha Litzmann")</f>
        <v>Martha Litzmann</v>
      </c>
      <c r="B219" s="6" t="str">
        <f>IFERROR(__xludf.DUMMYFUNCTION("""COMPUTED_VALUE"""),"mlitzmann61@sciencedaily.com")</f>
        <v>mlitzmann61@sciencedaily.com</v>
      </c>
      <c r="C219" s="6" t="str">
        <f>IFERROR(__xludf.DUMMYFUNCTION("""COMPUTED_VALUE"""),"Brazil")</f>
        <v>Brazil</v>
      </c>
      <c r="D219" s="6">
        <f>COUNTIFS('Raw Data Sales'!H219:H1217, LEFT(A219, FIND(" ",A219)-1), 'Raw Data Sales'!I219:I1217, MID(A219, FIND(" ",A219)+1, 100))</f>
        <v>1</v>
      </c>
      <c r="E219" s="6">
        <f>SUMIFS('Raw Data Sales'!M219:M1217, 'Raw Data Sales'!H219:H1217, LEFT(A219, FIND(" ",A219)-1), 'Raw Data Sales'!I219:I1217, MID(A219, FIND(" ",A219)+1, 100))</f>
        <v>19</v>
      </c>
      <c r="F219" s="6">
        <f>SUMIFS('Raw Data Sales'!N219:N1217, 'Raw Data Sales'!H219:H1217, LEFT(A219, FIND(" ",A219)-1), 'Raw Data Sales'!I219:I1217, MID(A219, FIND(" ",A219)+1, 100))</f>
        <v>276.53</v>
      </c>
    </row>
    <row r="220">
      <c r="A220" s="6" t="str">
        <f>IFERROR(__xludf.DUMMYFUNCTION("UNIQUE('Raw Data Sales'!H220:H1218 &amp; "" "" &amp; 'Raw Data Sales'!I220:I1218)"),"Laurie Vinten")</f>
        <v>Laurie Vinten</v>
      </c>
      <c r="B220" s="6" t="str">
        <f>IFERROR(__xludf.DUMMYFUNCTION("""COMPUTED_VALUE"""),"lvinten62@parallels.com")</f>
        <v>lvinten62@parallels.com</v>
      </c>
      <c r="C220" s="6" t="str">
        <f>IFERROR(__xludf.DUMMYFUNCTION("""COMPUTED_VALUE"""),"France")</f>
        <v>France</v>
      </c>
      <c r="D220" s="6">
        <f>COUNTIFS('Raw Data Sales'!H220:H1218, LEFT(A220, FIND(" ",A220)-1), 'Raw Data Sales'!I220:I1218, MID(A220, FIND(" ",A220)+1, 100))</f>
        <v>1</v>
      </c>
      <c r="E220" s="6">
        <f>SUMIFS('Raw Data Sales'!M220:M1218, 'Raw Data Sales'!H220:H1218, LEFT(A220, FIND(" ",A220)-1), 'Raw Data Sales'!I220:I1218, MID(A220, FIND(" ",A220)+1, 100))</f>
        <v>49</v>
      </c>
      <c r="F220" s="6">
        <f>SUMIFS('Raw Data Sales'!N220:N1218, 'Raw Data Sales'!H220:H1218, LEFT(A220, FIND(" ",A220)-1), 'Raw Data Sales'!I220:I1218, MID(A220, FIND(" ",A220)+1, 100))</f>
        <v>5153.01</v>
      </c>
    </row>
    <row r="221">
      <c r="A221" s="6" t="str">
        <f>IFERROR(__xludf.DUMMYFUNCTION("UNIQUE('Raw Data Sales'!H221:H1219 &amp; "" "" &amp; 'Raw Data Sales'!I221:I1219)"),"Philippine Solon")</f>
        <v>Philippine Solon</v>
      </c>
      <c r="B221" s="6" t="str">
        <f>IFERROR(__xludf.DUMMYFUNCTION("""COMPUTED_VALUE"""),"psolon63@skype.com")</f>
        <v>psolon63@skype.com</v>
      </c>
      <c r="C221" s="6" t="str">
        <f>IFERROR(__xludf.DUMMYFUNCTION("""COMPUTED_VALUE"""),"China")</f>
        <v>China</v>
      </c>
      <c r="D221" s="6">
        <f>COUNTIFS('Raw Data Sales'!H221:H1219, LEFT(A221, FIND(" ",A221)-1), 'Raw Data Sales'!I221:I1219, MID(A221, FIND(" ",A221)+1, 100))</f>
        <v>1</v>
      </c>
      <c r="E221" s="6">
        <f>SUMIFS('Raw Data Sales'!M221:M1219, 'Raw Data Sales'!H221:H1219, LEFT(A221, FIND(" ",A221)-1), 'Raw Data Sales'!I221:I1219, MID(A221, FIND(" ",A221)+1, 100))</f>
        <v>51</v>
      </c>
      <c r="F221" s="6">
        <f>SUMIFS('Raw Data Sales'!N221:N1219, 'Raw Data Sales'!H221:H1219, LEFT(A221, FIND(" ",A221)-1), 'Raw Data Sales'!I221:I1219, MID(A221, FIND(" ",A221)+1, 100))</f>
        <v>1270.98</v>
      </c>
    </row>
    <row r="222">
      <c r="A222" s="6" t="str">
        <f>IFERROR(__xludf.DUMMYFUNCTION("UNIQUE('Raw Data Sales'!H222:H1220 &amp; "" "" &amp; 'Raw Data Sales'!I222:I1220)"),"Milli Stonier")</f>
        <v>Milli Stonier</v>
      </c>
      <c r="B222" s="6" t="str">
        <f>IFERROR(__xludf.DUMMYFUNCTION("""COMPUTED_VALUE"""),"mstonier64@newsvine.com")</f>
        <v>mstonier64@newsvine.com</v>
      </c>
      <c r="C222" s="6" t="str">
        <f>IFERROR(__xludf.DUMMYFUNCTION("""COMPUTED_VALUE"""),"Cambodia")</f>
        <v>Cambodia</v>
      </c>
      <c r="D222" s="6">
        <f>COUNTIFS('Raw Data Sales'!H222:H1220, LEFT(A222, FIND(" ",A222)-1), 'Raw Data Sales'!I222:I1220, MID(A222, FIND(" ",A222)+1, 100))</f>
        <v>1</v>
      </c>
      <c r="E222" s="6">
        <f>SUMIFS('Raw Data Sales'!M222:M1220, 'Raw Data Sales'!H222:H1220, LEFT(A222, FIND(" ",A222)-1), 'Raw Data Sales'!I222:I1220, MID(A222, FIND(" ",A222)+1, 100))</f>
        <v>94</v>
      </c>
      <c r="F222" s="6">
        <f>SUMIFS('Raw Data Sales'!N222:N1220, 'Raw Data Sales'!H222:H1220, LEFT(A222, FIND(" ",A222)-1), 'Raw Data Sales'!I222:I1220, MID(A222, FIND(" ",A222)+1, 100))</f>
        <v>1545.21</v>
      </c>
    </row>
    <row r="223">
      <c r="A223" s="6" t="str">
        <f>IFERROR(__xludf.DUMMYFUNCTION("UNIQUE('Raw Data Sales'!H223:H1221 &amp; "" "" &amp; 'Raw Data Sales'!I223:I1221)"),"Kenneth Tremontana")</f>
        <v>Kenneth Tremontana</v>
      </c>
      <c r="B223" s="6" t="str">
        <f>IFERROR(__xludf.DUMMYFUNCTION("""COMPUTED_VALUE"""),"ktremontana65@seesaa.net")</f>
        <v>ktremontana65@seesaa.net</v>
      </c>
      <c r="C223" s="6" t="str">
        <f>IFERROR(__xludf.DUMMYFUNCTION("""COMPUTED_VALUE"""),"Indonesia")</f>
        <v>Indonesia</v>
      </c>
      <c r="D223" s="6">
        <f>COUNTIFS('Raw Data Sales'!H223:H1221, LEFT(A223, FIND(" ",A223)-1), 'Raw Data Sales'!I223:I1221, MID(A223, FIND(" ",A223)+1, 100))</f>
        <v>1</v>
      </c>
      <c r="E223" s="6">
        <f>SUMIFS('Raw Data Sales'!M223:M1221, 'Raw Data Sales'!H223:H1221, LEFT(A223, FIND(" ",A223)-1), 'Raw Data Sales'!I223:I1221, MID(A223, FIND(" ",A223)+1, 100))</f>
        <v>90</v>
      </c>
      <c r="F223" s="6">
        <f>SUMIFS('Raw Data Sales'!N223:N1221, 'Raw Data Sales'!H223:H1221, LEFT(A223, FIND(" ",A223)-1), 'Raw Data Sales'!I223:I1221, MID(A223, FIND(" ",A223)+1, 100))</f>
        <v>961.19</v>
      </c>
    </row>
    <row r="224">
      <c r="A224" s="6" t="str">
        <f>IFERROR(__xludf.DUMMYFUNCTION("UNIQUE('Raw Data Sales'!H224:H1222 &amp; "" "" &amp; 'Raw Data Sales'!I224:I1222)"),"Tani Antczak")</f>
        <v>Tani Antczak</v>
      </c>
      <c r="B224" s="6" t="str">
        <f>IFERROR(__xludf.DUMMYFUNCTION("""COMPUTED_VALUE"""),"tantczak66@smh.com.au")</f>
        <v>tantczak66@smh.com.au</v>
      </c>
      <c r="C224" s="6" t="str">
        <f>IFERROR(__xludf.DUMMYFUNCTION("""COMPUTED_VALUE"""),"Serbia")</f>
        <v>Serbia</v>
      </c>
      <c r="D224" s="6">
        <f>COUNTIFS('Raw Data Sales'!H224:H1222, LEFT(A224, FIND(" ",A224)-1), 'Raw Data Sales'!I224:I1222, MID(A224, FIND(" ",A224)+1, 100))</f>
        <v>1</v>
      </c>
      <c r="E224" s="6">
        <f>SUMIFS('Raw Data Sales'!M224:M1222, 'Raw Data Sales'!H224:H1222, LEFT(A224, FIND(" ",A224)-1), 'Raw Data Sales'!I224:I1222, MID(A224, FIND(" ",A224)+1, 100))</f>
        <v>86</v>
      </c>
      <c r="F224" s="6">
        <f>SUMIFS('Raw Data Sales'!N224:N1222, 'Raw Data Sales'!H224:H1222, LEFT(A224, FIND(" ",A224)-1), 'Raw Data Sales'!I224:I1222, MID(A224, FIND(" ",A224)+1, 100))</f>
        <v>5352.96</v>
      </c>
    </row>
    <row r="225">
      <c r="A225" s="6" t="str">
        <f>IFERROR(__xludf.DUMMYFUNCTION("UNIQUE('Raw Data Sales'!H225:H1223 &amp; "" "" &amp; 'Raw Data Sales'!I225:I1223)"),"Hilda Bisgrove")</f>
        <v>Hilda Bisgrove</v>
      </c>
      <c r="B225" s="6" t="str">
        <f>IFERROR(__xludf.DUMMYFUNCTION("""COMPUTED_VALUE"""),"hbisgrove67@comcast.net")</f>
        <v>hbisgrove67@comcast.net</v>
      </c>
      <c r="C225" s="6" t="str">
        <f>IFERROR(__xludf.DUMMYFUNCTION("""COMPUTED_VALUE"""),"Denmark")</f>
        <v>Denmark</v>
      </c>
      <c r="D225" s="6">
        <f>COUNTIFS('Raw Data Sales'!H225:H1223, LEFT(A225, FIND(" ",A225)-1), 'Raw Data Sales'!I225:I1223, MID(A225, FIND(" ",A225)+1, 100))</f>
        <v>1</v>
      </c>
      <c r="E225" s="6">
        <f>SUMIFS('Raw Data Sales'!M225:M1223, 'Raw Data Sales'!H225:H1223, LEFT(A225, FIND(" ",A225)-1), 'Raw Data Sales'!I225:I1223, MID(A225, FIND(" ",A225)+1, 100))</f>
        <v>63</v>
      </c>
      <c r="F225" s="6">
        <f>SUMIFS('Raw Data Sales'!N225:N1223, 'Raw Data Sales'!H225:H1223, LEFT(A225, FIND(" ",A225)-1), 'Raw Data Sales'!I225:I1223, MID(A225, FIND(" ",A225)+1, 100))</f>
        <v>4015.22</v>
      </c>
    </row>
    <row r="226">
      <c r="A226" s="6" t="str">
        <f>IFERROR(__xludf.DUMMYFUNCTION("UNIQUE('Raw Data Sales'!H226:H1224 &amp; "" "" &amp; 'Raw Data Sales'!I226:I1224)"),"Rory Hearsum")</f>
        <v>Rory Hearsum</v>
      </c>
      <c r="B226" s="6" t="str">
        <f>IFERROR(__xludf.DUMMYFUNCTION("""COMPUTED_VALUE"""),"rhearsum68@bizjournals.com")</f>
        <v>rhearsum68@bizjournals.com</v>
      </c>
      <c r="C226" s="6" t="str">
        <f>IFERROR(__xludf.DUMMYFUNCTION("""COMPUTED_VALUE"""),"China")</f>
        <v>China</v>
      </c>
      <c r="D226" s="6">
        <f>COUNTIFS('Raw Data Sales'!H226:H1224, LEFT(A226, FIND(" ",A226)-1), 'Raw Data Sales'!I226:I1224, MID(A226, FIND(" ",A226)+1, 100))</f>
        <v>1</v>
      </c>
      <c r="E226" s="6">
        <f>SUMIFS('Raw Data Sales'!M226:M1224, 'Raw Data Sales'!H226:H1224, LEFT(A226, FIND(" ",A226)-1), 'Raw Data Sales'!I226:I1224, MID(A226, FIND(" ",A226)+1, 100))</f>
        <v>62</v>
      </c>
      <c r="F226" s="6">
        <f>SUMIFS('Raw Data Sales'!N226:N1224, 'Raw Data Sales'!H226:H1224, LEFT(A226, FIND(" ",A226)-1), 'Raw Data Sales'!I226:I1224, MID(A226, FIND(" ",A226)+1, 100))</f>
        <v>8131.22</v>
      </c>
    </row>
    <row r="227">
      <c r="A227" s="6" t="str">
        <f>IFERROR(__xludf.DUMMYFUNCTION("UNIQUE('Raw Data Sales'!H227:H1225 &amp; "" "" &amp; 'Raw Data Sales'!I227:I1225)"),"Christian Cundy")</f>
        <v>Christian Cundy</v>
      </c>
      <c r="B227" s="6" t="str">
        <f>IFERROR(__xludf.DUMMYFUNCTION("""COMPUTED_VALUE"""),"ccundy69@yellowbook.com")</f>
        <v>ccundy69@yellowbook.com</v>
      </c>
      <c r="C227" s="6" t="str">
        <f>IFERROR(__xludf.DUMMYFUNCTION("""COMPUTED_VALUE"""),"Poland")</f>
        <v>Poland</v>
      </c>
      <c r="D227" s="6">
        <f>COUNTIFS('Raw Data Sales'!H227:H1225, LEFT(A227, FIND(" ",A227)-1), 'Raw Data Sales'!I227:I1225, MID(A227, FIND(" ",A227)+1, 100))</f>
        <v>1</v>
      </c>
      <c r="E227" s="6">
        <f>SUMIFS('Raw Data Sales'!M227:M1225, 'Raw Data Sales'!H227:H1225, LEFT(A227, FIND(" ",A227)-1), 'Raw Data Sales'!I227:I1225, MID(A227, FIND(" ",A227)+1, 100))</f>
        <v>22</v>
      </c>
      <c r="F227" s="6">
        <f>SUMIFS('Raw Data Sales'!N227:N1225, 'Raw Data Sales'!H227:H1225, LEFT(A227, FIND(" ",A227)-1), 'Raw Data Sales'!I227:I1225, MID(A227, FIND(" ",A227)+1, 100))</f>
        <v>1867.62</v>
      </c>
    </row>
    <row r="228">
      <c r="A228" s="6" t="str">
        <f>IFERROR(__xludf.DUMMYFUNCTION("UNIQUE('Raw Data Sales'!H228:H1226 &amp; "" "" &amp; 'Raw Data Sales'!I228:I1226)"),"Carlin Kilshaw")</f>
        <v>Carlin Kilshaw</v>
      </c>
      <c r="B228" s="6" t="str">
        <f>IFERROR(__xludf.DUMMYFUNCTION("""COMPUTED_VALUE"""),"ckilshaw6a@de.vu")</f>
        <v>ckilshaw6a@de.vu</v>
      </c>
      <c r="C228" s="6" t="str">
        <f>IFERROR(__xludf.DUMMYFUNCTION("""COMPUTED_VALUE"""),"Indonesia")</f>
        <v>Indonesia</v>
      </c>
      <c r="D228" s="6">
        <f>COUNTIFS('Raw Data Sales'!H228:H1226, LEFT(A228, FIND(" ",A228)-1), 'Raw Data Sales'!I228:I1226, MID(A228, FIND(" ",A228)+1, 100))</f>
        <v>1</v>
      </c>
      <c r="E228" s="6">
        <f>SUMIFS('Raw Data Sales'!M228:M1226, 'Raw Data Sales'!H228:H1226, LEFT(A228, FIND(" ",A228)-1), 'Raw Data Sales'!I228:I1226, MID(A228, FIND(" ",A228)+1, 100))</f>
        <v>42</v>
      </c>
      <c r="F228" s="6">
        <f>SUMIFS('Raw Data Sales'!N228:N1226, 'Raw Data Sales'!H228:H1226, LEFT(A228, FIND(" ",A228)-1), 'Raw Data Sales'!I228:I1226, MID(A228, FIND(" ",A228)+1, 100))</f>
        <v>4113.05</v>
      </c>
    </row>
    <row r="229">
      <c r="A229" s="6" t="str">
        <f>IFERROR(__xludf.DUMMYFUNCTION("UNIQUE('Raw Data Sales'!H229:H1227 &amp; "" "" &amp; 'Raw Data Sales'!I229:I1227)"),"Leigh Cruess")</f>
        <v>Leigh Cruess</v>
      </c>
      <c r="B229" s="6" t="str">
        <f>IFERROR(__xludf.DUMMYFUNCTION("""COMPUTED_VALUE"""),"lcruess6b@google.ru")</f>
        <v>lcruess6b@google.ru</v>
      </c>
      <c r="C229" s="6" t="str">
        <f>IFERROR(__xludf.DUMMYFUNCTION("""COMPUTED_VALUE"""),"Indonesia")</f>
        <v>Indonesia</v>
      </c>
      <c r="D229" s="6">
        <f>COUNTIFS('Raw Data Sales'!H229:H1227, LEFT(A229, FIND(" ",A229)-1), 'Raw Data Sales'!I229:I1227, MID(A229, FIND(" ",A229)+1, 100))</f>
        <v>1</v>
      </c>
      <c r="E229" s="6">
        <f>SUMIFS('Raw Data Sales'!M229:M1227, 'Raw Data Sales'!H229:H1227, LEFT(A229, FIND(" ",A229)-1), 'Raw Data Sales'!I229:I1227, MID(A229, FIND(" ",A229)+1, 100))</f>
        <v>93</v>
      </c>
      <c r="F229" s="6">
        <f>SUMIFS('Raw Data Sales'!N229:N1227, 'Raw Data Sales'!H229:H1227, LEFT(A229, FIND(" ",A229)-1), 'Raw Data Sales'!I229:I1227, MID(A229, FIND(" ",A229)+1, 100))</f>
        <v>650.61</v>
      </c>
    </row>
    <row r="230">
      <c r="A230" s="6" t="str">
        <f>IFERROR(__xludf.DUMMYFUNCTION("UNIQUE('Raw Data Sales'!H230:H1228 &amp; "" "" &amp; 'Raw Data Sales'!I230:I1228)"),"Ethelin Brickell")</f>
        <v>Ethelin Brickell</v>
      </c>
      <c r="B230" s="6" t="str">
        <f>IFERROR(__xludf.DUMMYFUNCTION("""COMPUTED_VALUE"""),"ebrickell6c@hatena.ne.jp")</f>
        <v>ebrickell6c@hatena.ne.jp</v>
      </c>
      <c r="C230" s="6" t="str">
        <f>IFERROR(__xludf.DUMMYFUNCTION("""COMPUTED_VALUE"""),"Philippines")</f>
        <v>Philippines</v>
      </c>
      <c r="D230" s="6">
        <f>COUNTIFS('Raw Data Sales'!H230:H1228, LEFT(A230, FIND(" ",A230)-1), 'Raw Data Sales'!I230:I1228, MID(A230, FIND(" ",A230)+1, 100))</f>
        <v>1</v>
      </c>
      <c r="E230" s="6">
        <f>SUMIFS('Raw Data Sales'!M230:M1228, 'Raw Data Sales'!H230:H1228, LEFT(A230, FIND(" ",A230)-1), 'Raw Data Sales'!I230:I1228, MID(A230, FIND(" ",A230)+1, 100))</f>
        <v>67</v>
      </c>
      <c r="F230" s="6">
        <f>SUMIFS('Raw Data Sales'!N230:N1228, 'Raw Data Sales'!H230:H1228, LEFT(A230, FIND(" ",A230)-1), 'Raw Data Sales'!I230:I1228, MID(A230, FIND(" ",A230)+1, 100))</f>
        <v>6865.15</v>
      </c>
    </row>
    <row r="231">
      <c r="A231" s="6" t="str">
        <f>IFERROR(__xludf.DUMMYFUNCTION("UNIQUE('Raw Data Sales'!H231:H1229 &amp; "" "" &amp; 'Raw Data Sales'!I231:I1229)"),"Duke Hadlee")</f>
        <v>Duke Hadlee</v>
      </c>
      <c r="B231" s="6" t="str">
        <f>IFERROR(__xludf.DUMMYFUNCTION("""COMPUTED_VALUE"""),"dhadlee6d@weather.com")</f>
        <v>dhadlee6d@weather.com</v>
      </c>
      <c r="C231" s="6" t="str">
        <f>IFERROR(__xludf.DUMMYFUNCTION("""COMPUTED_VALUE"""),"Russia")</f>
        <v>Russia</v>
      </c>
      <c r="D231" s="6">
        <f>COUNTIFS('Raw Data Sales'!H231:H1229, LEFT(A231, FIND(" ",A231)-1), 'Raw Data Sales'!I231:I1229, MID(A231, FIND(" ",A231)+1, 100))</f>
        <v>1</v>
      </c>
      <c r="E231" s="6">
        <f>SUMIFS('Raw Data Sales'!M231:M1229, 'Raw Data Sales'!H231:H1229, LEFT(A231, FIND(" ",A231)-1), 'Raw Data Sales'!I231:I1229, MID(A231, FIND(" ",A231)+1, 100))</f>
        <v>60</v>
      </c>
      <c r="F231" s="6">
        <f>SUMIFS('Raw Data Sales'!N231:N1229, 'Raw Data Sales'!H231:H1229, LEFT(A231, FIND(" ",A231)-1), 'Raw Data Sales'!I231:I1229, MID(A231, FIND(" ",A231)+1, 100))</f>
        <v>111.6</v>
      </c>
    </row>
    <row r="232">
      <c r="A232" s="6" t="str">
        <f>IFERROR(__xludf.DUMMYFUNCTION("UNIQUE('Raw Data Sales'!H232:H1230 &amp; "" "" &amp; 'Raw Data Sales'!I232:I1230)"),"Danna Doni")</f>
        <v>Danna Doni</v>
      </c>
      <c r="B232" s="6" t="str">
        <f>IFERROR(__xludf.DUMMYFUNCTION("""COMPUTED_VALUE"""),"ddoni6e@dion.ne.jp")</f>
        <v>ddoni6e@dion.ne.jp</v>
      </c>
      <c r="C232" s="6" t="str">
        <f>IFERROR(__xludf.DUMMYFUNCTION("""COMPUTED_VALUE"""),"Belarus")</f>
        <v>Belarus</v>
      </c>
      <c r="D232" s="6">
        <f>COUNTIFS('Raw Data Sales'!H232:H1230, LEFT(A232, FIND(" ",A232)-1), 'Raw Data Sales'!I232:I1230, MID(A232, FIND(" ",A232)+1, 100))</f>
        <v>1</v>
      </c>
      <c r="E232" s="6">
        <f>SUMIFS('Raw Data Sales'!M232:M1230, 'Raw Data Sales'!H232:H1230, LEFT(A232, FIND(" ",A232)-1), 'Raw Data Sales'!I232:I1230, MID(A232, FIND(" ",A232)+1, 100))</f>
        <v>28</v>
      </c>
      <c r="F232" s="6">
        <f>SUMIFS('Raw Data Sales'!N232:N1230, 'Raw Data Sales'!H232:H1230, LEFT(A232, FIND(" ",A232)-1), 'Raw Data Sales'!I232:I1230, MID(A232, FIND(" ",A232)+1, 100))</f>
        <v>8329.76</v>
      </c>
    </row>
    <row r="233">
      <c r="A233" s="6" t="str">
        <f>IFERROR(__xludf.DUMMYFUNCTION("UNIQUE('Raw Data Sales'!H233:H1231 &amp; "" "" &amp; 'Raw Data Sales'!I233:I1231)"),"Hamilton Guillard")</f>
        <v>Hamilton Guillard</v>
      </c>
      <c r="B233" s="6" t="str">
        <f>IFERROR(__xludf.DUMMYFUNCTION("""COMPUTED_VALUE"""),"hguillard6f@reuters.com")</f>
        <v>hguillard6f@reuters.com</v>
      </c>
      <c r="C233" s="6" t="str">
        <f>IFERROR(__xludf.DUMMYFUNCTION("""COMPUTED_VALUE"""),"Brazil")</f>
        <v>Brazil</v>
      </c>
      <c r="D233" s="6">
        <f>COUNTIFS('Raw Data Sales'!H233:H1231, LEFT(A233, FIND(" ",A233)-1), 'Raw Data Sales'!I233:I1231, MID(A233, FIND(" ",A233)+1, 100))</f>
        <v>1</v>
      </c>
      <c r="E233" s="6">
        <f>SUMIFS('Raw Data Sales'!M233:M1231, 'Raw Data Sales'!H233:H1231, LEFT(A233, FIND(" ",A233)-1), 'Raw Data Sales'!I233:I1231, MID(A233, FIND(" ",A233)+1, 100))</f>
        <v>89</v>
      </c>
      <c r="F233" s="6">
        <f>SUMIFS('Raw Data Sales'!N233:N1231, 'Raw Data Sales'!H233:H1231, LEFT(A233, FIND(" ",A233)-1), 'Raw Data Sales'!I233:I1231, MID(A233, FIND(" ",A233)+1, 100))</f>
        <v>9405.32</v>
      </c>
    </row>
    <row r="234">
      <c r="A234" s="6" t="str">
        <f>IFERROR(__xludf.DUMMYFUNCTION("UNIQUE('Raw Data Sales'!H234:H1232 &amp; "" "" &amp; 'Raw Data Sales'!I234:I1232)"),"Lambert Morten")</f>
        <v>Lambert Morten</v>
      </c>
      <c r="B234" s="6" t="str">
        <f>IFERROR(__xludf.DUMMYFUNCTION("""COMPUTED_VALUE"""),"lmorten6g@stanford.edu")</f>
        <v>lmorten6g@stanford.edu</v>
      </c>
      <c r="C234" s="6" t="str">
        <f>IFERROR(__xludf.DUMMYFUNCTION("""COMPUTED_VALUE"""),"Luxembourg")</f>
        <v>Luxembourg</v>
      </c>
      <c r="D234" s="6">
        <f>COUNTIFS('Raw Data Sales'!H234:H1232, LEFT(A234, FIND(" ",A234)-1), 'Raw Data Sales'!I234:I1232, MID(A234, FIND(" ",A234)+1, 100))</f>
        <v>1</v>
      </c>
      <c r="E234" s="6">
        <f>SUMIFS('Raw Data Sales'!M234:M1232, 'Raw Data Sales'!H234:H1232, LEFT(A234, FIND(" ",A234)-1), 'Raw Data Sales'!I234:I1232, MID(A234, FIND(" ",A234)+1, 100))</f>
        <v>13</v>
      </c>
      <c r="F234" s="6">
        <f>SUMIFS('Raw Data Sales'!N234:N1232, 'Raw Data Sales'!H234:H1232, LEFT(A234, FIND(" ",A234)-1), 'Raw Data Sales'!I234:I1232, MID(A234, FIND(" ",A234)+1, 100))</f>
        <v>9321.82</v>
      </c>
    </row>
    <row r="235">
      <c r="A235" s="6" t="str">
        <f>IFERROR(__xludf.DUMMYFUNCTION("UNIQUE('Raw Data Sales'!H235:H1233 &amp; "" "" &amp; 'Raw Data Sales'!I235:I1233)"),"Mable Conley")</f>
        <v>Mable Conley</v>
      </c>
      <c r="B235" s="6" t="str">
        <f>IFERROR(__xludf.DUMMYFUNCTION("""COMPUTED_VALUE"""),"mconley6h@histats.com")</f>
        <v>mconley6h@histats.com</v>
      </c>
      <c r="C235" s="6" t="str">
        <f>IFERROR(__xludf.DUMMYFUNCTION("""COMPUTED_VALUE"""),"Philippines")</f>
        <v>Philippines</v>
      </c>
      <c r="D235" s="6">
        <f>COUNTIFS('Raw Data Sales'!H235:H1233, LEFT(A235, FIND(" ",A235)-1), 'Raw Data Sales'!I235:I1233, MID(A235, FIND(" ",A235)+1, 100))</f>
        <v>1</v>
      </c>
      <c r="E235" s="6">
        <f>SUMIFS('Raw Data Sales'!M235:M1233, 'Raw Data Sales'!H235:H1233, LEFT(A235, FIND(" ",A235)-1), 'Raw Data Sales'!I235:I1233, MID(A235, FIND(" ",A235)+1, 100))</f>
        <v>19</v>
      </c>
      <c r="F235" s="6">
        <f>SUMIFS('Raw Data Sales'!N235:N1233, 'Raw Data Sales'!H235:H1233, LEFT(A235, FIND(" ",A235)-1), 'Raw Data Sales'!I235:I1233, MID(A235, FIND(" ",A235)+1, 100))</f>
        <v>1024.54</v>
      </c>
    </row>
    <row r="236">
      <c r="A236" s="6" t="str">
        <f>IFERROR(__xludf.DUMMYFUNCTION("UNIQUE('Raw Data Sales'!H236:H1234 &amp; "" "" &amp; 'Raw Data Sales'!I236:I1234)"),"Laverna Beardsell")</f>
        <v>Laverna Beardsell</v>
      </c>
      <c r="B236" s="6" t="str">
        <f>IFERROR(__xludf.DUMMYFUNCTION("""COMPUTED_VALUE"""),"lbeardsell6i@gmpg.org")</f>
        <v>lbeardsell6i@gmpg.org</v>
      </c>
      <c r="C236" s="6" t="str">
        <f>IFERROR(__xludf.DUMMYFUNCTION("""COMPUTED_VALUE"""),"France")</f>
        <v>France</v>
      </c>
      <c r="D236" s="6">
        <f>COUNTIFS('Raw Data Sales'!H236:H1234, LEFT(A236, FIND(" ",A236)-1), 'Raw Data Sales'!I236:I1234, MID(A236, FIND(" ",A236)+1, 100))</f>
        <v>1</v>
      </c>
      <c r="E236" s="6">
        <f>SUMIFS('Raw Data Sales'!M236:M1234, 'Raw Data Sales'!H236:H1234, LEFT(A236, FIND(" ",A236)-1), 'Raw Data Sales'!I236:I1234, MID(A236, FIND(" ",A236)+1, 100))</f>
        <v>39</v>
      </c>
      <c r="F236" s="6">
        <f>SUMIFS('Raw Data Sales'!N236:N1234, 'Raw Data Sales'!H236:H1234, LEFT(A236, FIND(" ",A236)-1), 'Raw Data Sales'!I236:I1234, MID(A236, FIND(" ",A236)+1, 100))</f>
        <v>5712.38</v>
      </c>
    </row>
    <row r="237">
      <c r="A237" s="6" t="str">
        <f>IFERROR(__xludf.DUMMYFUNCTION("UNIQUE('Raw Data Sales'!H237:H1235 &amp; "" "" &amp; 'Raw Data Sales'!I237:I1235)"),"Herrick Wyer")</f>
        <v>Herrick Wyer</v>
      </c>
      <c r="B237" s="6" t="str">
        <f>IFERROR(__xludf.DUMMYFUNCTION("""COMPUTED_VALUE"""),"hwyer6j@arizona.edu")</f>
        <v>hwyer6j@arizona.edu</v>
      </c>
      <c r="C237" s="6" t="str">
        <f>IFERROR(__xludf.DUMMYFUNCTION("""COMPUTED_VALUE"""),"Mongolia")</f>
        <v>Mongolia</v>
      </c>
      <c r="D237" s="6">
        <f>COUNTIFS('Raw Data Sales'!H237:H1235, LEFT(A237, FIND(" ",A237)-1), 'Raw Data Sales'!I237:I1235, MID(A237, FIND(" ",A237)+1, 100))</f>
        <v>1</v>
      </c>
      <c r="E237" s="6">
        <f>SUMIFS('Raw Data Sales'!M237:M1235, 'Raw Data Sales'!H237:H1235, LEFT(A237, FIND(" ",A237)-1), 'Raw Data Sales'!I237:I1235, MID(A237, FIND(" ",A237)+1, 100))</f>
        <v>16</v>
      </c>
      <c r="F237" s="6">
        <f>SUMIFS('Raw Data Sales'!N237:N1235, 'Raw Data Sales'!H237:H1235, LEFT(A237, FIND(" ",A237)-1), 'Raw Data Sales'!I237:I1235, MID(A237, FIND(" ",A237)+1, 100))</f>
        <v>9234.86</v>
      </c>
    </row>
    <row r="238">
      <c r="A238" s="6" t="str">
        <f>IFERROR(__xludf.DUMMYFUNCTION("UNIQUE('Raw Data Sales'!H238:H1236 &amp; "" "" &amp; 'Raw Data Sales'!I238:I1236)"),"Clarita Aartsen")</f>
        <v>Clarita Aartsen</v>
      </c>
      <c r="B238" s="6" t="str">
        <f>IFERROR(__xludf.DUMMYFUNCTION("""COMPUTED_VALUE"""),"caartsen6k@vistaprint.com")</f>
        <v>caartsen6k@vistaprint.com</v>
      </c>
      <c r="C238" s="6" t="str">
        <f>IFERROR(__xludf.DUMMYFUNCTION("""COMPUTED_VALUE"""),"United States")</f>
        <v>United States</v>
      </c>
      <c r="D238" s="6">
        <f>COUNTIFS('Raw Data Sales'!H238:H1236, LEFT(A238, FIND(" ",A238)-1), 'Raw Data Sales'!I238:I1236, MID(A238, FIND(" ",A238)+1, 100))</f>
        <v>1</v>
      </c>
      <c r="E238" s="6">
        <f>SUMIFS('Raw Data Sales'!M238:M1236, 'Raw Data Sales'!H238:H1236, LEFT(A238, FIND(" ",A238)-1), 'Raw Data Sales'!I238:I1236, MID(A238, FIND(" ",A238)+1, 100))</f>
        <v>93</v>
      </c>
      <c r="F238" s="6">
        <f>SUMIFS('Raw Data Sales'!N238:N1236, 'Raw Data Sales'!H238:H1236, LEFT(A238, FIND(" ",A238)-1), 'Raw Data Sales'!I238:I1236, MID(A238, FIND(" ",A238)+1, 100))</f>
        <v>9972.42</v>
      </c>
    </row>
    <row r="239">
      <c r="A239" s="6" t="str">
        <f>IFERROR(__xludf.DUMMYFUNCTION("UNIQUE('Raw Data Sales'!H239:H1237 &amp; "" "" &amp; 'Raw Data Sales'!I239:I1237)"),"Maurice Goodband")</f>
        <v>Maurice Goodband</v>
      </c>
      <c r="B239" s="6" t="str">
        <f>IFERROR(__xludf.DUMMYFUNCTION("""COMPUTED_VALUE"""),"mgoodband6l@aboutads.info")</f>
        <v>mgoodband6l@aboutads.info</v>
      </c>
      <c r="C239" s="6" t="str">
        <f>IFERROR(__xludf.DUMMYFUNCTION("""COMPUTED_VALUE"""),"Australia")</f>
        <v>Australia</v>
      </c>
      <c r="D239" s="6">
        <f>COUNTIFS('Raw Data Sales'!H239:H1237, LEFT(A239, FIND(" ",A239)-1), 'Raw Data Sales'!I239:I1237, MID(A239, FIND(" ",A239)+1, 100))</f>
        <v>1</v>
      </c>
      <c r="E239" s="6">
        <f>SUMIFS('Raw Data Sales'!M239:M1237, 'Raw Data Sales'!H239:H1237, LEFT(A239, FIND(" ",A239)-1), 'Raw Data Sales'!I239:I1237, MID(A239, FIND(" ",A239)+1, 100))</f>
        <v>62</v>
      </c>
      <c r="F239" s="6">
        <f>SUMIFS('Raw Data Sales'!N239:N1237, 'Raw Data Sales'!H239:H1237, LEFT(A239, FIND(" ",A239)-1), 'Raw Data Sales'!I239:I1237, MID(A239, FIND(" ",A239)+1, 100))</f>
        <v>553.27</v>
      </c>
    </row>
    <row r="240">
      <c r="A240" s="6" t="str">
        <f>IFERROR(__xludf.DUMMYFUNCTION("UNIQUE('Raw Data Sales'!H240:H1238 &amp; "" "" &amp; 'Raw Data Sales'!I240:I1238)"),"Mendy Bauldrey")</f>
        <v>Mendy Bauldrey</v>
      </c>
      <c r="B240" s="6" t="str">
        <f>IFERROR(__xludf.DUMMYFUNCTION("""COMPUTED_VALUE"""),"mbauldrey6m@microsoft.com")</f>
        <v>mbauldrey6m@microsoft.com</v>
      </c>
      <c r="C240" s="6" t="str">
        <f>IFERROR(__xludf.DUMMYFUNCTION("""COMPUTED_VALUE"""),"Greece")</f>
        <v>Greece</v>
      </c>
      <c r="D240" s="6">
        <f>COUNTIFS('Raw Data Sales'!H240:H1238, LEFT(A240, FIND(" ",A240)-1), 'Raw Data Sales'!I240:I1238, MID(A240, FIND(" ",A240)+1, 100))</f>
        <v>1</v>
      </c>
      <c r="E240" s="6">
        <f>SUMIFS('Raw Data Sales'!M240:M1238, 'Raw Data Sales'!H240:H1238, LEFT(A240, FIND(" ",A240)-1), 'Raw Data Sales'!I240:I1238, MID(A240, FIND(" ",A240)+1, 100))</f>
        <v>66</v>
      </c>
      <c r="F240" s="6">
        <f>SUMIFS('Raw Data Sales'!N240:N1238, 'Raw Data Sales'!H240:H1238, LEFT(A240, FIND(" ",A240)-1), 'Raw Data Sales'!I240:I1238, MID(A240, FIND(" ",A240)+1, 100))</f>
        <v>2468.95</v>
      </c>
    </row>
    <row r="241">
      <c r="A241" s="6" t="str">
        <f>IFERROR(__xludf.DUMMYFUNCTION("UNIQUE('Raw Data Sales'!H241:H1239 &amp; "" "" &amp; 'Raw Data Sales'!I241:I1239)"),"Sybyl Kofax")</f>
        <v>Sybyl Kofax</v>
      </c>
      <c r="B241" s="6" t="str">
        <f>IFERROR(__xludf.DUMMYFUNCTION("""COMPUTED_VALUE"""),"skofax6n@europa.eu")</f>
        <v>skofax6n@europa.eu</v>
      </c>
      <c r="C241" s="6" t="str">
        <f>IFERROR(__xludf.DUMMYFUNCTION("""COMPUTED_VALUE"""),"Bosnia and Herzegovina")</f>
        <v>Bosnia and Herzegovina</v>
      </c>
      <c r="D241" s="6">
        <f>COUNTIFS('Raw Data Sales'!H241:H1239, LEFT(A241, FIND(" ",A241)-1), 'Raw Data Sales'!I241:I1239, MID(A241, FIND(" ",A241)+1, 100))</f>
        <v>1</v>
      </c>
      <c r="E241" s="6">
        <f>SUMIFS('Raw Data Sales'!M241:M1239, 'Raw Data Sales'!H241:H1239, LEFT(A241, FIND(" ",A241)-1), 'Raw Data Sales'!I241:I1239, MID(A241, FIND(" ",A241)+1, 100))</f>
        <v>79</v>
      </c>
      <c r="F241" s="6">
        <f>SUMIFS('Raw Data Sales'!N241:N1239, 'Raw Data Sales'!H241:H1239, LEFT(A241, FIND(" ",A241)-1), 'Raw Data Sales'!I241:I1239, MID(A241, FIND(" ",A241)+1, 100))</f>
        <v>7010.97</v>
      </c>
    </row>
    <row r="242">
      <c r="A242" s="6" t="str">
        <f>IFERROR(__xludf.DUMMYFUNCTION("UNIQUE('Raw Data Sales'!H242:H1240 &amp; "" "" &amp; 'Raw Data Sales'!I242:I1240)"),"Clari Gurden")</f>
        <v>Clari Gurden</v>
      </c>
      <c r="B242" s="6" t="str">
        <f>IFERROR(__xludf.DUMMYFUNCTION("""COMPUTED_VALUE"""),"cgurden6o@economist.com")</f>
        <v>cgurden6o@economist.com</v>
      </c>
      <c r="C242" s="6" t="str">
        <f>IFERROR(__xludf.DUMMYFUNCTION("""COMPUTED_VALUE"""),"Indonesia")</f>
        <v>Indonesia</v>
      </c>
      <c r="D242" s="6">
        <f>COUNTIFS('Raw Data Sales'!H242:H1240, LEFT(A242, FIND(" ",A242)-1), 'Raw Data Sales'!I242:I1240, MID(A242, FIND(" ",A242)+1, 100))</f>
        <v>1</v>
      </c>
      <c r="E242" s="6">
        <f>SUMIFS('Raw Data Sales'!M242:M1240, 'Raw Data Sales'!H242:H1240, LEFT(A242, FIND(" ",A242)-1), 'Raw Data Sales'!I242:I1240, MID(A242, FIND(" ",A242)+1, 100))</f>
        <v>87</v>
      </c>
      <c r="F242" s="6">
        <f>SUMIFS('Raw Data Sales'!N242:N1240, 'Raw Data Sales'!H242:H1240, LEFT(A242, FIND(" ",A242)-1), 'Raw Data Sales'!I242:I1240, MID(A242, FIND(" ",A242)+1, 100))</f>
        <v>2214.55</v>
      </c>
    </row>
    <row r="243">
      <c r="A243" s="6" t="str">
        <f>IFERROR(__xludf.DUMMYFUNCTION("UNIQUE('Raw Data Sales'!H243:H1241 &amp; "" "" &amp; 'Raw Data Sales'!I243:I1241)"),"Luisa Royan")</f>
        <v>Luisa Royan</v>
      </c>
      <c r="B243" s="6" t="str">
        <f>IFERROR(__xludf.DUMMYFUNCTION("""COMPUTED_VALUE"""),"lroyan6p@diigo.com")</f>
        <v>lroyan6p@diigo.com</v>
      </c>
      <c r="C243" s="6" t="str">
        <f>IFERROR(__xludf.DUMMYFUNCTION("""COMPUTED_VALUE"""),"United States")</f>
        <v>United States</v>
      </c>
      <c r="D243" s="6">
        <f>COUNTIFS('Raw Data Sales'!H243:H1241, LEFT(A243, FIND(" ",A243)-1), 'Raw Data Sales'!I243:I1241, MID(A243, FIND(" ",A243)+1, 100))</f>
        <v>1</v>
      </c>
      <c r="E243" s="6">
        <f>SUMIFS('Raw Data Sales'!M243:M1241, 'Raw Data Sales'!H243:H1241, LEFT(A243, FIND(" ",A243)-1), 'Raw Data Sales'!I243:I1241, MID(A243, FIND(" ",A243)+1, 100))</f>
        <v>20</v>
      </c>
      <c r="F243" s="6">
        <f>SUMIFS('Raw Data Sales'!N243:N1241, 'Raw Data Sales'!H243:H1241, LEFT(A243, FIND(" ",A243)-1), 'Raw Data Sales'!I243:I1241, MID(A243, FIND(" ",A243)+1, 100))</f>
        <v>9634.93</v>
      </c>
    </row>
    <row r="244">
      <c r="A244" s="6" t="str">
        <f>IFERROR(__xludf.DUMMYFUNCTION("UNIQUE('Raw Data Sales'!H244:H1242 &amp; "" "" &amp; 'Raw Data Sales'!I244:I1242)"),"Grover Hambridge")</f>
        <v>Grover Hambridge</v>
      </c>
      <c r="B244" s="6" t="str">
        <f>IFERROR(__xludf.DUMMYFUNCTION("""COMPUTED_VALUE"""),"ghambridge6q@answers.com")</f>
        <v>ghambridge6q@answers.com</v>
      </c>
      <c r="C244" s="6" t="str">
        <f>IFERROR(__xludf.DUMMYFUNCTION("""COMPUTED_VALUE"""),"Netherlands")</f>
        <v>Netherlands</v>
      </c>
      <c r="D244" s="6">
        <f>COUNTIFS('Raw Data Sales'!H244:H1242, LEFT(A244, FIND(" ",A244)-1), 'Raw Data Sales'!I244:I1242, MID(A244, FIND(" ",A244)+1, 100))</f>
        <v>1</v>
      </c>
      <c r="E244" s="6">
        <f>SUMIFS('Raw Data Sales'!M244:M1242, 'Raw Data Sales'!H244:H1242, LEFT(A244, FIND(" ",A244)-1), 'Raw Data Sales'!I244:I1242, MID(A244, FIND(" ",A244)+1, 100))</f>
        <v>65</v>
      </c>
      <c r="F244" s="6">
        <f>SUMIFS('Raw Data Sales'!N244:N1242, 'Raw Data Sales'!H244:H1242, LEFT(A244, FIND(" ",A244)-1), 'Raw Data Sales'!I244:I1242, MID(A244, FIND(" ",A244)+1, 100))</f>
        <v>498.42</v>
      </c>
    </row>
    <row r="245">
      <c r="A245" s="6" t="str">
        <f>IFERROR(__xludf.DUMMYFUNCTION("UNIQUE('Raw Data Sales'!H245:H1243 &amp; "" "" &amp; 'Raw Data Sales'!I245:I1243)"),"Kennan Priddie")</f>
        <v>Kennan Priddie</v>
      </c>
      <c r="B245" s="6" t="str">
        <f>IFERROR(__xludf.DUMMYFUNCTION("""COMPUTED_VALUE"""),"kpriddie6r@reference.com")</f>
        <v>kpriddie6r@reference.com</v>
      </c>
      <c r="C245" s="6" t="str">
        <f>IFERROR(__xludf.DUMMYFUNCTION("""COMPUTED_VALUE"""),"Yemen")</f>
        <v>Yemen</v>
      </c>
      <c r="D245" s="6">
        <f>COUNTIFS('Raw Data Sales'!H245:H1243, LEFT(A245, FIND(" ",A245)-1), 'Raw Data Sales'!I245:I1243, MID(A245, FIND(" ",A245)+1, 100))</f>
        <v>1</v>
      </c>
      <c r="E245" s="6">
        <f>SUMIFS('Raw Data Sales'!M245:M1243, 'Raw Data Sales'!H245:H1243, LEFT(A245, FIND(" ",A245)-1), 'Raw Data Sales'!I245:I1243, MID(A245, FIND(" ",A245)+1, 100))</f>
        <v>51</v>
      </c>
      <c r="F245" s="6">
        <f>SUMIFS('Raw Data Sales'!N245:N1243, 'Raw Data Sales'!H245:H1243, LEFT(A245, FIND(" ",A245)-1), 'Raw Data Sales'!I245:I1243, MID(A245, FIND(" ",A245)+1, 100))</f>
        <v>8334.42</v>
      </c>
    </row>
    <row r="246">
      <c r="A246" s="6" t="str">
        <f>IFERROR(__xludf.DUMMYFUNCTION("UNIQUE('Raw Data Sales'!H246:H1244 &amp; "" "" &amp; 'Raw Data Sales'!I246:I1244)"),"Cinderella Wike")</f>
        <v>Cinderella Wike</v>
      </c>
      <c r="B246" s="6" t="str">
        <f>IFERROR(__xludf.DUMMYFUNCTION("""COMPUTED_VALUE"""),"cwike6s@sphinn.com")</f>
        <v>cwike6s@sphinn.com</v>
      </c>
      <c r="C246" s="6" t="str">
        <f>IFERROR(__xludf.DUMMYFUNCTION("""COMPUTED_VALUE"""),"Czech Republic")</f>
        <v>Czech Republic</v>
      </c>
      <c r="D246" s="6">
        <f>COUNTIFS('Raw Data Sales'!H246:H1244, LEFT(A246, FIND(" ",A246)-1), 'Raw Data Sales'!I246:I1244, MID(A246, FIND(" ",A246)+1, 100))</f>
        <v>1</v>
      </c>
      <c r="E246" s="6">
        <f>SUMIFS('Raw Data Sales'!M246:M1244, 'Raw Data Sales'!H246:H1244, LEFT(A246, FIND(" ",A246)-1), 'Raw Data Sales'!I246:I1244, MID(A246, FIND(" ",A246)+1, 100))</f>
        <v>75</v>
      </c>
      <c r="F246" s="6">
        <f>SUMIFS('Raw Data Sales'!N246:N1244, 'Raw Data Sales'!H246:H1244, LEFT(A246, FIND(" ",A246)-1), 'Raw Data Sales'!I246:I1244, MID(A246, FIND(" ",A246)+1, 100))</f>
        <v>2929.18</v>
      </c>
    </row>
    <row r="247">
      <c r="A247" s="6" t="str">
        <f>IFERROR(__xludf.DUMMYFUNCTION("UNIQUE('Raw Data Sales'!H247:H1245 &amp; "" "" &amp; 'Raw Data Sales'!I247:I1245)"),"Fanya Engley")</f>
        <v>Fanya Engley</v>
      </c>
      <c r="B247" s="6" t="str">
        <f>IFERROR(__xludf.DUMMYFUNCTION("""COMPUTED_VALUE"""),"fengley6t@tmall.com")</f>
        <v>fengley6t@tmall.com</v>
      </c>
      <c r="C247" s="6" t="str">
        <f>IFERROR(__xludf.DUMMYFUNCTION("""COMPUTED_VALUE"""),"France")</f>
        <v>France</v>
      </c>
      <c r="D247" s="6">
        <f>COUNTIFS('Raw Data Sales'!H247:H1245, LEFT(A247, FIND(" ",A247)-1), 'Raw Data Sales'!I247:I1245, MID(A247, FIND(" ",A247)+1, 100))</f>
        <v>1</v>
      </c>
      <c r="E247" s="6">
        <f>SUMIFS('Raw Data Sales'!M247:M1245, 'Raw Data Sales'!H247:H1245, LEFT(A247, FIND(" ",A247)-1), 'Raw Data Sales'!I247:I1245, MID(A247, FIND(" ",A247)+1, 100))</f>
        <v>77</v>
      </c>
      <c r="F247" s="6">
        <f>SUMIFS('Raw Data Sales'!N247:N1245, 'Raw Data Sales'!H247:H1245, LEFT(A247, FIND(" ",A247)-1), 'Raw Data Sales'!I247:I1245, MID(A247, FIND(" ",A247)+1, 100))</f>
        <v>9863.18</v>
      </c>
    </row>
    <row r="248">
      <c r="A248" s="6" t="str">
        <f>IFERROR(__xludf.DUMMYFUNCTION("UNIQUE('Raw Data Sales'!H248:H1246 &amp; "" "" &amp; 'Raw Data Sales'!I248:I1246)"),"Angele Goranov")</f>
        <v>Angele Goranov</v>
      </c>
      <c r="B248" s="6" t="str">
        <f>IFERROR(__xludf.DUMMYFUNCTION("""COMPUTED_VALUE"""),"agoranov6u@whitehouse.gov")</f>
        <v>agoranov6u@whitehouse.gov</v>
      </c>
      <c r="C248" s="6" t="str">
        <f>IFERROR(__xludf.DUMMYFUNCTION("""COMPUTED_VALUE"""),"China")</f>
        <v>China</v>
      </c>
      <c r="D248" s="6">
        <f>COUNTIFS('Raw Data Sales'!H248:H1246, LEFT(A248, FIND(" ",A248)-1), 'Raw Data Sales'!I248:I1246, MID(A248, FIND(" ",A248)+1, 100))</f>
        <v>1</v>
      </c>
      <c r="E248" s="6">
        <f>SUMIFS('Raw Data Sales'!M248:M1246, 'Raw Data Sales'!H248:H1246, LEFT(A248, FIND(" ",A248)-1), 'Raw Data Sales'!I248:I1246, MID(A248, FIND(" ",A248)+1, 100))</f>
        <v>17</v>
      </c>
      <c r="F248" s="6">
        <f>SUMIFS('Raw Data Sales'!N248:N1246, 'Raw Data Sales'!H248:H1246, LEFT(A248, FIND(" ",A248)-1), 'Raw Data Sales'!I248:I1246, MID(A248, FIND(" ",A248)+1, 100))</f>
        <v>2191.97</v>
      </c>
    </row>
    <row r="249">
      <c r="A249" s="6" t="str">
        <f>IFERROR(__xludf.DUMMYFUNCTION("UNIQUE('Raw Data Sales'!H249:H1247 &amp; "" "" &amp; 'Raw Data Sales'!I249:I1247)"),"Dall Grishmanov")</f>
        <v>Dall Grishmanov</v>
      </c>
      <c r="B249" s="6" t="str">
        <f>IFERROR(__xludf.DUMMYFUNCTION("""COMPUTED_VALUE"""),"dgrishmanov6v@vk.com")</f>
        <v>dgrishmanov6v@vk.com</v>
      </c>
      <c r="C249" s="6" t="str">
        <f>IFERROR(__xludf.DUMMYFUNCTION("""COMPUTED_VALUE"""),"Croatia")</f>
        <v>Croatia</v>
      </c>
      <c r="D249" s="6">
        <f>COUNTIFS('Raw Data Sales'!H249:H1247, LEFT(A249, FIND(" ",A249)-1), 'Raw Data Sales'!I249:I1247, MID(A249, FIND(" ",A249)+1, 100))</f>
        <v>1</v>
      </c>
      <c r="E249" s="6">
        <f>SUMIFS('Raw Data Sales'!M249:M1247, 'Raw Data Sales'!H249:H1247, LEFT(A249, FIND(" ",A249)-1), 'Raw Data Sales'!I249:I1247, MID(A249, FIND(" ",A249)+1, 100))</f>
        <v>91</v>
      </c>
      <c r="F249" s="6">
        <f>SUMIFS('Raw Data Sales'!N249:N1247, 'Raw Data Sales'!H249:H1247, LEFT(A249, FIND(" ",A249)-1), 'Raw Data Sales'!I249:I1247, MID(A249, FIND(" ",A249)+1, 100))</f>
        <v>9573.63</v>
      </c>
    </row>
    <row r="250">
      <c r="A250" s="6" t="str">
        <f>IFERROR(__xludf.DUMMYFUNCTION("UNIQUE('Raw Data Sales'!H250:H1248 &amp; "" "" &amp; 'Raw Data Sales'!I250:I1248)"),"Connor Wenderoth")</f>
        <v>Connor Wenderoth</v>
      </c>
      <c r="B250" s="6" t="str">
        <f>IFERROR(__xludf.DUMMYFUNCTION("""COMPUTED_VALUE"""),"cwenderoth6w@yellowbook.com")</f>
        <v>cwenderoth6w@yellowbook.com</v>
      </c>
      <c r="C250" s="6" t="str">
        <f>IFERROR(__xludf.DUMMYFUNCTION("""COMPUTED_VALUE"""),"Luxembourg")</f>
        <v>Luxembourg</v>
      </c>
      <c r="D250" s="6">
        <f>COUNTIFS('Raw Data Sales'!H250:H1248, LEFT(A250, FIND(" ",A250)-1), 'Raw Data Sales'!I250:I1248, MID(A250, FIND(" ",A250)+1, 100))</f>
        <v>1</v>
      </c>
      <c r="E250" s="6">
        <f>SUMIFS('Raw Data Sales'!M250:M1248, 'Raw Data Sales'!H250:H1248, LEFT(A250, FIND(" ",A250)-1), 'Raw Data Sales'!I250:I1248, MID(A250, FIND(" ",A250)+1, 100))</f>
        <v>50</v>
      </c>
      <c r="F250" s="6">
        <f>SUMIFS('Raw Data Sales'!N250:N1248, 'Raw Data Sales'!H250:H1248, LEFT(A250, FIND(" ",A250)-1), 'Raw Data Sales'!I250:I1248, MID(A250, FIND(" ",A250)+1, 100))</f>
        <v>7615.86</v>
      </c>
    </row>
    <row r="251">
      <c r="A251" s="6" t="str">
        <f>IFERROR(__xludf.DUMMYFUNCTION("UNIQUE('Raw Data Sales'!H251:H1249 &amp; "" "" &amp; 'Raw Data Sales'!I251:I1249)"),"Pierson Feavearyear")</f>
        <v>Pierson Feavearyear</v>
      </c>
      <c r="B251" s="6" t="str">
        <f>IFERROR(__xludf.DUMMYFUNCTION("""COMPUTED_VALUE"""),"pfeavearyear6x@cbc.ca")</f>
        <v>pfeavearyear6x@cbc.ca</v>
      </c>
      <c r="C251" s="6" t="str">
        <f>IFERROR(__xludf.DUMMYFUNCTION("""COMPUTED_VALUE"""),"China")</f>
        <v>China</v>
      </c>
      <c r="D251" s="6">
        <f>COUNTIFS('Raw Data Sales'!H251:H1249, LEFT(A251, FIND(" ",A251)-1), 'Raw Data Sales'!I251:I1249, MID(A251, FIND(" ",A251)+1, 100))</f>
        <v>1</v>
      </c>
      <c r="E251" s="6">
        <f>SUMIFS('Raw Data Sales'!M251:M1249, 'Raw Data Sales'!H251:H1249, LEFT(A251, FIND(" ",A251)-1), 'Raw Data Sales'!I251:I1249, MID(A251, FIND(" ",A251)+1, 100))</f>
        <v>83</v>
      </c>
      <c r="F251" s="6">
        <f>SUMIFS('Raw Data Sales'!N251:N1249, 'Raw Data Sales'!H251:H1249, LEFT(A251, FIND(" ",A251)-1), 'Raw Data Sales'!I251:I1249, MID(A251, FIND(" ",A251)+1, 100))</f>
        <v>7725.92</v>
      </c>
    </row>
    <row r="252">
      <c r="A252" s="6" t="str">
        <f>IFERROR(__xludf.DUMMYFUNCTION("UNIQUE('Raw Data Sales'!H252:H1250 &amp; "" "" &amp; 'Raw Data Sales'!I252:I1250)"),"Lodovico Bennough")</f>
        <v>Lodovico Bennough</v>
      </c>
      <c r="B252" s="6" t="str">
        <f>IFERROR(__xludf.DUMMYFUNCTION("""COMPUTED_VALUE"""),"lbennough6y@forbes.com")</f>
        <v>lbennough6y@forbes.com</v>
      </c>
      <c r="C252" s="6" t="str">
        <f>IFERROR(__xludf.DUMMYFUNCTION("""COMPUTED_VALUE"""),"Philippines")</f>
        <v>Philippines</v>
      </c>
      <c r="D252" s="6">
        <f>COUNTIFS('Raw Data Sales'!H252:H1250, LEFT(A252, FIND(" ",A252)-1), 'Raw Data Sales'!I252:I1250, MID(A252, FIND(" ",A252)+1, 100))</f>
        <v>1</v>
      </c>
      <c r="E252" s="6">
        <f>SUMIFS('Raw Data Sales'!M252:M1250, 'Raw Data Sales'!H252:H1250, LEFT(A252, FIND(" ",A252)-1), 'Raw Data Sales'!I252:I1250, MID(A252, FIND(" ",A252)+1, 100))</f>
        <v>79</v>
      </c>
      <c r="F252" s="6">
        <f>SUMIFS('Raw Data Sales'!N252:N1250, 'Raw Data Sales'!H252:H1250, LEFT(A252, FIND(" ",A252)-1), 'Raw Data Sales'!I252:I1250, MID(A252, FIND(" ",A252)+1, 100))</f>
        <v>7845.5</v>
      </c>
    </row>
    <row r="253">
      <c r="A253" s="6" t="str">
        <f>IFERROR(__xludf.DUMMYFUNCTION("UNIQUE('Raw Data Sales'!H253:H1251 &amp; "" "" &amp; 'Raw Data Sales'!I253:I1251)"),"Brod Inkpin")</f>
        <v>Brod Inkpin</v>
      </c>
      <c r="B253" s="6" t="str">
        <f>IFERROR(__xludf.DUMMYFUNCTION("""COMPUTED_VALUE"""),"binkpin6z@wired.com")</f>
        <v>binkpin6z@wired.com</v>
      </c>
      <c r="C253" s="6" t="str">
        <f>IFERROR(__xludf.DUMMYFUNCTION("""COMPUTED_VALUE"""),"Afghanistan")</f>
        <v>Afghanistan</v>
      </c>
      <c r="D253" s="6">
        <f>COUNTIFS('Raw Data Sales'!H253:H1251, LEFT(A253, FIND(" ",A253)-1), 'Raw Data Sales'!I253:I1251, MID(A253, FIND(" ",A253)+1, 100))</f>
        <v>1</v>
      </c>
      <c r="E253" s="6">
        <f>SUMIFS('Raw Data Sales'!M253:M1251, 'Raw Data Sales'!H253:H1251, LEFT(A253, FIND(" ",A253)-1), 'Raw Data Sales'!I253:I1251, MID(A253, FIND(" ",A253)+1, 100))</f>
        <v>76</v>
      </c>
      <c r="F253" s="6">
        <f>SUMIFS('Raw Data Sales'!N253:N1251, 'Raw Data Sales'!H253:H1251, LEFT(A253, FIND(" ",A253)-1), 'Raw Data Sales'!I253:I1251, MID(A253, FIND(" ",A253)+1, 100))</f>
        <v>5442.2</v>
      </c>
    </row>
    <row r="254">
      <c r="A254" s="6" t="str">
        <f>IFERROR(__xludf.DUMMYFUNCTION("UNIQUE('Raw Data Sales'!H254:H1252 &amp; "" "" &amp; 'Raw Data Sales'!I254:I1252)"),"Sammy Karpenya")</f>
        <v>Sammy Karpenya</v>
      </c>
      <c r="B254" s="6" t="str">
        <f>IFERROR(__xludf.DUMMYFUNCTION("""COMPUTED_VALUE"""),"skarpenya70@narod.ru")</f>
        <v>skarpenya70@narod.ru</v>
      </c>
      <c r="C254" s="6" t="str">
        <f>IFERROR(__xludf.DUMMYFUNCTION("""COMPUTED_VALUE"""),"Indonesia")</f>
        <v>Indonesia</v>
      </c>
      <c r="D254" s="6">
        <f>COUNTIFS('Raw Data Sales'!H254:H1252, LEFT(A254, FIND(" ",A254)-1), 'Raw Data Sales'!I254:I1252, MID(A254, FIND(" ",A254)+1, 100))</f>
        <v>1</v>
      </c>
      <c r="E254" s="6">
        <f>SUMIFS('Raw Data Sales'!M254:M1252, 'Raw Data Sales'!H254:H1252, LEFT(A254, FIND(" ",A254)-1), 'Raw Data Sales'!I254:I1252, MID(A254, FIND(" ",A254)+1, 100))</f>
        <v>63</v>
      </c>
      <c r="F254" s="6">
        <f>SUMIFS('Raw Data Sales'!N254:N1252, 'Raw Data Sales'!H254:H1252, LEFT(A254, FIND(" ",A254)-1), 'Raw Data Sales'!I254:I1252, MID(A254, FIND(" ",A254)+1, 100))</f>
        <v>6259.13</v>
      </c>
    </row>
    <row r="255">
      <c r="A255" s="6" t="str">
        <f>IFERROR(__xludf.DUMMYFUNCTION("UNIQUE('Raw Data Sales'!H255:H1253 &amp; "" "" &amp; 'Raw Data Sales'!I255:I1253)"),"Delinda Cinnamond")</f>
        <v>Delinda Cinnamond</v>
      </c>
      <c r="B255" s="6" t="str">
        <f>IFERROR(__xludf.DUMMYFUNCTION("""COMPUTED_VALUE"""),"dcinnamond71@xrea.com")</f>
        <v>dcinnamond71@xrea.com</v>
      </c>
      <c r="C255" s="6" t="str">
        <f>IFERROR(__xludf.DUMMYFUNCTION("""COMPUTED_VALUE"""),"Sweden")</f>
        <v>Sweden</v>
      </c>
      <c r="D255" s="6">
        <f>COUNTIFS('Raw Data Sales'!H255:H1253, LEFT(A255, FIND(" ",A255)-1), 'Raw Data Sales'!I255:I1253, MID(A255, FIND(" ",A255)+1, 100))</f>
        <v>1</v>
      </c>
      <c r="E255" s="6">
        <f>SUMIFS('Raw Data Sales'!M255:M1253, 'Raw Data Sales'!H255:H1253, LEFT(A255, FIND(" ",A255)-1), 'Raw Data Sales'!I255:I1253, MID(A255, FIND(" ",A255)+1, 100))</f>
        <v>48</v>
      </c>
      <c r="F255" s="6">
        <f>SUMIFS('Raw Data Sales'!N255:N1253, 'Raw Data Sales'!H255:H1253, LEFT(A255, FIND(" ",A255)-1), 'Raw Data Sales'!I255:I1253, MID(A255, FIND(" ",A255)+1, 100))</f>
        <v>8859</v>
      </c>
    </row>
    <row r="256">
      <c r="A256" s="6" t="str">
        <f>IFERROR(__xludf.DUMMYFUNCTION("UNIQUE('Raw Data Sales'!H256:H1254 &amp; "" "" &amp; 'Raw Data Sales'!I256:I1254)"),"Sayer Augustus")</f>
        <v>Sayer Augustus</v>
      </c>
      <c r="B256" s="6" t="str">
        <f>IFERROR(__xludf.DUMMYFUNCTION("""COMPUTED_VALUE"""),"saugustus72@mayoclinic.com")</f>
        <v>saugustus72@mayoclinic.com</v>
      </c>
      <c r="C256" s="6" t="str">
        <f>IFERROR(__xludf.DUMMYFUNCTION("""COMPUTED_VALUE"""),"Colombia")</f>
        <v>Colombia</v>
      </c>
      <c r="D256" s="6">
        <f>COUNTIFS('Raw Data Sales'!H256:H1254, LEFT(A256, FIND(" ",A256)-1), 'Raw Data Sales'!I256:I1254, MID(A256, FIND(" ",A256)+1, 100))</f>
        <v>1</v>
      </c>
      <c r="E256" s="6">
        <f>SUMIFS('Raw Data Sales'!M256:M1254, 'Raw Data Sales'!H256:H1254, LEFT(A256, FIND(" ",A256)-1), 'Raw Data Sales'!I256:I1254, MID(A256, FIND(" ",A256)+1, 100))</f>
        <v>49</v>
      </c>
      <c r="F256" s="6">
        <f>SUMIFS('Raw Data Sales'!N256:N1254, 'Raw Data Sales'!H256:H1254, LEFT(A256, FIND(" ",A256)-1), 'Raw Data Sales'!I256:I1254, MID(A256, FIND(" ",A256)+1, 100))</f>
        <v>3773.55</v>
      </c>
    </row>
    <row r="257">
      <c r="A257" s="6" t="str">
        <f>IFERROR(__xludf.DUMMYFUNCTION("UNIQUE('Raw Data Sales'!H257:H1255 &amp; "" "" &amp; 'Raw Data Sales'!I257:I1255)"),"Ursala Izkoveski")</f>
        <v>Ursala Izkoveski</v>
      </c>
      <c r="B257" s="6" t="str">
        <f>IFERROR(__xludf.DUMMYFUNCTION("""COMPUTED_VALUE"""),"uizkoveski73@51.la")</f>
        <v>uizkoveski73@51.la</v>
      </c>
      <c r="C257" s="6" t="str">
        <f>IFERROR(__xludf.DUMMYFUNCTION("""COMPUTED_VALUE"""),"United States")</f>
        <v>United States</v>
      </c>
      <c r="D257" s="6">
        <f>COUNTIFS('Raw Data Sales'!H257:H1255, LEFT(A257, FIND(" ",A257)-1), 'Raw Data Sales'!I257:I1255, MID(A257, FIND(" ",A257)+1, 100))</f>
        <v>1</v>
      </c>
      <c r="E257" s="6">
        <f>SUMIFS('Raw Data Sales'!M257:M1255, 'Raw Data Sales'!H257:H1255, LEFT(A257, FIND(" ",A257)-1), 'Raw Data Sales'!I257:I1255, MID(A257, FIND(" ",A257)+1, 100))</f>
        <v>59</v>
      </c>
      <c r="F257" s="6">
        <f>SUMIFS('Raw Data Sales'!N257:N1255, 'Raw Data Sales'!H257:H1255, LEFT(A257, FIND(" ",A257)-1), 'Raw Data Sales'!I257:I1255, MID(A257, FIND(" ",A257)+1, 100))</f>
        <v>6120.98</v>
      </c>
    </row>
    <row r="258">
      <c r="A258" s="6" t="str">
        <f>IFERROR(__xludf.DUMMYFUNCTION("UNIQUE('Raw Data Sales'!H258:H1256 &amp; "" "" &amp; 'Raw Data Sales'!I258:I1256)"),"Regine Longmuir")</f>
        <v>Regine Longmuir</v>
      </c>
      <c r="B258" s="6" t="str">
        <f>IFERROR(__xludf.DUMMYFUNCTION("""COMPUTED_VALUE"""),"rlongmuir74@1688.com")</f>
        <v>rlongmuir74@1688.com</v>
      </c>
      <c r="C258" s="6" t="str">
        <f>IFERROR(__xludf.DUMMYFUNCTION("""COMPUTED_VALUE"""),"Russia")</f>
        <v>Russia</v>
      </c>
      <c r="D258" s="6">
        <f>COUNTIFS('Raw Data Sales'!H258:H1256, LEFT(A258, FIND(" ",A258)-1), 'Raw Data Sales'!I258:I1256, MID(A258, FIND(" ",A258)+1, 100))</f>
        <v>1</v>
      </c>
      <c r="E258" s="6">
        <f>SUMIFS('Raw Data Sales'!M258:M1256, 'Raw Data Sales'!H258:H1256, LEFT(A258, FIND(" ",A258)-1), 'Raw Data Sales'!I258:I1256, MID(A258, FIND(" ",A258)+1, 100))</f>
        <v>41</v>
      </c>
      <c r="F258" s="6">
        <f>SUMIFS('Raw Data Sales'!N258:N1256, 'Raw Data Sales'!H258:H1256, LEFT(A258, FIND(" ",A258)-1), 'Raw Data Sales'!I258:I1256, MID(A258, FIND(" ",A258)+1, 100))</f>
        <v>973.91</v>
      </c>
    </row>
    <row r="259">
      <c r="A259" s="6" t="str">
        <f>IFERROR(__xludf.DUMMYFUNCTION("UNIQUE('Raw Data Sales'!H259:H1257 &amp; "" "" &amp; 'Raw Data Sales'!I259:I1257)"),"Decca Featherstonhaugh")</f>
        <v>Decca Featherstonhaugh</v>
      </c>
      <c r="B259" s="6" t="str">
        <f>IFERROR(__xludf.DUMMYFUNCTION("""COMPUTED_VALUE"""),"dfeatherstonhaugh75@theguardian.com")</f>
        <v>dfeatherstonhaugh75@theguardian.com</v>
      </c>
      <c r="C259" s="6" t="str">
        <f>IFERROR(__xludf.DUMMYFUNCTION("""COMPUTED_VALUE"""),"Iran")</f>
        <v>Iran</v>
      </c>
      <c r="D259" s="6">
        <f>COUNTIFS('Raw Data Sales'!H259:H1257, LEFT(A259, FIND(" ",A259)-1), 'Raw Data Sales'!I259:I1257, MID(A259, FIND(" ",A259)+1, 100))</f>
        <v>1</v>
      </c>
      <c r="E259" s="6">
        <f>SUMIFS('Raw Data Sales'!M259:M1257, 'Raw Data Sales'!H259:H1257, LEFT(A259, FIND(" ",A259)-1), 'Raw Data Sales'!I259:I1257, MID(A259, FIND(" ",A259)+1, 100))</f>
        <v>34</v>
      </c>
      <c r="F259" s="6">
        <f>SUMIFS('Raw Data Sales'!N259:N1257, 'Raw Data Sales'!H259:H1257, LEFT(A259, FIND(" ",A259)-1), 'Raw Data Sales'!I259:I1257, MID(A259, FIND(" ",A259)+1, 100))</f>
        <v>4748.66</v>
      </c>
    </row>
    <row r="260">
      <c r="A260" s="6" t="str">
        <f>IFERROR(__xludf.DUMMYFUNCTION("UNIQUE('Raw Data Sales'!H260:H1258 &amp; "" "" &amp; 'Raw Data Sales'!I260:I1258)"),"Pooh Riddall")</f>
        <v>Pooh Riddall</v>
      </c>
      <c r="B260" s="6" t="str">
        <f>IFERROR(__xludf.DUMMYFUNCTION("""COMPUTED_VALUE"""),"priddall76@storify.com")</f>
        <v>priddall76@storify.com</v>
      </c>
      <c r="C260" s="6" t="str">
        <f>IFERROR(__xludf.DUMMYFUNCTION("""COMPUTED_VALUE"""),"Russia")</f>
        <v>Russia</v>
      </c>
      <c r="D260" s="6">
        <f>COUNTIFS('Raw Data Sales'!H260:H1258, LEFT(A260, FIND(" ",A260)-1), 'Raw Data Sales'!I260:I1258, MID(A260, FIND(" ",A260)+1, 100))</f>
        <v>1</v>
      </c>
      <c r="E260" s="6">
        <f>SUMIFS('Raw Data Sales'!M260:M1258, 'Raw Data Sales'!H260:H1258, LEFT(A260, FIND(" ",A260)-1), 'Raw Data Sales'!I260:I1258, MID(A260, FIND(" ",A260)+1, 100))</f>
        <v>39</v>
      </c>
      <c r="F260" s="6">
        <f>SUMIFS('Raw Data Sales'!N260:N1258, 'Raw Data Sales'!H260:H1258, LEFT(A260, FIND(" ",A260)-1), 'Raw Data Sales'!I260:I1258, MID(A260, FIND(" ",A260)+1, 100))</f>
        <v>8665.04</v>
      </c>
    </row>
    <row r="261">
      <c r="A261" s="6" t="str">
        <f>IFERROR(__xludf.DUMMYFUNCTION("UNIQUE('Raw Data Sales'!H261:H1259 &amp; "" "" &amp; 'Raw Data Sales'!I261:I1259)"),"Jyoti Sangwine")</f>
        <v>Jyoti Sangwine</v>
      </c>
      <c r="B261" s="6" t="str">
        <f>IFERROR(__xludf.DUMMYFUNCTION("""COMPUTED_VALUE"""),"jsangwine77@moonfruit.com")</f>
        <v>jsangwine77@moonfruit.com</v>
      </c>
      <c r="C261" s="6" t="str">
        <f>IFERROR(__xludf.DUMMYFUNCTION("""COMPUTED_VALUE"""),"China")</f>
        <v>China</v>
      </c>
      <c r="D261" s="6">
        <f>COUNTIFS('Raw Data Sales'!H261:H1259, LEFT(A261, FIND(" ",A261)-1), 'Raw Data Sales'!I261:I1259, MID(A261, FIND(" ",A261)+1, 100))</f>
        <v>1</v>
      </c>
      <c r="E261" s="6">
        <f>SUMIFS('Raw Data Sales'!M261:M1259, 'Raw Data Sales'!H261:H1259, LEFT(A261, FIND(" ",A261)-1), 'Raw Data Sales'!I261:I1259, MID(A261, FIND(" ",A261)+1, 100))</f>
        <v>36</v>
      </c>
      <c r="F261" s="6">
        <f>SUMIFS('Raw Data Sales'!N261:N1259, 'Raw Data Sales'!H261:H1259, LEFT(A261, FIND(" ",A261)-1), 'Raw Data Sales'!I261:I1259, MID(A261, FIND(" ",A261)+1, 100))</f>
        <v>7849.79</v>
      </c>
    </row>
    <row r="262">
      <c r="A262" s="6" t="str">
        <f>IFERROR(__xludf.DUMMYFUNCTION("UNIQUE('Raw Data Sales'!H262:H1260 &amp; "" "" &amp; 'Raw Data Sales'!I262:I1260)"),"Katie Girardengo")</f>
        <v>Katie Girardengo</v>
      </c>
      <c r="B262" s="6" t="str">
        <f>IFERROR(__xludf.DUMMYFUNCTION("""COMPUTED_VALUE"""),"kgirardengo78@youku.com")</f>
        <v>kgirardengo78@youku.com</v>
      </c>
      <c r="C262" s="6" t="str">
        <f>IFERROR(__xludf.DUMMYFUNCTION("""COMPUTED_VALUE"""),"Indonesia")</f>
        <v>Indonesia</v>
      </c>
      <c r="D262" s="6">
        <f>COUNTIFS('Raw Data Sales'!H262:H1260, LEFT(A262, FIND(" ",A262)-1), 'Raw Data Sales'!I262:I1260, MID(A262, FIND(" ",A262)+1, 100))</f>
        <v>1</v>
      </c>
      <c r="E262" s="6">
        <f>SUMIFS('Raw Data Sales'!M262:M1260, 'Raw Data Sales'!H262:H1260, LEFT(A262, FIND(" ",A262)-1), 'Raw Data Sales'!I262:I1260, MID(A262, FIND(" ",A262)+1, 100))</f>
        <v>41</v>
      </c>
      <c r="F262" s="6">
        <f>SUMIFS('Raw Data Sales'!N262:N1260, 'Raw Data Sales'!H262:H1260, LEFT(A262, FIND(" ",A262)-1), 'Raw Data Sales'!I262:I1260, MID(A262, FIND(" ",A262)+1, 100))</f>
        <v>3785.13</v>
      </c>
    </row>
    <row r="263">
      <c r="A263" s="6" t="str">
        <f>IFERROR(__xludf.DUMMYFUNCTION("UNIQUE('Raw Data Sales'!H263:H1261 &amp; "" "" &amp; 'Raw Data Sales'!I263:I1261)"),"Lanny Votier")</f>
        <v>Lanny Votier</v>
      </c>
      <c r="B263" s="6" t="str">
        <f>IFERROR(__xludf.DUMMYFUNCTION("""COMPUTED_VALUE"""),"lvotier79@scientificamerican.com")</f>
        <v>lvotier79@scientificamerican.com</v>
      </c>
      <c r="C263" s="6" t="str">
        <f>IFERROR(__xludf.DUMMYFUNCTION("""COMPUTED_VALUE"""),"Poland")</f>
        <v>Poland</v>
      </c>
      <c r="D263" s="6">
        <f>COUNTIFS('Raw Data Sales'!H263:H1261, LEFT(A263, FIND(" ",A263)-1), 'Raw Data Sales'!I263:I1261, MID(A263, FIND(" ",A263)+1, 100))</f>
        <v>1</v>
      </c>
      <c r="E263" s="6">
        <f>SUMIFS('Raw Data Sales'!M263:M1261, 'Raw Data Sales'!H263:H1261, LEFT(A263, FIND(" ",A263)-1), 'Raw Data Sales'!I263:I1261, MID(A263, FIND(" ",A263)+1, 100))</f>
        <v>100</v>
      </c>
      <c r="F263" s="6">
        <f>SUMIFS('Raw Data Sales'!N263:N1261, 'Raw Data Sales'!H263:H1261, LEFT(A263, FIND(" ",A263)-1), 'Raw Data Sales'!I263:I1261, MID(A263, FIND(" ",A263)+1, 100))</f>
        <v>4823.66</v>
      </c>
    </row>
    <row r="264">
      <c r="A264" s="6" t="str">
        <f>IFERROR(__xludf.DUMMYFUNCTION("UNIQUE('Raw Data Sales'!H264:H1262 &amp; "" "" &amp; 'Raw Data Sales'!I264:I1262)"),"Alexandra Standall")</f>
        <v>Alexandra Standall</v>
      </c>
      <c r="B264" s="6" t="str">
        <f>IFERROR(__xludf.DUMMYFUNCTION("""COMPUTED_VALUE"""),"astandall7a@fema.gov")</f>
        <v>astandall7a@fema.gov</v>
      </c>
      <c r="C264" s="6" t="str">
        <f>IFERROR(__xludf.DUMMYFUNCTION("""COMPUTED_VALUE"""),"Micronesia")</f>
        <v>Micronesia</v>
      </c>
      <c r="D264" s="6">
        <f>COUNTIFS('Raw Data Sales'!H264:H1262, LEFT(A264, FIND(" ",A264)-1), 'Raw Data Sales'!I264:I1262, MID(A264, FIND(" ",A264)+1, 100))</f>
        <v>1</v>
      </c>
      <c r="E264" s="6">
        <f>SUMIFS('Raw Data Sales'!M264:M1262, 'Raw Data Sales'!H264:H1262, LEFT(A264, FIND(" ",A264)-1), 'Raw Data Sales'!I264:I1262, MID(A264, FIND(" ",A264)+1, 100))</f>
        <v>15</v>
      </c>
      <c r="F264" s="6">
        <f>SUMIFS('Raw Data Sales'!N264:N1262, 'Raw Data Sales'!H264:H1262, LEFT(A264, FIND(" ",A264)-1), 'Raw Data Sales'!I264:I1262, MID(A264, FIND(" ",A264)+1, 100))</f>
        <v>1184.52</v>
      </c>
    </row>
    <row r="265">
      <c r="A265" s="6" t="str">
        <f>IFERROR(__xludf.DUMMYFUNCTION("UNIQUE('Raw Data Sales'!H265:H1263 &amp; "" "" &amp; 'Raw Data Sales'!I265:I1263)"),"Darcy Hazelton")</f>
        <v>Darcy Hazelton</v>
      </c>
      <c r="B265" s="6" t="str">
        <f>IFERROR(__xludf.DUMMYFUNCTION("""COMPUTED_VALUE"""),"dhazelton7b@cmu.edu")</f>
        <v>dhazelton7b@cmu.edu</v>
      </c>
      <c r="C265" s="6" t="str">
        <f>IFERROR(__xludf.DUMMYFUNCTION("""COMPUTED_VALUE"""),"Myanmar")</f>
        <v>Myanmar</v>
      </c>
      <c r="D265" s="6">
        <f>COUNTIFS('Raw Data Sales'!H265:H1263, LEFT(A265, FIND(" ",A265)-1), 'Raw Data Sales'!I265:I1263, MID(A265, FIND(" ",A265)+1, 100))</f>
        <v>1</v>
      </c>
      <c r="E265" s="6">
        <f>SUMIFS('Raw Data Sales'!M265:M1263, 'Raw Data Sales'!H265:H1263, LEFT(A265, FIND(" ",A265)-1), 'Raw Data Sales'!I265:I1263, MID(A265, FIND(" ",A265)+1, 100))</f>
        <v>46</v>
      </c>
      <c r="F265" s="6">
        <f>SUMIFS('Raw Data Sales'!N265:N1263, 'Raw Data Sales'!H265:H1263, LEFT(A265, FIND(" ",A265)-1), 'Raw Data Sales'!I265:I1263, MID(A265, FIND(" ",A265)+1, 100))</f>
        <v>6336.26</v>
      </c>
    </row>
    <row r="266">
      <c r="A266" s="6" t="str">
        <f>IFERROR(__xludf.DUMMYFUNCTION("UNIQUE('Raw Data Sales'!H266:H1264 &amp; "" "" &amp; 'Raw Data Sales'!I266:I1264)"),"Wanids Rosiello")</f>
        <v>Wanids Rosiello</v>
      </c>
      <c r="B266" s="6" t="str">
        <f>IFERROR(__xludf.DUMMYFUNCTION("""COMPUTED_VALUE"""),"wrosiello7c@example.com")</f>
        <v>wrosiello7c@example.com</v>
      </c>
      <c r="C266" s="6" t="str">
        <f>IFERROR(__xludf.DUMMYFUNCTION("""COMPUTED_VALUE"""),"Russia")</f>
        <v>Russia</v>
      </c>
      <c r="D266" s="6">
        <f>COUNTIFS('Raw Data Sales'!H266:H1264, LEFT(A266, FIND(" ",A266)-1), 'Raw Data Sales'!I266:I1264, MID(A266, FIND(" ",A266)+1, 100))</f>
        <v>1</v>
      </c>
      <c r="E266" s="6">
        <f>SUMIFS('Raw Data Sales'!M266:M1264, 'Raw Data Sales'!H266:H1264, LEFT(A266, FIND(" ",A266)-1), 'Raw Data Sales'!I266:I1264, MID(A266, FIND(" ",A266)+1, 100))</f>
        <v>5</v>
      </c>
      <c r="F266" s="6">
        <f>SUMIFS('Raw Data Sales'!N266:N1264, 'Raw Data Sales'!H266:H1264, LEFT(A266, FIND(" ",A266)-1), 'Raw Data Sales'!I266:I1264, MID(A266, FIND(" ",A266)+1, 100))</f>
        <v>4737.74</v>
      </c>
    </row>
    <row r="267">
      <c r="A267" s="6" t="str">
        <f>IFERROR(__xludf.DUMMYFUNCTION("UNIQUE('Raw Data Sales'!H267:H1265 &amp; "" "" &amp; 'Raw Data Sales'!I267:I1265)"),"Erek Fruen")</f>
        <v>Erek Fruen</v>
      </c>
      <c r="B267" s="6" t="str">
        <f>IFERROR(__xludf.DUMMYFUNCTION("""COMPUTED_VALUE"""),"efruen7d@ft.com")</f>
        <v>efruen7d@ft.com</v>
      </c>
      <c r="C267" s="6" t="str">
        <f>IFERROR(__xludf.DUMMYFUNCTION("""COMPUTED_VALUE"""),"Malaysia")</f>
        <v>Malaysia</v>
      </c>
      <c r="D267" s="6">
        <f>COUNTIFS('Raw Data Sales'!H267:H1265, LEFT(A267, FIND(" ",A267)-1), 'Raw Data Sales'!I267:I1265, MID(A267, FIND(" ",A267)+1, 100))</f>
        <v>1</v>
      </c>
      <c r="E267" s="6">
        <f>SUMIFS('Raw Data Sales'!M267:M1265, 'Raw Data Sales'!H267:H1265, LEFT(A267, FIND(" ",A267)-1), 'Raw Data Sales'!I267:I1265, MID(A267, FIND(" ",A267)+1, 100))</f>
        <v>41</v>
      </c>
      <c r="F267" s="6">
        <f>SUMIFS('Raw Data Sales'!N267:N1265, 'Raw Data Sales'!H267:H1265, LEFT(A267, FIND(" ",A267)-1), 'Raw Data Sales'!I267:I1265, MID(A267, FIND(" ",A267)+1, 100))</f>
        <v>3418.45</v>
      </c>
    </row>
    <row r="268">
      <c r="A268" s="6" t="str">
        <f>IFERROR(__xludf.DUMMYFUNCTION("UNIQUE('Raw Data Sales'!H268:H1266 &amp; "" "" &amp; 'Raw Data Sales'!I268:I1266)"),"Halette Palay")</f>
        <v>Halette Palay</v>
      </c>
      <c r="B268" s="6" t="str">
        <f>IFERROR(__xludf.DUMMYFUNCTION("""COMPUTED_VALUE"""),"hpalay7e@nih.gov")</f>
        <v>hpalay7e@nih.gov</v>
      </c>
      <c r="C268" s="6" t="str">
        <f>IFERROR(__xludf.DUMMYFUNCTION("""COMPUTED_VALUE"""),"Bhutan")</f>
        <v>Bhutan</v>
      </c>
      <c r="D268" s="6">
        <f>COUNTIFS('Raw Data Sales'!H268:H1266, LEFT(A268, FIND(" ",A268)-1), 'Raw Data Sales'!I268:I1266, MID(A268, FIND(" ",A268)+1, 100))</f>
        <v>1</v>
      </c>
      <c r="E268" s="6">
        <f>SUMIFS('Raw Data Sales'!M268:M1266, 'Raw Data Sales'!H268:H1266, LEFT(A268, FIND(" ",A268)-1), 'Raw Data Sales'!I268:I1266, MID(A268, FIND(" ",A268)+1, 100))</f>
        <v>86</v>
      </c>
      <c r="F268" s="6">
        <f>SUMIFS('Raw Data Sales'!N268:N1266, 'Raw Data Sales'!H268:H1266, LEFT(A268, FIND(" ",A268)-1), 'Raw Data Sales'!I268:I1266, MID(A268, FIND(" ",A268)+1, 100))</f>
        <v>3200.67</v>
      </c>
    </row>
    <row r="269">
      <c r="A269" s="6" t="str">
        <f>IFERROR(__xludf.DUMMYFUNCTION("UNIQUE('Raw Data Sales'!H269:H1267 &amp; "" "" &amp; 'Raw Data Sales'!I269:I1267)"),"Marris Korpolak")</f>
        <v>Marris Korpolak</v>
      </c>
      <c r="B269" s="6" t="str">
        <f>IFERROR(__xludf.DUMMYFUNCTION("""COMPUTED_VALUE"""),"mkorpolak7f@marriott.com")</f>
        <v>mkorpolak7f@marriott.com</v>
      </c>
      <c r="C269" s="6" t="str">
        <f>IFERROR(__xludf.DUMMYFUNCTION("""COMPUTED_VALUE"""),"China")</f>
        <v>China</v>
      </c>
      <c r="D269" s="6">
        <f>COUNTIFS('Raw Data Sales'!H269:H1267, LEFT(A269, FIND(" ",A269)-1), 'Raw Data Sales'!I269:I1267, MID(A269, FIND(" ",A269)+1, 100))</f>
        <v>1</v>
      </c>
      <c r="E269" s="6">
        <f>SUMIFS('Raw Data Sales'!M269:M1267, 'Raw Data Sales'!H269:H1267, LEFT(A269, FIND(" ",A269)-1), 'Raw Data Sales'!I269:I1267, MID(A269, FIND(" ",A269)+1, 100))</f>
        <v>81</v>
      </c>
      <c r="F269" s="6">
        <f>SUMIFS('Raw Data Sales'!N269:N1267, 'Raw Data Sales'!H269:H1267, LEFT(A269, FIND(" ",A269)-1), 'Raw Data Sales'!I269:I1267, MID(A269, FIND(" ",A269)+1, 100))</f>
        <v>8624.19</v>
      </c>
    </row>
    <row r="270">
      <c r="A270" s="6" t="str">
        <f>IFERROR(__xludf.DUMMYFUNCTION("UNIQUE('Raw Data Sales'!H270:H1268 &amp; "" "" &amp; 'Raw Data Sales'!I270:I1268)"),"Fabian Ricardet")</f>
        <v>Fabian Ricardet</v>
      </c>
      <c r="B270" s="6" t="str">
        <f>IFERROR(__xludf.DUMMYFUNCTION("""COMPUTED_VALUE"""),"fricardet7g@cbslocal.com")</f>
        <v>fricardet7g@cbslocal.com</v>
      </c>
      <c r="C270" s="6" t="str">
        <f>IFERROR(__xludf.DUMMYFUNCTION("""COMPUTED_VALUE"""),"Slovenia")</f>
        <v>Slovenia</v>
      </c>
      <c r="D270" s="6">
        <f>COUNTIFS('Raw Data Sales'!H270:H1268, LEFT(A270, FIND(" ",A270)-1), 'Raw Data Sales'!I270:I1268, MID(A270, FIND(" ",A270)+1, 100))</f>
        <v>1</v>
      </c>
      <c r="E270" s="6">
        <f>SUMIFS('Raw Data Sales'!M270:M1268, 'Raw Data Sales'!H270:H1268, LEFT(A270, FIND(" ",A270)-1), 'Raw Data Sales'!I270:I1268, MID(A270, FIND(" ",A270)+1, 100))</f>
        <v>80</v>
      </c>
      <c r="F270" s="6">
        <f>SUMIFS('Raw Data Sales'!N270:N1268, 'Raw Data Sales'!H270:H1268, LEFT(A270, FIND(" ",A270)-1), 'Raw Data Sales'!I270:I1268, MID(A270, FIND(" ",A270)+1, 100))</f>
        <v>3105.16</v>
      </c>
    </row>
    <row r="271">
      <c r="A271" s="6" t="str">
        <f>IFERROR(__xludf.DUMMYFUNCTION("UNIQUE('Raw Data Sales'!H271:H1269 &amp; "" "" &amp; 'Raw Data Sales'!I271:I1269)"),"Laetitia Sarah")</f>
        <v>Laetitia Sarah</v>
      </c>
      <c r="B271" s="6" t="str">
        <f>IFERROR(__xludf.DUMMYFUNCTION("""COMPUTED_VALUE"""),"lsarah7h@google.cn")</f>
        <v>lsarah7h@google.cn</v>
      </c>
      <c r="C271" s="6" t="str">
        <f>IFERROR(__xludf.DUMMYFUNCTION("""COMPUTED_VALUE"""),"China")</f>
        <v>China</v>
      </c>
      <c r="D271" s="6">
        <f>COUNTIFS('Raw Data Sales'!H271:H1269, LEFT(A271, FIND(" ",A271)-1), 'Raw Data Sales'!I271:I1269, MID(A271, FIND(" ",A271)+1, 100))</f>
        <v>1</v>
      </c>
      <c r="E271" s="6">
        <f>SUMIFS('Raw Data Sales'!M271:M1269, 'Raw Data Sales'!H271:H1269, LEFT(A271, FIND(" ",A271)-1), 'Raw Data Sales'!I271:I1269, MID(A271, FIND(" ",A271)+1, 100))</f>
        <v>85</v>
      </c>
      <c r="F271" s="6">
        <f>SUMIFS('Raw Data Sales'!N271:N1269, 'Raw Data Sales'!H271:H1269, LEFT(A271, FIND(" ",A271)-1), 'Raw Data Sales'!I271:I1269, MID(A271, FIND(" ",A271)+1, 100))</f>
        <v>986.28</v>
      </c>
    </row>
    <row r="272">
      <c r="A272" s="6" t="str">
        <f>IFERROR(__xludf.DUMMYFUNCTION("UNIQUE('Raw Data Sales'!H272:H1270 &amp; "" "" &amp; 'Raw Data Sales'!I272:I1270)"),"Mathe Dransfield")</f>
        <v>Mathe Dransfield</v>
      </c>
      <c r="B272" s="6" t="str">
        <f>IFERROR(__xludf.DUMMYFUNCTION("""COMPUTED_VALUE"""),"mdransfield7i@shinystat.com")</f>
        <v>mdransfield7i@shinystat.com</v>
      </c>
      <c r="C272" s="6" t="str">
        <f>IFERROR(__xludf.DUMMYFUNCTION("""COMPUTED_VALUE"""),"Uganda")</f>
        <v>Uganda</v>
      </c>
      <c r="D272" s="6">
        <f>COUNTIFS('Raw Data Sales'!H272:H1270, LEFT(A272, FIND(" ",A272)-1), 'Raw Data Sales'!I272:I1270, MID(A272, FIND(" ",A272)+1, 100))</f>
        <v>1</v>
      </c>
      <c r="E272" s="6">
        <f>SUMIFS('Raw Data Sales'!M272:M1270, 'Raw Data Sales'!H272:H1270, LEFT(A272, FIND(" ",A272)-1), 'Raw Data Sales'!I272:I1270, MID(A272, FIND(" ",A272)+1, 100))</f>
        <v>96</v>
      </c>
      <c r="F272" s="6">
        <f>SUMIFS('Raw Data Sales'!N272:N1270, 'Raw Data Sales'!H272:H1270, LEFT(A272, FIND(" ",A272)-1), 'Raw Data Sales'!I272:I1270, MID(A272, FIND(" ",A272)+1, 100))</f>
        <v>3348.48</v>
      </c>
    </row>
    <row r="273">
      <c r="A273" s="6" t="str">
        <f>IFERROR(__xludf.DUMMYFUNCTION("UNIQUE('Raw Data Sales'!H273:H1271 &amp; "" "" &amp; 'Raw Data Sales'!I273:I1271)"),"Mendy Callendar")</f>
        <v>Mendy Callendar</v>
      </c>
      <c r="B273" s="6" t="str">
        <f>IFERROR(__xludf.DUMMYFUNCTION("""COMPUTED_VALUE"""),"mcallendar7j@is.gd")</f>
        <v>mcallendar7j@is.gd</v>
      </c>
      <c r="C273" s="6" t="str">
        <f>IFERROR(__xludf.DUMMYFUNCTION("""COMPUTED_VALUE"""),"Norway")</f>
        <v>Norway</v>
      </c>
      <c r="D273" s="6">
        <f>COUNTIFS('Raw Data Sales'!H273:H1271, LEFT(A273, FIND(" ",A273)-1), 'Raw Data Sales'!I273:I1271, MID(A273, FIND(" ",A273)+1, 100))</f>
        <v>1</v>
      </c>
      <c r="E273" s="6">
        <f>SUMIFS('Raw Data Sales'!M273:M1271, 'Raw Data Sales'!H273:H1271, LEFT(A273, FIND(" ",A273)-1), 'Raw Data Sales'!I273:I1271, MID(A273, FIND(" ",A273)+1, 100))</f>
        <v>13</v>
      </c>
      <c r="F273" s="6">
        <f>SUMIFS('Raw Data Sales'!N273:N1271, 'Raw Data Sales'!H273:H1271, LEFT(A273, FIND(" ",A273)-1), 'Raw Data Sales'!I273:I1271, MID(A273, FIND(" ",A273)+1, 100))</f>
        <v>476.66</v>
      </c>
    </row>
    <row r="274">
      <c r="A274" s="6" t="str">
        <f>IFERROR(__xludf.DUMMYFUNCTION("UNIQUE('Raw Data Sales'!H274:H1272 &amp; "" "" &amp; 'Raw Data Sales'!I274:I1272)"),"Gilemette Corse")</f>
        <v>Gilemette Corse</v>
      </c>
      <c r="B274" s="6" t="str">
        <f>IFERROR(__xludf.DUMMYFUNCTION("""COMPUTED_VALUE"""),"gcorse7k@comcast.net")</f>
        <v>gcorse7k@comcast.net</v>
      </c>
      <c r="C274" s="6" t="str">
        <f>IFERROR(__xludf.DUMMYFUNCTION("""COMPUTED_VALUE"""),"China")</f>
        <v>China</v>
      </c>
      <c r="D274" s="6">
        <f>COUNTIFS('Raw Data Sales'!H274:H1272, LEFT(A274, FIND(" ",A274)-1), 'Raw Data Sales'!I274:I1272, MID(A274, FIND(" ",A274)+1, 100))</f>
        <v>1</v>
      </c>
      <c r="E274" s="6">
        <f>SUMIFS('Raw Data Sales'!M274:M1272, 'Raw Data Sales'!H274:H1272, LEFT(A274, FIND(" ",A274)-1), 'Raw Data Sales'!I274:I1272, MID(A274, FIND(" ",A274)+1, 100))</f>
        <v>4</v>
      </c>
      <c r="F274" s="6">
        <f>SUMIFS('Raw Data Sales'!N274:N1272, 'Raw Data Sales'!H274:H1272, LEFT(A274, FIND(" ",A274)-1), 'Raw Data Sales'!I274:I1272, MID(A274, FIND(" ",A274)+1, 100))</f>
        <v>9627.04</v>
      </c>
    </row>
    <row r="275">
      <c r="A275" s="6" t="str">
        <f>IFERROR(__xludf.DUMMYFUNCTION("UNIQUE('Raw Data Sales'!H275:H1273 &amp; "" "" &amp; 'Raw Data Sales'!I275:I1273)"),"Corri Marchbank")</f>
        <v>Corri Marchbank</v>
      </c>
      <c r="B275" s="6" t="str">
        <f>IFERROR(__xludf.DUMMYFUNCTION("""COMPUTED_VALUE"""),"cmarchbank7l@hc360.com")</f>
        <v>cmarchbank7l@hc360.com</v>
      </c>
      <c r="C275" s="6" t="str">
        <f>IFERROR(__xludf.DUMMYFUNCTION("""COMPUTED_VALUE"""),"Indonesia")</f>
        <v>Indonesia</v>
      </c>
      <c r="D275" s="6">
        <f>COUNTIFS('Raw Data Sales'!H275:H1273, LEFT(A275, FIND(" ",A275)-1), 'Raw Data Sales'!I275:I1273, MID(A275, FIND(" ",A275)+1, 100))</f>
        <v>1</v>
      </c>
      <c r="E275" s="6">
        <f>SUMIFS('Raw Data Sales'!M275:M1273, 'Raw Data Sales'!H275:H1273, LEFT(A275, FIND(" ",A275)-1), 'Raw Data Sales'!I275:I1273, MID(A275, FIND(" ",A275)+1, 100))</f>
        <v>32</v>
      </c>
      <c r="F275" s="6">
        <f>SUMIFS('Raw Data Sales'!N275:N1273, 'Raw Data Sales'!H275:H1273, LEFT(A275, FIND(" ",A275)-1), 'Raw Data Sales'!I275:I1273, MID(A275, FIND(" ",A275)+1, 100))</f>
        <v>8248.2</v>
      </c>
    </row>
    <row r="276">
      <c r="A276" s="6" t="str">
        <f>IFERROR(__xludf.DUMMYFUNCTION("UNIQUE('Raw Data Sales'!H276:H1274 &amp; "" "" &amp; 'Raw Data Sales'!I276:I1274)"),"Mikaela Duck")</f>
        <v>Mikaela Duck</v>
      </c>
      <c r="B276" s="6" t="str">
        <f>IFERROR(__xludf.DUMMYFUNCTION("""COMPUTED_VALUE"""),"mduck7m@google.com.hk")</f>
        <v>mduck7m@google.com.hk</v>
      </c>
      <c r="C276" s="6" t="str">
        <f>IFERROR(__xludf.DUMMYFUNCTION("""COMPUTED_VALUE"""),"Indonesia")</f>
        <v>Indonesia</v>
      </c>
      <c r="D276" s="6">
        <f>COUNTIFS('Raw Data Sales'!H276:H1274, LEFT(A276, FIND(" ",A276)-1), 'Raw Data Sales'!I276:I1274, MID(A276, FIND(" ",A276)+1, 100))</f>
        <v>1</v>
      </c>
      <c r="E276" s="6">
        <f>SUMIFS('Raw Data Sales'!M276:M1274, 'Raw Data Sales'!H276:H1274, LEFT(A276, FIND(" ",A276)-1), 'Raw Data Sales'!I276:I1274, MID(A276, FIND(" ",A276)+1, 100))</f>
        <v>89</v>
      </c>
      <c r="F276" s="6">
        <f>SUMIFS('Raw Data Sales'!N276:N1274, 'Raw Data Sales'!H276:H1274, LEFT(A276, FIND(" ",A276)-1), 'Raw Data Sales'!I276:I1274, MID(A276, FIND(" ",A276)+1, 100))</f>
        <v>8765.13</v>
      </c>
    </row>
    <row r="277">
      <c r="A277" s="6" t="str">
        <f>IFERROR(__xludf.DUMMYFUNCTION("UNIQUE('Raw Data Sales'!H277:H1275 &amp; "" "" &amp; 'Raw Data Sales'!I277:I1275)"),"Nert Mattheus")</f>
        <v>Nert Mattheus</v>
      </c>
      <c r="B277" s="6" t="str">
        <f>IFERROR(__xludf.DUMMYFUNCTION("""COMPUTED_VALUE"""),"nmattheus7n@networkadvertising.org")</f>
        <v>nmattheus7n@networkadvertising.org</v>
      </c>
      <c r="C277" s="6" t="str">
        <f>IFERROR(__xludf.DUMMYFUNCTION("""COMPUTED_VALUE"""),"Indonesia")</f>
        <v>Indonesia</v>
      </c>
      <c r="D277" s="6">
        <f>COUNTIFS('Raw Data Sales'!H277:H1275, LEFT(A277, FIND(" ",A277)-1), 'Raw Data Sales'!I277:I1275, MID(A277, FIND(" ",A277)+1, 100))</f>
        <v>1</v>
      </c>
      <c r="E277" s="6">
        <f>SUMIFS('Raw Data Sales'!M277:M1275, 'Raw Data Sales'!H277:H1275, LEFT(A277, FIND(" ",A277)-1), 'Raw Data Sales'!I277:I1275, MID(A277, FIND(" ",A277)+1, 100))</f>
        <v>24</v>
      </c>
      <c r="F277" s="6">
        <f>SUMIFS('Raw Data Sales'!N277:N1275, 'Raw Data Sales'!H277:H1275, LEFT(A277, FIND(" ",A277)-1), 'Raw Data Sales'!I277:I1275, MID(A277, FIND(" ",A277)+1, 100))</f>
        <v>3577.49</v>
      </c>
    </row>
    <row r="278">
      <c r="A278" s="6" t="str">
        <f>IFERROR(__xludf.DUMMYFUNCTION("UNIQUE('Raw Data Sales'!H278:H1276 &amp; "" "" &amp; 'Raw Data Sales'!I278:I1276)"),"Ollie Hurford")</f>
        <v>Ollie Hurford</v>
      </c>
      <c r="B278" s="6" t="str">
        <f>IFERROR(__xludf.DUMMYFUNCTION("""COMPUTED_VALUE"""),"ohurford7o@google.com.hk")</f>
        <v>ohurford7o@google.com.hk</v>
      </c>
      <c r="C278" s="6" t="str">
        <f>IFERROR(__xludf.DUMMYFUNCTION("""COMPUTED_VALUE"""),"Philippines")</f>
        <v>Philippines</v>
      </c>
      <c r="D278" s="6">
        <f>COUNTIFS('Raw Data Sales'!H278:H1276, LEFT(A278, FIND(" ",A278)-1), 'Raw Data Sales'!I278:I1276, MID(A278, FIND(" ",A278)+1, 100))</f>
        <v>1</v>
      </c>
      <c r="E278" s="6">
        <f>SUMIFS('Raw Data Sales'!M278:M1276, 'Raw Data Sales'!H278:H1276, LEFT(A278, FIND(" ",A278)-1), 'Raw Data Sales'!I278:I1276, MID(A278, FIND(" ",A278)+1, 100))</f>
        <v>36</v>
      </c>
      <c r="F278" s="6">
        <f>SUMIFS('Raw Data Sales'!N278:N1276, 'Raw Data Sales'!H278:H1276, LEFT(A278, FIND(" ",A278)-1), 'Raw Data Sales'!I278:I1276, MID(A278, FIND(" ",A278)+1, 100))</f>
        <v>6200.83</v>
      </c>
    </row>
    <row r="279">
      <c r="A279" s="6" t="str">
        <f>IFERROR(__xludf.DUMMYFUNCTION("UNIQUE('Raw Data Sales'!H279:H1277 &amp; "" "" &amp; 'Raw Data Sales'!I279:I1277)"),"Cathrin Vidyapin")</f>
        <v>Cathrin Vidyapin</v>
      </c>
      <c r="B279" s="6" t="str">
        <f>IFERROR(__xludf.DUMMYFUNCTION("""COMPUTED_VALUE"""),"cvidyapin7p@shinystat.com")</f>
        <v>cvidyapin7p@shinystat.com</v>
      </c>
      <c r="C279" s="6" t="str">
        <f>IFERROR(__xludf.DUMMYFUNCTION("""COMPUTED_VALUE"""),"Czech Republic")</f>
        <v>Czech Republic</v>
      </c>
      <c r="D279" s="6">
        <f>COUNTIFS('Raw Data Sales'!H279:H1277, LEFT(A279, FIND(" ",A279)-1), 'Raw Data Sales'!I279:I1277, MID(A279, FIND(" ",A279)+1, 100))</f>
        <v>1</v>
      </c>
      <c r="E279" s="6">
        <f>SUMIFS('Raw Data Sales'!M279:M1277, 'Raw Data Sales'!H279:H1277, LEFT(A279, FIND(" ",A279)-1), 'Raw Data Sales'!I279:I1277, MID(A279, FIND(" ",A279)+1, 100))</f>
        <v>64</v>
      </c>
      <c r="F279" s="6">
        <f>SUMIFS('Raw Data Sales'!N279:N1277, 'Raw Data Sales'!H279:H1277, LEFT(A279, FIND(" ",A279)-1), 'Raw Data Sales'!I279:I1277, MID(A279, FIND(" ",A279)+1, 100))</f>
        <v>1209.13</v>
      </c>
    </row>
    <row r="280">
      <c r="A280" s="6" t="str">
        <f>IFERROR(__xludf.DUMMYFUNCTION("UNIQUE('Raw Data Sales'!H280:H1278 &amp; "" "" &amp; 'Raw Data Sales'!I280:I1278)"),"Chanda Aleksidze")</f>
        <v>Chanda Aleksidze</v>
      </c>
      <c r="B280" s="6" t="str">
        <f>IFERROR(__xludf.DUMMYFUNCTION("""COMPUTED_VALUE"""),"caleksidze7q@examiner.com")</f>
        <v>caleksidze7q@examiner.com</v>
      </c>
      <c r="C280" s="6" t="str">
        <f>IFERROR(__xludf.DUMMYFUNCTION("""COMPUTED_VALUE"""),"Peru")</f>
        <v>Peru</v>
      </c>
      <c r="D280" s="6">
        <f>COUNTIFS('Raw Data Sales'!H280:H1278, LEFT(A280, FIND(" ",A280)-1), 'Raw Data Sales'!I280:I1278, MID(A280, FIND(" ",A280)+1, 100))</f>
        <v>1</v>
      </c>
      <c r="E280" s="6">
        <f>SUMIFS('Raw Data Sales'!M280:M1278, 'Raw Data Sales'!H280:H1278, LEFT(A280, FIND(" ",A280)-1), 'Raw Data Sales'!I280:I1278, MID(A280, FIND(" ",A280)+1, 100))</f>
        <v>29</v>
      </c>
      <c r="F280" s="6">
        <f>SUMIFS('Raw Data Sales'!N280:N1278, 'Raw Data Sales'!H280:H1278, LEFT(A280, FIND(" ",A280)-1), 'Raw Data Sales'!I280:I1278, MID(A280, FIND(" ",A280)+1, 100))</f>
        <v>2733.25</v>
      </c>
    </row>
    <row r="281">
      <c r="A281" s="6" t="str">
        <f>IFERROR(__xludf.DUMMYFUNCTION("UNIQUE('Raw Data Sales'!H281:H1279 &amp; "" "" &amp; 'Raw Data Sales'!I281:I1279)"),"Parsifal Reggiani")</f>
        <v>Parsifal Reggiani</v>
      </c>
      <c r="B281" s="6" t="str">
        <f>IFERROR(__xludf.DUMMYFUNCTION("""COMPUTED_VALUE"""),"preggiani7r@surveymonkey.com")</f>
        <v>preggiani7r@surveymonkey.com</v>
      </c>
      <c r="C281" s="6" t="str">
        <f>IFERROR(__xludf.DUMMYFUNCTION("""COMPUTED_VALUE"""),"Nicaragua")</f>
        <v>Nicaragua</v>
      </c>
      <c r="D281" s="6">
        <f>COUNTIFS('Raw Data Sales'!H281:H1279, LEFT(A281, FIND(" ",A281)-1), 'Raw Data Sales'!I281:I1279, MID(A281, FIND(" ",A281)+1, 100))</f>
        <v>1</v>
      </c>
      <c r="E281" s="6">
        <f>SUMIFS('Raw Data Sales'!M281:M1279, 'Raw Data Sales'!H281:H1279, LEFT(A281, FIND(" ",A281)-1), 'Raw Data Sales'!I281:I1279, MID(A281, FIND(" ",A281)+1, 100))</f>
        <v>76</v>
      </c>
      <c r="F281" s="6">
        <f>SUMIFS('Raw Data Sales'!N281:N1279, 'Raw Data Sales'!H281:H1279, LEFT(A281, FIND(" ",A281)-1), 'Raw Data Sales'!I281:I1279, MID(A281, FIND(" ",A281)+1, 100))</f>
        <v>8434.63</v>
      </c>
    </row>
    <row r="282">
      <c r="A282" s="6" t="str">
        <f>IFERROR(__xludf.DUMMYFUNCTION("UNIQUE('Raw Data Sales'!H282:H1280 &amp; "" "" &amp; 'Raw Data Sales'!I282:I1280)"),"Kristel Milleton")</f>
        <v>Kristel Milleton</v>
      </c>
      <c r="B282" s="6" t="str">
        <f>IFERROR(__xludf.DUMMYFUNCTION("""COMPUTED_VALUE"""),"kmilleton7s@themeforest.net")</f>
        <v>kmilleton7s@themeforest.net</v>
      </c>
      <c r="C282" s="6" t="str">
        <f>IFERROR(__xludf.DUMMYFUNCTION("""COMPUTED_VALUE"""),"Peru")</f>
        <v>Peru</v>
      </c>
      <c r="D282" s="6">
        <f>COUNTIFS('Raw Data Sales'!H282:H1280, LEFT(A282, FIND(" ",A282)-1), 'Raw Data Sales'!I282:I1280, MID(A282, FIND(" ",A282)+1, 100))</f>
        <v>1</v>
      </c>
      <c r="E282" s="6">
        <f>SUMIFS('Raw Data Sales'!M282:M1280, 'Raw Data Sales'!H282:H1280, LEFT(A282, FIND(" ",A282)-1), 'Raw Data Sales'!I282:I1280, MID(A282, FIND(" ",A282)+1, 100))</f>
        <v>16</v>
      </c>
      <c r="F282" s="6">
        <f>SUMIFS('Raw Data Sales'!N282:N1280, 'Raw Data Sales'!H282:H1280, LEFT(A282, FIND(" ",A282)-1), 'Raw Data Sales'!I282:I1280, MID(A282, FIND(" ",A282)+1, 100))</f>
        <v>7720.36</v>
      </c>
    </row>
    <row r="283">
      <c r="A283" s="6" t="str">
        <f>IFERROR(__xludf.DUMMYFUNCTION("UNIQUE('Raw Data Sales'!H283:H1281 &amp; "" "" &amp; 'Raw Data Sales'!I283:I1281)"),"Griff Duval")</f>
        <v>Griff Duval</v>
      </c>
      <c r="B283" s="6" t="str">
        <f>IFERROR(__xludf.DUMMYFUNCTION("""COMPUTED_VALUE"""),"gduval7t@soup.io")</f>
        <v>gduval7t@soup.io</v>
      </c>
      <c r="C283" s="6" t="str">
        <f>IFERROR(__xludf.DUMMYFUNCTION("""COMPUTED_VALUE"""),"Indonesia")</f>
        <v>Indonesia</v>
      </c>
      <c r="D283" s="6">
        <f>COUNTIFS('Raw Data Sales'!H283:H1281, LEFT(A283, FIND(" ",A283)-1), 'Raw Data Sales'!I283:I1281, MID(A283, FIND(" ",A283)+1, 100))</f>
        <v>1</v>
      </c>
      <c r="E283" s="6">
        <f>SUMIFS('Raw Data Sales'!M283:M1281, 'Raw Data Sales'!H283:H1281, LEFT(A283, FIND(" ",A283)-1), 'Raw Data Sales'!I283:I1281, MID(A283, FIND(" ",A283)+1, 100))</f>
        <v>68</v>
      </c>
      <c r="F283" s="6">
        <f>SUMIFS('Raw Data Sales'!N283:N1281, 'Raw Data Sales'!H283:H1281, LEFT(A283, FIND(" ",A283)-1), 'Raw Data Sales'!I283:I1281, MID(A283, FIND(" ",A283)+1, 100))</f>
        <v>2299.87</v>
      </c>
    </row>
    <row r="284">
      <c r="A284" s="6" t="str">
        <f>IFERROR(__xludf.DUMMYFUNCTION("UNIQUE('Raw Data Sales'!H284:H1282 &amp; "" "" &amp; 'Raw Data Sales'!I284:I1282)"),"Loni Lunney")</f>
        <v>Loni Lunney</v>
      </c>
      <c r="B284" s="6" t="str">
        <f>IFERROR(__xludf.DUMMYFUNCTION("""COMPUTED_VALUE"""),"llunney7u@qq.com")</f>
        <v>llunney7u@qq.com</v>
      </c>
      <c r="C284" s="6" t="str">
        <f>IFERROR(__xludf.DUMMYFUNCTION("""COMPUTED_VALUE"""),"Colombia")</f>
        <v>Colombia</v>
      </c>
      <c r="D284" s="6">
        <f>COUNTIFS('Raw Data Sales'!H284:H1282, LEFT(A284, FIND(" ",A284)-1), 'Raw Data Sales'!I284:I1282, MID(A284, FIND(" ",A284)+1, 100))</f>
        <v>1</v>
      </c>
      <c r="E284" s="6">
        <f>SUMIFS('Raw Data Sales'!M284:M1282, 'Raw Data Sales'!H284:H1282, LEFT(A284, FIND(" ",A284)-1), 'Raw Data Sales'!I284:I1282, MID(A284, FIND(" ",A284)+1, 100))</f>
        <v>38</v>
      </c>
      <c r="F284" s="6">
        <f>SUMIFS('Raw Data Sales'!N284:N1282, 'Raw Data Sales'!H284:H1282, LEFT(A284, FIND(" ",A284)-1), 'Raw Data Sales'!I284:I1282, MID(A284, FIND(" ",A284)+1, 100))</f>
        <v>4092.12</v>
      </c>
    </row>
    <row r="285">
      <c r="A285" s="6" t="str">
        <f>IFERROR(__xludf.DUMMYFUNCTION("UNIQUE('Raw Data Sales'!H285:H1283 &amp; "" "" &amp; 'Raw Data Sales'!I285:I1283)"),"Eleni O'Cahill")</f>
        <v>Eleni O'Cahill</v>
      </c>
      <c r="B285" s="6" t="str">
        <f>IFERROR(__xludf.DUMMYFUNCTION("""COMPUTED_VALUE"""),"eocahill7v@godaddy.com")</f>
        <v>eocahill7v@godaddy.com</v>
      </c>
      <c r="C285" s="6" t="str">
        <f>IFERROR(__xludf.DUMMYFUNCTION("""COMPUTED_VALUE"""),"Czech Republic")</f>
        <v>Czech Republic</v>
      </c>
      <c r="D285" s="6">
        <f>COUNTIFS('Raw Data Sales'!H285:H1283, LEFT(A285, FIND(" ",A285)-1), 'Raw Data Sales'!I285:I1283, MID(A285, FIND(" ",A285)+1, 100))</f>
        <v>1</v>
      </c>
      <c r="E285" s="6">
        <f>SUMIFS('Raw Data Sales'!M285:M1283, 'Raw Data Sales'!H285:H1283, LEFT(A285, FIND(" ",A285)-1), 'Raw Data Sales'!I285:I1283, MID(A285, FIND(" ",A285)+1, 100))</f>
        <v>39</v>
      </c>
      <c r="F285" s="6">
        <f>SUMIFS('Raw Data Sales'!N285:N1283, 'Raw Data Sales'!H285:H1283, LEFT(A285, FIND(" ",A285)-1), 'Raw Data Sales'!I285:I1283, MID(A285, FIND(" ",A285)+1, 100))</f>
        <v>6091.17</v>
      </c>
    </row>
    <row r="286">
      <c r="A286" s="6" t="str">
        <f>IFERROR(__xludf.DUMMYFUNCTION("UNIQUE('Raw Data Sales'!H286:H1284 &amp; "" "" &amp; 'Raw Data Sales'!I286:I1284)"),"Lydon Barfford")</f>
        <v>Lydon Barfford</v>
      </c>
      <c r="B286" s="6" t="str">
        <f>IFERROR(__xludf.DUMMYFUNCTION("""COMPUTED_VALUE"""),"lbarfford7w@bing.com")</f>
        <v>lbarfford7w@bing.com</v>
      </c>
      <c r="C286" s="6" t="str">
        <f>IFERROR(__xludf.DUMMYFUNCTION("""COMPUTED_VALUE"""),"Indonesia")</f>
        <v>Indonesia</v>
      </c>
      <c r="D286" s="6">
        <f>COUNTIFS('Raw Data Sales'!H286:H1284, LEFT(A286, FIND(" ",A286)-1), 'Raw Data Sales'!I286:I1284, MID(A286, FIND(" ",A286)+1, 100))</f>
        <v>1</v>
      </c>
      <c r="E286" s="6">
        <f>SUMIFS('Raw Data Sales'!M286:M1284, 'Raw Data Sales'!H286:H1284, LEFT(A286, FIND(" ",A286)-1), 'Raw Data Sales'!I286:I1284, MID(A286, FIND(" ",A286)+1, 100))</f>
        <v>36</v>
      </c>
      <c r="F286" s="6">
        <f>SUMIFS('Raw Data Sales'!N286:N1284, 'Raw Data Sales'!H286:H1284, LEFT(A286, FIND(" ",A286)-1), 'Raw Data Sales'!I286:I1284, MID(A286, FIND(" ",A286)+1, 100))</f>
        <v>9799.17</v>
      </c>
    </row>
    <row r="287">
      <c r="A287" s="6" t="str">
        <f>IFERROR(__xludf.DUMMYFUNCTION("UNIQUE('Raw Data Sales'!H287:H1285 &amp; "" "" &amp; 'Raw Data Sales'!I287:I1285)"),"Anderea Pietasch")</f>
        <v>Anderea Pietasch</v>
      </c>
      <c r="B287" s="6" t="str">
        <f>IFERROR(__xludf.DUMMYFUNCTION("""COMPUTED_VALUE"""),"apietasch7x@hugedomains.com")</f>
        <v>apietasch7x@hugedomains.com</v>
      </c>
      <c r="C287" s="6" t="str">
        <f>IFERROR(__xludf.DUMMYFUNCTION("""COMPUTED_VALUE"""),"China")</f>
        <v>China</v>
      </c>
      <c r="D287" s="6">
        <f>COUNTIFS('Raw Data Sales'!H287:H1285, LEFT(A287, FIND(" ",A287)-1), 'Raw Data Sales'!I287:I1285, MID(A287, FIND(" ",A287)+1, 100))</f>
        <v>1</v>
      </c>
      <c r="E287" s="6">
        <f>SUMIFS('Raw Data Sales'!M287:M1285, 'Raw Data Sales'!H287:H1285, LEFT(A287, FIND(" ",A287)-1), 'Raw Data Sales'!I287:I1285, MID(A287, FIND(" ",A287)+1, 100))</f>
        <v>16</v>
      </c>
      <c r="F287" s="6">
        <f>SUMIFS('Raw Data Sales'!N287:N1285, 'Raw Data Sales'!H287:H1285, LEFT(A287, FIND(" ",A287)-1), 'Raw Data Sales'!I287:I1285, MID(A287, FIND(" ",A287)+1, 100))</f>
        <v>6593.31</v>
      </c>
    </row>
    <row r="288">
      <c r="A288" s="6" t="str">
        <f>IFERROR(__xludf.DUMMYFUNCTION("UNIQUE('Raw Data Sales'!H288:H1286 &amp; "" "" &amp; 'Raw Data Sales'!I288:I1286)"),"Dudley Di Angelo")</f>
        <v>Dudley Di Angelo</v>
      </c>
      <c r="B288" s="6" t="str">
        <f>IFERROR(__xludf.DUMMYFUNCTION("""COMPUTED_VALUE"""),"ddiangelo7y@cnet.com")</f>
        <v>ddiangelo7y@cnet.com</v>
      </c>
      <c r="C288" s="6" t="str">
        <f>IFERROR(__xludf.DUMMYFUNCTION("""COMPUTED_VALUE"""),"France")</f>
        <v>France</v>
      </c>
      <c r="D288" s="6">
        <f>COUNTIFS('Raw Data Sales'!H288:H1286, LEFT(A288, FIND(" ",A288)-1), 'Raw Data Sales'!I288:I1286, MID(A288, FIND(" ",A288)+1, 100))</f>
        <v>1</v>
      </c>
      <c r="E288" s="6">
        <f>SUMIFS('Raw Data Sales'!M288:M1286, 'Raw Data Sales'!H288:H1286, LEFT(A288, FIND(" ",A288)-1), 'Raw Data Sales'!I288:I1286, MID(A288, FIND(" ",A288)+1, 100))</f>
        <v>56</v>
      </c>
      <c r="F288" s="6">
        <f>SUMIFS('Raw Data Sales'!N288:N1286, 'Raw Data Sales'!H288:H1286, LEFT(A288, FIND(" ",A288)-1), 'Raw Data Sales'!I288:I1286, MID(A288, FIND(" ",A288)+1, 100))</f>
        <v>8233.72</v>
      </c>
    </row>
    <row r="289">
      <c r="A289" s="6" t="str">
        <f>IFERROR(__xludf.DUMMYFUNCTION("UNIQUE('Raw Data Sales'!H289:H1287 &amp; "" "" &amp; 'Raw Data Sales'!I289:I1287)"),"Jo ann Dowbiggin")</f>
        <v>Jo ann Dowbiggin</v>
      </c>
      <c r="B289" s="6" t="str">
        <f>IFERROR(__xludf.DUMMYFUNCTION("""COMPUTED_VALUE"""),"jdowbiggin7z@stanford.edu")</f>
        <v>jdowbiggin7z@stanford.edu</v>
      </c>
      <c r="C289" s="6" t="str">
        <f>IFERROR(__xludf.DUMMYFUNCTION("""COMPUTED_VALUE"""),"Brazil")</f>
        <v>Brazil</v>
      </c>
      <c r="D289" s="6">
        <f>COUNTIFS('Raw Data Sales'!H289:H1287, LEFT(A289, FIND(" ",A289)-1), 'Raw Data Sales'!I289:I1287, MID(A289, FIND(" ",A289)+1, 100))</f>
        <v>0</v>
      </c>
      <c r="E289" s="6">
        <f>SUMIFS('Raw Data Sales'!M289:M1287, 'Raw Data Sales'!H289:H1287, LEFT(A289, FIND(" ",A289)-1), 'Raw Data Sales'!I289:I1287, MID(A289, FIND(" ",A289)+1, 100))</f>
        <v>0</v>
      </c>
      <c r="F289" s="6">
        <f>SUMIFS('Raw Data Sales'!N289:N1287, 'Raw Data Sales'!H289:H1287, LEFT(A289, FIND(" ",A289)-1), 'Raw Data Sales'!I289:I1287, MID(A289, FIND(" ",A289)+1, 100))</f>
        <v>0</v>
      </c>
    </row>
    <row r="290">
      <c r="A290" s="6" t="str">
        <f>IFERROR(__xludf.DUMMYFUNCTION("UNIQUE('Raw Data Sales'!H290:H1288 &amp; "" "" &amp; 'Raw Data Sales'!I290:I1288)"),"Winthrop Beeke")</f>
        <v>Winthrop Beeke</v>
      </c>
      <c r="B290" s="6" t="str">
        <f>IFERROR(__xludf.DUMMYFUNCTION("""COMPUTED_VALUE"""),"wbeeke80@about.me")</f>
        <v>wbeeke80@about.me</v>
      </c>
      <c r="C290" s="6" t="str">
        <f>IFERROR(__xludf.DUMMYFUNCTION("""COMPUTED_VALUE"""),"Philippines")</f>
        <v>Philippines</v>
      </c>
      <c r="D290" s="6">
        <f>COUNTIFS('Raw Data Sales'!H290:H1288, LEFT(A290, FIND(" ",A290)-1), 'Raw Data Sales'!I290:I1288, MID(A290, FIND(" ",A290)+1, 100))</f>
        <v>1</v>
      </c>
      <c r="E290" s="6">
        <f>SUMIFS('Raw Data Sales'!M290:M1288, 'Raw Data Sales'!H290:H1288, LEFT(A290, FIND(" ",A290)-1), 'Raw Data Sales'!I290:I1288, MID(A290, FIND(" ",A290)+1, 100))</f>
        <v>71</v>
      </c>
      <c r="F290" s="6">
        <f>SUMIFS('Raw Data Sales'!N290:N1288, 'Raw Data Sales'!H290:H1288, LEFT(A290, FIND(" ",A290)-1), 'Raw Data Sales'!I290:I1288, MID(A290, FIND(" ",A290)+1, 100))</f>
        <v>8374.9</v>
      </c>
    </row>
    <row r="291">
      <c r="A291" s="6" t="str">
        <f>IFERROR(__xludf.DUMMYFUNCTION("UNIQUE('Raw Data Sales'!H291:H1289 &amp; "" "" &amp; 'Raw Data Sales'!I291:I1289)"),"Floris Treuge")</f>
        <v>Floris Treuge</v>
      </c>
      <c r="B291" s="6" t="str">
        <f>IFERROR(__xludf.DUMMYFUNCTION("""COMPUTED_VALUE"""),"ftreuge81@cocolog-nifty.com")</f>
        <v>ftreuge81@cocolog-nifty.com</v>
      </c>
      <c r="C291" s="6" t="str">
        <f>IFERROR(__xludf.DUMMYFUNCTION("""COMPUTED_VALUE"""),"Japan")</f>
        <v>Japan</v>
      </c>
      <c r="D291" s="6">
        <f>COUNTIFS('Raw Data Sales'!H291:H1289, LEFT(A291, FIND(" ",A291)-1), 'Raw Data Sales'!I291:I1289, MID(A291, FIND(" ",A291)+1, 100))</f>
        <v>1</v>
      </c>
      <c r="E291" s="6">
        <f>SUMIFS('Raw Data Sales'!M291:M1289, 'Raw Data Sales'!H291:H1289, LEFT(A291, FIND(" ",A291)-1), 'Raw Data Sales'!I291:I1289, MID(A291, FIND(" ",A291)+1, 100))</f>
        <v>4</v>
      </c>
      <c r="F291" s="6">
        <f>SUMIFS('Raw Data Sales'!N291:N1289, 'Raw Data Sales'!H291:H1289, LEFT(A291, FIND(" ",A291)-1), 'Raw Data Sales'!I291:I1289, MID(A291, FIND(" ",A291)+1, 100))</f>
        <v>6223.33</v>
      </c>
    </row>
    <row r="292">
      <c r="A292" s="6" t="str">
        <f>IFERROR(__xludf.DUMMYFUNCTION("UNIQUE('Raw Data Sales'!H292:H1290 &amp; "" "" &amp; 'Raw Data Sales'!I292:I1290)"),"Putnam Fantin")</f>
        <v>Putnam Fantin</v>
      </c>
      <c r="B292" s="6" t="str">
        <f>IFERROR(__xludf.DUMMYFUNCTION("""COMPUTED_VALUE"""),"pfantin82@bluehost.com")</f>
        <v>pfantin82@bluehost.com</v>
      </c>
      <c r="C292" s="6" t="str">
        <f>IFERROR(__xludf.DUMMYFUNCTION("""COMPUTED_VALUE"""),"Indonesia")</f>
        <v>Indonesia</v>
      </c>
      <c r="D292" s="6">
        <f>COUNTIFS('Raw Data Sales'!H292:H1290, LEFT(A292, FIND(" ",A292)-1), 'Raw Data Sales'!I292:I1290, MID(A292, FIND(" ",A292)+1, 100))</f>
        <v>1</v>
      </c>
      <c r="E292" s="6">
        <f>SUMIFS('Raw Data Sales'!M292:M1290, 'Raw Data Sales'!H292:H1290, LEFT(A292, FIND(" ",A292)-1), 'Raw Data Sales'!I292:I1290, MID(A292, FIND(" ",A292)+1, 100))</f>
        <v>54</v>
      </c>
      <c r="F292" s="6">
        <f>SUMIFS('Raw Data Sales'!N292:N1290, 'Raw Data Sales'!H292:H1290, LEFT(A292, FIND(" ",A292)-1), 'Raw Data Sales'!I292:I1290, MID(A292, FIND(" ",A292)+1, 100))</f>
        <v>7137.38</v>
      </c>
    </row>
    <row r="293">
      <c r="A293" s="6" t="str">
        <f>IFERROR(__xludf.DUMMYFUNCTION("UNIQUE('Raw Data Sales'!H293:H1291 &amp; "" "" &amp; 'Raw Data Sales'!I293:I1291)"),"Martha Sivyer")</f>
        <v>Martha Sivyer</v>
      </c>
      <c r="B293" s="6" t="str">
        <f>IFERROR(__xludf.DUMMYFUNCTION("""COMPUTED_VALUE"""),"msivyer83@123-reg.co.uk")</f>
        <v>msivyer83@123-reg.co.uk</v>
      </c>
      <c r="C293" s="6" t="str">
        <f>IFERROR(__xludf.DUMMYFUNCTION("""COMPUTED_VALUE"""),"Indonesia")</f>
        <v>Indonesia</v>
      </c>
      <c r="D293" s="6">
        <f>COUNTIFS('Raw Data Sales'!H293:H1291, LEFT(A293, FIND(" ",A293)-1), 'Raw Data Sales'!I293:I1291, MID(A293, FIND(" ",A293)+1, 100))</f>
        <v>1</v>
      </c>
      <c r="E293" s="6">
        <f>SUMIFS('Raw Data Sales'!M293:M1291, 'Raw Data Sales'!H293:H1291, LEFT(A293, FIND(" ",A293)-1), 'Raw Data Sales'!I293:I1291, MID(A293, FIND(" ",A293)+1, 100))</f>
        <v>18</v>
      </c>
      <c r="F293" s="6">
        <f>SUMIFS('Raw Data Sales'!N293:N1291, 'Raw Data Sales'!H293:H1291, LEFT(A293, FIND(" ",A293)-1), 'Raw Data Sales'!I293:I1291, MID(A293, FIND(" ",A293)+1, 100))</f>
        <v>4706.33</v>
      </c>
    </row>
    <row r="294">
      <c r="A294" s="6" t="str">
        <f>IFERROR(__xludf.DUMMYFUNCTION("UNIQUE('Raw Data Sales'!H294:H1292 &amp; "" "" &amp; 'Raw Data Sales'!I294:I1292)"),"Dori Miners")</f>
        <v>Dori Miners</v>
      </c>
      <c r="B294" s="6" t="str">
        <f>IFERROR(__xludf.DUMMYFUNCTION("""COMPUTED_VALUE"""),"dminers84@scribd.com")</f>
        <v>dminers84@scribd.com</v>
      </c>
      <c r="C294" s="6" t="str">
        <f>IFERROR(__xludf.DUMMYFUNCTION("""COMPUTED_VALUE"""),"Uzbekistan")</f>
        <v>Uzbekistan</v>
      </c>
      <c r="D294" s="6">
        <f>COUNTIFS('Raw Data Sales'!H294:H1292, LEFT(A294, FIND(" ",A294)-1), 'Raw Data Sales'!I294:I1292, MID(A294, FIND(" ",A294)+1, 100))</f>
        <v>1</v>
      </c>
      <c r="E294" s="6">
        <f>SUMIFS('Raw Data Sales'!M294:M1292, 'Raw Data Sales'!H294:H1292, LEFT(A294, FIND(" ",A294)-1), 'Raw Data Sales'!I294:I1292, MID(A294, FIND(" ",A294)+1, 100))</f>
        <v>57</v>
      </c>
      <c r="F294" s="6">
        <f>SUMIFS('Raw Data Sales'!N294:N1292, 'Raw Data Sales'!H294:H1292, LEFT(A294, FIND(" ",A294)-1), 'Raw Data Sales'!I294:I1292, MID(A294, FIND(" ",A294)+1, 100))</f>
        <v>8437.9</v>
      </c>
    </row>
    <row r="295">
      <c r="A295" s="6" t="str">
        <f>IFERROR(__xludf.DUMMYFUNCTION("UNIQUE('Raw Data Sales'!H295:H1293 &amp; "" "" &amp; 'Raw Data Sales'!I295:I1293)"),"Dannye Elsmere")</f>
        <v>Dannye Elsmere</v>
      </c>
      <c r="B295" s="6" t="str">
        <f>IFERROR(__xludf.DUMMYFUNCTION("""COMPUTED_VALUE"""),"delsmere85@mlb.com")</f>
        <v>delsmere85@mlb.com</v>
      </c>
      <c r="C295" s="6" t="str">
        <f>IFERROR(__xludf.DUMMYFUNCTION("""COMPUTED_VALUE"""),"Marshall Islands")</f>
        <v>Marshall Islands</v>
      </c>
      <c r="D295" s="6">
        <f>COUNTIFS('Raw Data Sales'!H295:H1293, LEFT(A295, FIND(" ",A295)-1), 'Raw Data Sales'!I295:I1293, MID(A295, FIND(" ",A295)+1, 100))</f>
        <v>1</v>
      </c>
      <c r="E295" s="6">
        <f>SUMIFS('Raw Data Sales'!M295:M1293, 'Raw Data Sales'!H295:H1293, LEFT(A295, FIND(" ",A295)-1), 'Raw Data Sales'!I295:I1293, MID(A295, FIND(" ",A295)+1, 100))</f>
        <v>11</v>
      </c>
      <c r="F295" s="6">
        <f>SUMIFS('Raw Data Sales'!N295:N1293, 'Raw Data Sales'!H295:H1293, LEFT(A295, FIND(" ",A295)-1), 'Raw Data Sales'!I295:I1293, MID(A295, FIND(" ",A295)+1, 100))</f>
        <v>6424.49</v>
      </c>
    </row>
    <row r="296">
      <c r="A296" s="6" t="str">
        <f>IFERROR(__xludf.DUMMYFUNCTION("UNIQUE('Raw Data Sales'!H296:H1294 &amp; "" "" &amp; 'Raw Data Sales'!I296:I1294)"),"Lanna Colman")</f>
        <v>Lanna Colman</v>
      </c>
      <c r="B296" s="6" t="str">
        <f>IFERROR(__xludf.DUMMYFUNCTION("""COMPUTED_VALUE"""),"lcolman86@tmall.com")</f>
        <v>lcolman86@tmall.com</v>
      </c>
      <c r="C296" s="6" t="str">
        <f>IFERROR(__xludf.DUMMYFUNCTION("""COMPUTED_VALUE"""),"China")</f>
        <v>China</v>
      </c>
      <c r="D296" s="6">
        <f>COUNTIFS('Raw Data Sales'!H296:H1294, LEFT(A296, FIND(" ",A296)-1), 'Raw Data Sales'!I296:I1294, MID(A296, FIND(" ",A296)+1, 100))</f>
        <v>1</v>
      </c>
      <c r="E296" s="6">
        <f>SUMIFS('Raw Data Sales'!M296:M1294, 'Raw Data Sales'!H296:H1294, LEFT(A296, FIND(" ",A296)-1), 'Raw Data Sales'!I296:I1294, MID(A296, FIND(" ",A296)+1, 100))</f>
        <v>30</v>
      </c>
      <c r="F296" s="6">
        <f>SUMIFS('Raw Data Sales'!N296:N1294, 'Raw Data Sales'!H296:H1294, LEFT(A296, FIND(" ",A296)-1), 'Raw Data Sales'!I296:I1294, MID(A296, FIND(" ",A296)+1, 100))</f>
        <v>4813.72</v>
      </c>
    </row>
    <row r="297">
      <c r="A297" s="6" t="str">
        <f>IFERROR(__xludf.DUMMYFUNCTION("UNIQUE('Raw Data Sales'!H297:H1295 &amp; "" "" &amp; 'Raw Data Sales'!I297:I1295)"),"Donni Skews")</f>
        <v>Donni Skews</v>
      </c>
      <c r="B297" s="6" t="str">
        <f>IFERROR(__xludf.DUMMYFUNCTION("""COMPUTED_VALUE"""),"dskews87@cmu.edu")</f>
        <v>dskews87@cmu.edu</v>
      </c>
      <c r="C297" s="6" t="str">
        <f>IFERROR(__xludf.DUMMYFUNCTION("""COMPUTED_VALUE"""),"Tunisia")</f>
        <v>Tunisia</v>
      </c>
      <c r="D297" s="6">
        <f>COUNTIFS('Raw Data Sales'!H297:H1295, LEFT(A297, FIND(" ",A297)-1), 'Raw Data Sales'!I297:I1295, MID(A297, FIND(" ",A297)+1, 100))</f>
        <v>1</v>
      </c>
      <c r="E297" s="6">
        <f>SUMIFS('Raw Data Sales'!M297:M1295, 'Raw Data Sales'!H297:H1295, LEFT(A297, FIND(" ",A297)-1), 'Raw Data Sales'!I297:I1295, MID(A297, FIND(" ",A297)+1, 100))</f>
        <v>76</v>
      </c>
      <c r="F297" s="6">
        <f>SUMIFS('Raw Data Sales'!N297:N1295, 'Raw Data Sales'!H297:H1295, LEFT(A297, FIND(" ",A297)-1), 'Raw Data Sales'!I297:I1295, MID(A297, FIND(" ",A297)+1, 100))</f>
        <v>1021.32</v>
      </c>
    </row>
    <row r="298">
      <c r="A298" s="6" t="str">
        <f>IFERROR(__xludf.DUMMYFUNCTION("UNIQUE('Raw Data Sales'!H298:H1296 &amp; "" "" &amp; 'Raw Data Sales'!I298:I1296)"),"Kathleen Thebes")</f>
        <v>Kathleen Thebes</v>
      </c>
      <c r="B298" s="6" t="str">
        <f>IFERROR(__xludf.DUMMYFUNCTION("""COMPUTED_VALUE"""),"kthebes88@infoseek.co.jp")</f>
        <v>kthebes88@infoseek.co.jp</v>
      </c>
      <c r="C298" s="6" t="str">
        <f>IFERROR(__xludf.DUMMYFUNCTION("""COMPUTED_VALUE"""),"China")</f>
        <v>China</v>
      </c>
      <c r="D298" s="6">
        <f>COUNTIFS('Raw Data Sales'!H298:H1296, LEFT(A298, FIND(" ",A298)-1), 'Raw Data Sales'!I298:I1296, MID(A298, FIND(" ",A298)+1, 100))</f>
        <v>1</v>
      </c>
      <c r="E298" s="6">
        <f>SUMIFS('Raw Data Sales'!M298:M1296, 'Raw Data Sales'!H298:H1296, LEFT(A298, FIND(" ",A298)-1), 'Raw Data Sales'!I298:I1296, MID(A298, FIND(" ",A298)+1, 100))</f>
        <v>94</v>
      </c>
      <c r="F298" s="6">
        <f>SUMIFS('Raw Data Sales'!N298:N1296, 'Raw Data Sales'!H298:H1296, LEFT(A298, FIND(" ",A298)-1), 'Raw Data Sales'!I298:I1296, MID(A298, FIND(" ",A298)+1, 100))</f>
        <v>1317.68</v>
      </c>
    </row>
    <row r="299">
      <c r="A299" s="6" t="str">
        <f>IFERROR(__xludf.DUMMYFUNCTION("UNIQUE('Raw Data Sales'!H299:H1297 &amp; "" "" &amp; 'Raw Data Sales'!I299:I1297)"),"Federica Faireclough")</f>
        <v>Federica Faireclough</v>
      </c>
      <c r="B299" s="6" t="str">
        <f>IFERROR(__xludf.DUMMYFUNCTION("""COMPUTED_VALUE"""),"ffaireclough89@businesswire.com")</f>
        <v>ffaireclough89@businesswire.com</v>
      </c>
      <c r="C299" s="6" t="str">
        <f>IFERROR(__xludf.DUMMYFUNCTION("""COMPUTED_VALUE"""),"Indonesia")</f>
        <v>Indonesia</v>
      </c>
      <c r="D299" s="6">
        <f>COUNTIFS('Raw Data Sales'!H299:H1297, LEFT(A299, FIND(" ",A299)-1), 'Raw Data Sales'!I299:I1297, MID(A299, FIND(" ",A299)+1, 100))</f>
        <v>1</v>
      </c>
      <c r="E299" s="6">
        <f>SUMIFS('Raw Data Sales'!M299:M1297, 'Raw Data Sales'!H299:H1297, LEFT(A299, FIND(" ",A299)-1), 'Raw Data Sales'!I299:I1297, MID(A299, FIND(" ",A299)+1, 100))</f>
        <v>48</v>
      </c>
      <c r="F299" s="6">
        <f>SUMIFS('Raw Data Sales'!N299:N1297, 'Raw Data Sales'!H299:H1297, LEFT(A299, FIND(" ",A299)-1), 'Raw Data Sales'!I299:I1297, MID(A299, FIND(" ",A299)+1, 100))</f>
        <v>6365.91</v>
      </c>
    </row>
    <row r="300">
      <c r="A300" s="6" t="str">
        <f>IFERROR(__xludf.DUMMYFUNCTION("UNIQUE('Raw Data Sales'!H300:H1298 &amp; "" "" &amp; 'Raw Data Sales'!I300:I1298)"),"Nariko Monck")</f>
        <v>Nariko Monck</v>
      </c>
      <c r="B300" s="6" t="str">
        <f>IFERROR(__xludf.DUMMYFUNCTION("""COMPUTED_VALUE"""),"nmonck8a@yolasite.com")</f>
        <v>nmonck8a@yolasite.com</v>
      </c>
      <c r="C300" s="6" t="str">
        <f>IFERROR(__xludf.DUMMYFUNCTION("""COMPUTED_VALUE"""),"Brazil")</f>
        <v>Brazil</v>
      </c>
      <c r="D300" s="6">
        <f>COUNTIFS('Raw Data Sales'!H300:H1298, LEFT(A300, FIND(" ",A300)-1), 'Raw Data Sales'!I300:I1298, MID(A300, FIND(" ",A300)+1, 100))</f>
        <v>1</v>
      </c>
      <c r="E300" s="6">
        <f>SUMIFS('Raw Data Sales'!M300:M1298, 'Raw Data Sales'!H300:H1298, LEFT(A300, FIND(" ",A300)-1), 'Raw Data Sales'!I300:I1298, MID(A300, FIND(" ",A300)+1, 100))</f>
        <v>53</v>
      </c>
      <c r="F300" s="6">
        <f>SUMIFS('Raw Data Sales'!N300:N1298, 'Raw Data Sales'!H300:H1298, LEFT(A300, FIND(" ",A300)-1), 'Raw Data Sales'!I300:I1298, MID(A300, FIND(" ",A300)+1, 100))</f>
        <v>3754.66</v>
      </c>
    </row>
    <row r="301">
      <c r="A301" s="6" t="str">
        <f>IFERROR(__xludf.DUMMYFUNCTION("UNIQUE('Raw Data Sales'!H301:H1299 &amp; "" "" &amp; 'Raw Data Sales'!I301:I1299)"),"Javier Jeaves")</f>
        <v>Javier Jeaves</v>
      </c>
      <c r="B301" s="6" t="str">
        <f>IFERROR(__xludf.DUMMYFUNCTION("""COMPUTED_VALUE"""),"jjeaves8b@altervista.org")</f>
        <v>jjeaves8b@altervista.org</v>
      </c>
      <c r="C301" s="6" t="str">
        <f>IFERROR(__xludf.DUMMYFUNCTION("""COMPUTED_VALUE"""),"China")</f>
        <v>China</v>
      </c>
      <c r="D301" s="6">
        <f>COUNTIFS('Raw Data Sales'!H301:H1299, LEFT(A301, FIND(" ",A301)-1), 'Raw Data Sales'!I301:I1299, MID(A301, FIND(" ",A301)+1, 100))</f>
        <v>1</v>
      </c>
      <c r="E301" s="6">
        <f>SUMIFS('Raw Data Sales'!M301:M1299, 'Raw Data Sales'!H301:H1299, LEFT(A301, FIND(" ",A301)-1), 'Raw Data Sales'!I301:I1299, MID(A301, FIND(" ",A301)+1, 100))</f>
        <v>54</v>
      </c>
      <c r="F301" s="6">
        <f>SUMIFS('Raw Data Sales'!N301:N1299, 'Raw Data Sales'!H301:H1299, LEFT(A301, FIND(" ",A301)-1), 'Raw Data Sales'!I301:I1299, MID(A301, FIND(" ",A301)+1, 100))</f>
        <v>6287.88</v>
      </c>
    </row>
    <row r="302">
      <c r="A302" s="6" t="str">
        <f>IFERROR(__xludf.DUMMYFUNCTION("UNIQUE('Raw Data Sales'!H302:H1300 &amp; "" "" &amp; 'Raw Data Sales'!I302:I1300)"),"Aurore Wassell")</f>
        <v>Aurore Wassell</v>
      </c>
      <c r="B302" s="6" t="str">
        <f>IFERROR(__xludf.DUMMYFUNCTION("""COMPUTED_VALUE"""),"awassell8c@imgur.com")</f>
        <v>awassell8c@imgur.com</v>
      </c>
      <c r="C302" s="6" t="str">
        <f>IFERROR(__xludf.DUMMYFUNCTION("""COMPUTED_VALUE"""),"France")</f>
        <v>France</v>
      </c>
      <c r="D302" s="6">
        <f>COUNTIFS('Raw Data Sales'!H302:H1300, LEFT(A302, FIND(" ",A302)-1), 'Raw Data Sales'!I302:I1300, MID(A302, FIND(" ",A302)+1, 100))</f>
        <v>1</v>
      </c>
      <c r="E302" s="6">
        <f>SUMIFS('Raw Data Sales'!M302:M1300, 'Raw Data Sales'!H302:H1300, LEFT(A302, FIND(" ",A302)-1), 'Raw Data Sales'!I302:I1300, MID(A302, FIND(" ",A302)+1, 100))</f>
        <v>58</v>
      </c>
      <c r="F302" s="6">
        <f>SUMIFS('Raw Data Sales'!N302:N1300, 'Raw Data Sales'!H302:H1300, LEFT(A302, FIND(" ",A302)-1), 'Raw Data Sales'!I302:I1300, MID(A302, FIND(" ",A302)+1, 100))</f>
        <v>2528.8</v>
      </c>
    </row>
    <row r="303">
      <c r="A303" s="6" t="str">
        <f>IFERROR(__xludf.DUMMYFUNCTION("UNIQUE('Raw Data Sales'!H303:H1301 &amp; "" "" &amp; 'Raw Data Sales'!I303:I1301)"),"Reyna Gornall")</f>
        <v>Reyna Gornall</v>
      </c>
      <c r="B303" s="6" t="str">
        <f>IFERROR(__xludf.DUMMYFUNCTION("""COMPUTED_VALUE"""),"rgornall8d@tamu.edu")</f>
        <v>rgornall8d@tamu.edu</v>
      </c>
      <c r="C303" s="6" t="str">
        <f>IFERROR(__xludf.DUMMYFUNCTION("""COMPUTED_VALUE"""),"United States")</f>
        <v>United States</v>
      </c>
      <c r="D303" s="6">
        <f>COUNTIFS('Raw Data Sales'!H303:H1301, LEFT(A303, FIND(" ",A303)-1), 'Raw Data Sales'!I303:I1301, MID(A303, FIND(" ",A303)+1, 100))</f>
        <v>1</v>
      </c>
      <c r="E303" s="6">
        <f>SUMIFS('Raw Data Sales'!M303:M1301, 'Raw Data Sales'!H303:H1301, LEFT(A303, FIND(" ",A303)-1), 'Raw Data Sales'!I303:I1301, MID(A303, FIND(" ",A303)+1, 100))</f>
        <v>4</v>
      </c>
      <c r="F303" s="6">
        <f>SUMIFS('Raw Data Sales'!N303:N1301, 'Raw Data Sales'!H303:H1301, LEFT(A303, FIND(" ",A303)-1), 'Raw Data Sales'!I303:I1301, MID(A303, FIND(" ",A303)+1, 100))</f>
        <v>8207.32</v>
      </c>
    </row>
    <row r="304">
      <c r="A304" s="6" t="str">
        <f>IFERROR(__xludf.DUMMYFUNCTION("UNIQUE('Raw Data Sales'!H304:H1302 &amp; "" "" &amp; 'Raw Data Sales'!I304:I1302)"),"Sibby Perrygo")</f>
        <v>Sibby Perrygo</v>
      </c>
      <c r="B304" s="6" t="str">
        <f>IFERROR(__xludf.DUMMYFUNCTION("""COMPUTED_VALUE"""),"sperrygo8e@last.fm")</f>
        <v>sperrygo8e@last.fm</v>
      </c>
      <c r="C304" s="6" t="str">
        <f>IFERROR(__xludf.DUMMYFUNCTION("""COMPUTED_VALUE"""),"Belarus")</f>
        <v>Belarus</v>
      </c>
      <c r="D304" s="6">
        <f>COUNTIFS('Raw Data Sales'!H304:H1302, LEFT(A304, FIND(" ",A304)-1), 'Raw Data Sales'!I304:I1302, MID(A304, FIND(" ",A304)+1, 100))</f>
        <v>1</v>
      </c>
      <c r="E304" s="6">
        <f>SUMIFS('Raw Data Sales'!M304:M1302, 'Raw Data Sales'!H304:H1302, LEFT(A304, FIND(" ",A304)-1), 'Raw Data Sales'!I304:I1302, MID(A304, FIND(" ",A304)+1, 100))</f>
        <v>88</v>
      </c>
      <c r="F304" s="6">
        <f>SUMIFS('Raw Data Sales'!N304:N1302, 'Raw Data Sales'!H304:H1302, LEFT(A304, FIND(" ",A304)-1), 'Raw Data Sales'!I304:I1302, MID(A304, FIND(" ",A304)+1, 100))</f>
        <v>4611.41</v>
      </c>
    </row>
    <row r="305">
      <c r="A305" s="6" t="str">
        <f>IFERROR(__xludf.DUMMYFUNCTION("UNIQUE('Raw Data Sales'!H305:H1303 &amp; "" "" &amp; 'Raw Data Sales'!I305:I1303)"),"Westbrooke Filon")</f>
        <v>Westbrooke Filon</v>
      </c>
      <c r="B305" s="6" t="str">
        <f>IFERROR(__xludf.DUMMYFUNCTION("""COMPUTED_VALUE"""),"wfilon8f@census.gov")</f>
        <v>wfilon8f@census.gov</v>
      </c>
      <c r="C305" s="6" t="str">
        <f>IFERROR(__xludf.DUMMYFUNCTION("""COMPUTED_VALUE"""),"Ukraine")</f>
        <v>Ukraine</v>
      </c>
      <c r="D305" s="6">
        <f>COUNTIFS('Raw Data Sales'!H305:H1303, LEFT(A305, FIND(" ",A305)-1), 'Raw Data Sales'!I305:I1303, MID(A305, FIND(" ",A305)+1, 100))</f>
        <v>1</v>
      </c>
      <c r="E305" s="6">
        <f>SUMIFS('Raw Data Sales'!M305:M1303, 'Raw Data Sales'!H305:H1303, LEFT(A305, FIND(" ",A305)-1), 'Raw Data Sales'!I305:I1303, MID(A305, FIND(" ",A305)+1, 100))</f>
        <v>26</v>
      </c>
      <c r="F305" s="6">
        <f>SUMIFS('Raw Data Sales'!N305:N1303, 'Raw Data Sales'!H305:H1303, LEFT(A305, FIND(" ",A305)-1), 'Raw Data Sales'!I305:I1303, MID(A305, FIND(" ",A305)+1, 100))</f>
        <v>5645.57</v>
      </c>
    </row>
    <row r="306">
      <c r="A306" s="6" t="str">
        <f>IFERROR(__xludf.DUMMYFUNCTION("UNIQUE('Raw Data Sales'!H306:H1304 &amp; "" "" &amp; 'Raw Data Sales'!I306:I1304)"),"Jule De la Yglesia")</f>
        <v>Jule De la Yglesia</v>
      </c>
      <c r="B306" s="6" t="str">
        <f>IFERROR(__xludf.DUMMYFUNCTION("""COMPUTED_VALUE"""),"jdelayglesia8g@yellowbook.com")</f>
        <v>jdelayglesia8g@yellowbook.com</v>
      </c>
      <c r="C306" s="6" t="str">
        <f>IFERROR(__xludf.DUMMYFUNCTION("""COMPUTED_VALUE"""),"Portugal")</f>
        <v>Portugal</v>
      </c>
      <c r="D306" s="6">
        <f>COUNTIFS('Raw Data Sales'!H306:H1304, LEFT(A306, FIND(" ",A306)-1), 'Raw Data Sales'!I306:I1304, MID(A306, FIND(" ",A306)+1, 100))</f>
        <v>1</v>
      </c>
      <c r="E306" s="6">
        <f>SUMIFS('Raw Data Sales'!M306:M1304, 'Raw Data Sales'!H306:H1304, LEFT(A306, FIND(" ",A306)-1), 'Raw Data Sales'!I306:I1304, MID(A306, FIND(" ",A306)+1, 100))</f>
        <v>31</v>
      </c>
      <c r="F306" s="6">
        <f>SUMIFS('Raw Data Sales'!N306:N1304, 'Raw Data Sales'!H306:H1304, LEFT(A306, FIND(" ",A306)-1), 'Raw Data Sales'!I306:I1304, MID(A306, FIND(" ",A306)+1, 100))</f>
        <v>5488.86</v>
      </c>
    </row>
    <row r="307">
      <c r="A307" s="6" t="str">
        <f>IFERROR(__xludf.DUMMYFUNCTION("UNIQUE('Raw Data Sales'!H307:H1305 &amp; "" "" &amp; 'Raw Data Sales'!I307:I1305)"),"Frannie Prati")</f>
        <v>Frannie Prati</v>
      </c>
      <c r="B307" s="6" t="str">
        <f>IFERROR(__xludf.DUMMYFUNCTION("""COMPUTED_VALUE"""),"fprati8h@nymag.com")</f>
        <v>fprati8h@nymag.com</v>
      </c>
      <c r="C307" s="6" t="str">
        <f>IFERROR(__xludf.DUMMYFUNCTION("""COMPUTED_VALUE"""),"Indonesia")</f>
        <v>Indonesia</v>
      </c>
      <c r="D307" s="6">
        <f>COUNTIFS('Raw Data Sales'!H307:H1305, LEFT(A307, FIND(" ",A307)-1), 'Raw Data Sales'!I307:I1305, MID(A307, FIND(" ",A307)+1, 100))</f>
        <v>1</v>
      </c>
      <c r="E307" s="6">
        <f>SUMIFS('Raw Data Sales'!M307:M1305, 'Raw Data Sales'!H307:H1305, LEFT(A307, FIND(" ",A307)-1), 'Raw Data Sales'!I307:I1305, MID(A307, FIND(" ",A307)+1, 100))</f>
        <v>20</v>
      </c>
      <c r="F307" s="6">
        <f>SUMIFS('Raw Data Sales'!N307:N1305, 'Raw Data Sales'!H307:H1305, LEFT(A307, FIND(" ",A307)-1), 'Raw Data Sales'!I307:I1305, MID(A307, FIND(" ",A307)+1, 100))</f>
        <v>9598.46</v>
      </c>
    </row>
    <row r="308">
      <c r="A308" s="6" t="str">
        <f>IFERROR(__xludf.DUMMYFUNCTION("UNIQUE('Raw Data Sales'!H308:H1306 &amp; "" "" &amp; 'Raw Data Sales'!I308:I1306)"),"Teddi Whitear")</f>
        <v>Teddi Whitear</v>
      </c>
      <c r="B308" s="6" t="str">
        <f>IFERROR(__xludf.DUMMYFUNCTION("""COMPUTED_VALUE"""),"twhitear8i@bravesites.com")</f>
        <v>twhitear8i@bravesites.com</v>
      </c>
      <c r="C308" s="6" t="str">
        <f>IFERROR(__xludf.DUMMYFUNCTION("""COMPUTED_VALUE"""),"China")</f>
        <v>China</v>
      </c>
      <c r="D308" s="6">
        <f>COUNTIFS('Raw Data Sales'!H308:H1306, LEFT(A308, FIND(" ",A308)-1), 'Raw Data Sales'!I308:I1306, MID(A308, FIND(" ",A308)+1, 100))</f>
        <v>1</v>
      </c>
      <c r="E308" s="6">
        <f>SUMIFS('Raw Data Sales'!M308:M1306, 'Raw Data Sales'!H308:H1306, LEFT(A308, FIND(" ",A308)-1), 'Raw Data Sales'!I308:I1306, MID(A308, FIND(" ",A308)+1, 100))</f>
        <v>44</v>
      </c>
      <c r="F308" s="6">
        <f>SUMIFS('Raw Data Sales'!N308:N1306, 'Raw Data Sales'!H308:H1306, LEFT(A308, FIND(" ",A308)-1), 'Raw Data Sales'!I308:I1306, MID(A308, FIND(" ",A308)+1, 100))</f>
        <v>4533.92</v>
      </c>
    </row>
    <row r="309">
      <c r="A309" s="6" t="str">
        <f>IFERROR(__xludf.DUMMYFUNCTION("UNIQUE('Raw Data Sales'!H309:H1307 &amp; "" "" &amp; 'Raw Data Sales'!I309:I1307)"),"Caldwell Tritton")</f>
        <v>Caldwell Tritton</v>
      </c>
      <c r="B309" s="6" t="str">
        <f>IFERROR(__xludf.DUMMYFUNCTION("""COMPUTED_VALUE"""),"ctritton8j@issuu.com")</f>
        <v>ctritton8j@issuu.com</v>
      </c>
      <c r="C309" s="6" t="str">
        <f>IFERROR(__xludf.DUMMYFUNCTION("""COMPUTED_VALUE"""),"Poland")</f>
        <v>Poland</v>
      </c>
      <c r="D309" s="6">
        <f>COUNTIFS('Raw Data Sales'!H309:H1307, LEFT(A309, FIND(" ",A309)-1), 'Raw Data Sales'!I309:I1307, MID(A309, FIND(" ",A309)+1, 100))</f>
        <v>1</v>
      </c>
      <c r="E309" s="6">
        <f>SUMIFS('Raw Data Sales'!M309:M1307, 'Raw Data Sales'!H309:H1307, LEFT(A309, FIND(" ",A309)-1), 'Raw Data Sales'!I309:I1307, MID(A309, FIND(" ",A309)+1, 100))</f>
        <v>4</v>
      </c>
      <c r="F309" s="6">
        <f>SUMIFS('Raw Data Sales'!N309:N1307, 'Raw Data Sales'!H309:H1307, LEFT(A309, FIND(" ",A309)-1), 'Raw Data Sales'!I309:I1307, MID(A309, FIND(" ",A309)+1, 100))</f>
        <v>1704.02</v>
      </c>
    </row>
    <row r="310">
      <c r="A310" s="6" t="str">
        <f>IFERROR(__xludf.DUMMYFUNCTION("UNIQUE('Raw Data Sales'!H310:H1308 &amp; "" "" &amp; 'Raw Data Sales'!I310:I1308)"),"Korrie Rawstorne")</f>
        <v>Korrie Rawstorne</v>
      </c>
      <c r="B310" s="6" t="str">
        <f>IFERROR(__xludf.DUMMYFUNCTION("""COMPUTED_VALUE"""),"krawstorne8k@flickr.com")</f>
        <v>krawstorne8k@flickr.com</v>
      </c>
      <c r="C310" s="6" t="str">
        <f>IFERROR(__xludf.DUMMYFUNCTION("""COMPUTED_VALUE"""),"Ecuador")</f>
        <v>Ecuador</v>
      </c>
      <c r="D310" s="6">
        <f>COUNTIFS('Raw Data Sales'!H310:H1308, LEFT(A310, FIND(" ",A310)-1), 'Raw Data Sales'!I310:I1308, MID(A310, FIND(" ",A310)+1, 100))</f>
        <v>1</v>
      </c>
      <c r="E310" s="6">
        <f>SUMIFS('Raw Data Sales'!M310:M1308, 'Raw Data Sales'!H310:H1308, LEFT(A310, FIND(" ",A310)-1), 'Raw Data Sales'!I310:I1308, MID(A310, FIND(" ",A310)+1, 100))</f>
        <v>25</v>
      </c>
      <c r="F310" s="6">
        <f>SUMIFS('Raw Data Sales'!N310:N1308, 'Raw Data Sales'!H310:H1308, LEFT(A310, FIND(" ",A310)-1), 'Raw Data Sales'!I310:I1308, MID(A310, FIND(" ",A310)+1, 100))</f>
        <v>9670.23</v>
      </c>
    </row>
    <row r="311">
      <c r="A311" s="6" t="str">
        <f>IFERROR(__xludf.DUMMYFUNCTION("UNIQUE('Raw Data Sales'!H311:H1309 &amp; "" "" &amp; 'Raw Data Sales'!I311:I1309)"),"Ivie Iamittii")</f>
        <v>Ivie Iamittii</v>
      </c>
      <c r="B311" s="6" t="str">
        <f>IFERROR(__xludf.DUMMYFUNCTION("""COMPUTED_VALUE"""),"iiamittii8l@cafepress.com")</f>
        <v>iiamittii8l@cafepress.com</v>
      </c>
      <c r="C311" s="6" t="str">
        <f>IFERROR(__xludf.DUMMYFUNCTION("""COMPUTED_VALUE"""),"Sweden")</f>
        <v>Sweden</v>
      </c>
      <c r="D311" s="6">
        <f>COUNTIFS('Raw Data Sales'!H311:H1309, LEFT(A311, FIND(" ",A311)-1), 'Raw Data Sales'!I311:I1309, MID(A311, FIND(" ",A311)+1, 100))</f>
        <v>1</v>
      </c>
      <c r="E311" s="6">
        <f>SUMIFS('Raw Data Sales'!M311:M1309, 'Raw Data Sales'!H311:H1309, LEFT(A311, FIND(" ",A311)-1), 'Raw Data Sales'!I311:I1309, MID(A311, FIND(" ",A311)+1, 100))</f>
        <v>35</v>
      </c>
      <c r="F311" s="6">
        <f>SUMIFS('Raw Data Sales'!N311:N1309, 'Raw Data Sales'!H311:H1309, LEFT(A311, FIND(" ",A311)-1), 'Raw Data Sales'!I311:I1309, MID(A311, FIND(" ",A311)+1, 100))</f>
        <v>8846.93</v>
      </c>
    </row>
    <row r="312">
      <c r="A312" s="6" t="str">
        <f>IFERROR(__xludf.DUMMYFUNCTION("UNIQUE('Raw Data Sales'!H312:H1310 &amp; "" "" &amp; 'Raw Data Sales'!I312:I1310)"),"Gustavo Celle")</f>
        <v>Gustavo Celle</v>
      </c>
      <c r="B312" s="6" t="str">
        <f>IFERROR(__xludf.DUMMYFUNCTION("""COMPUTED_VALUE"""),"gcelle8m@amazon.co.uk")</f>
        <v>gcelle8m@amazon.co.uk</v>
      </c>
      <c r="C312" s="6" t="str">
        <f>IFERROR(__xludf.DUMMYFUNCTION("""COMPUTED_VALUE"""),"Kazakhstan")</f>
        <v>Kazakhstan</v>
      </c>
      <c r="D312" s="6">
        <f>COUNTIFS('Raw Data Sales'!H312:H1310, LEFT(A312, FIND(" ",A312)-1), 'Raw Data Sales'!I312:I1310, MID(A312, FIND(" ",A312)+1, 100))</f>
        <v>1</v>
      </c>
      <c r="E312" s="6">
        <f>SUMIFS('Raw Data Sales'!M312:M1310, 'Raw Data Sales'!H312:H1310, LEFT(A312, FIND(" ",A312)-1), 'Raw Data Sales'!I312:I1310, MID(A312, FIND(" ",A312)+1, 100))</f>
        <v>34</v>
      </c>
      <c r="F312" s="6">
        <f>SUMIFS('Raw Data Sales'!N312:N1310, 'Raw Data Sales'!H312:H1310, LEFT(A312, FIND(" ",A312)-1), 'Raw Data Sales'!I312:I1310, MID(A312, FIND(" ",A312)+1, 100))</f>
        <v>3993.13</v>
      </c>
    </row>
    <row r="313">
      <c r="A313" s="6" t="str">
        <f>IFERROR(__xludf.DUMMYFUNCTION("UNIQUE('Raw Data Sales'!H313:H1311 &amp; "" "" &amp; 'Raw Data Sales'!I313:I1311)"),"Hortense Hammett")</f>
        <v>Hortense Hammett</v>
      </c>
      <c r="B313" s="6" t="str">
        <f>IFERROR(__xludf.DUMMYFUNCTION("""COMPUTED_VALUE"""),"hhammett8n@vkontakte.ru")</f>
        <v>hhammett8n@vkontakte.ru</v>
      </c>
      <c r="C313" s="6" t="str">
        <f>IFERROR(__xludf.DUMMYFUNCTION("""COMPUTED_VALUE"""),"Brazil")</f>
        <v>Brazil</v>
      </c>
      <c r="D313" s="6">
        <f>COUNTIFS('Raw Data Sales'!H313:H1311, LEFT(A313, FIND(" ",A313)-1), 'Raw Data Sales'!I313:I1311, MID(A313, FIND(" ",A313)+1, 100))</f>
        <v>1</v>
      </c>
      <c r="E313" s="6">
        <f>SUMIFS('Raw Data Sales'!M313:M1311, 'Raw Data Sales'!H313:H1311, LEFT(A313, FIND(" ",A313)-1), 'Raw Data Sales'!I313:I1311, MID(A313, FIND(" ",A313)+1, 100))</f>
        <v>94</v>
      </c>
      <c r="F313" s="6">
        <f>SUMIFS('Raw Data Sales'!N313:N1311, 'Raw Data Sales'!H313:H1311, LEFT(A313, FIND(" ",A313)-1), 'Raw Data Sales'!I313:I1311, MID(A313, FIND(" ",A313)+1, 100))</f>
        <v>9549.6</v>
      </c>
    </row>
    <row r="314">
      <c r="A314" s="6" t="str">
        <f>IFERROR(__xludf.DUMMYFUNCTION("UNIQUE('Raw Data Sales'!H314:H1312 &amp; "" "" &amp; 'Raw Data Sales'!I314:I1312)"),"Markus Singleton")</f>
        <v>Markus Singleton</v>
      </c>
      <c r="B314" s="6" t="str">
        <f>IFERROR(__xludf.DUMMYFUNCTION("""COMPUTED_VALUE"""),"msingleton8o@privacy.gov.au")</f>
        <v>msingleton8o@privacy.gov.au</v>
      </c>
      <c r="C314" s="6" t="str">
        <f>IFERROR(__xludf.DUMMYFUNCTION("""COMPUTED_VALUE"""),"Sudan")</f>
        <v>Sudan</v>
      </c>
      <c r="D314" s="6">
        <f>COUNTIFS('Raw Data Sales'!H314:H1312, LEFT(A314, FIND(" ",A314)-1), 'Raw Data Sales'!I314:I1312, MID(A314, FIND(" ",A314)+1, 100))</f>
        <v>1</v>
      </c>
      <c r="E314" s="6">
        <f>SUMIFS('Raw Data Sales'!M314:M1312, 'Raw Data Sales'!H314:H1312, LEFT(A314, FIND(" ",A314)-1), 'Raw Data Sales'!I314:I1312, MID(A314, FIND(" ",A314)+1, 100))</f>
        <v>27</v>
      </c>
      <c r="F314" s="6">
        <f>SUMIFS('Raw Data Sales'!N314:N1312, 'Raw Data Sales'!H314:H1312, LEFT(A314, FIND(" ",A314)-1), 'Raw Data Sales'!I314:I1312, MID(A314, FIND(" ",A314)+1, 100))</f>
        <v>2575.69</v>
      </c>
    </row>
    <row r="315">
      <c r="A315" s="6" t="str">
        <f>IFERROR(__xludf.DUMMYFUNCTION("UNIQUE('Raw Data Sales'!H315:H1313 &amp; "" "" &amp; 'Raw Data Sales'!I315:I1313)"),"Rowan Hedditeh")</f>
        <v>Rowan Hedditeh</v>
      </c>
      <c r="B315" s="6" t="str">
        <f>IFERROR(__xludf.DUMMYFUNCTION("""COMPUTED_VALUE"""),"rhedditeh8p@freewebs.com")</f>
        <v>rhedditeh8p@freewebs.com</v>
      </c>
      <c r="C315" s="6" t="str">
        <f>IFERROR(__xludf.DUMMYFUNCTION("""COMPUTED_VALUE"""),"Bulgaria")</f>
        <v>Bulgaria</v>
      </c>
      <c r="D315" s="6">
        <f>COUNTIFS('Raw Data Sales'!H315:H1313, LEFT(A315, FIND(" ",A315)-1), 'Raw Data Sales'!I315:I1313, MID(A315, FIND(" ",A315)+1, 100))</f>
        <v>1</v>
      </c>
      <c r="E315" s="6">
        <f>SUMIFS('Raw Data Sales'!M315:M1313, 'Raw Data Sales'!H315:H1313, LEFT(A315, FIND(" ",A315)-1), 'Raw Data Sales'!I315:I1313, MID(A315, FIND(" ",A315)+1, 100))</f>
        <v>70</v>
      </c>
      <c r="F315" s="6">
        <f>SUMIFS('Raw Data Sales'!N315:N1313, 'Raw Data Sales'!H315:H1313, LEFT(A315, FIND(" ",A315)-1), 'Raw Data Sales'!I315:I1313, MID(A315, FIND(" ",A315)+1, 100))</f>
        <v>9158.23</v>
      </c>
    </row>
    <row r="316">
      <c r="A316" s="6" t="str">
        <f>IFERROR(__xludf.DUMMYFUNCTION("UNIQUE('Raw Data Sales'!H316:H1314 &amp; "" "" &amp; 'Raw Data Sales'!I316:I1314)"),"Frederick Sarton")</f>
        <v>Frederick Sarton</v>
      </c>
      <c r="B316" s="6" t="str">
        <f>IFERROR(__xludf.DUMMYFUNCTION("""COMPUTED_VALUE"""),"fsarton8q@fotki.com")</f>
        <v>fsarton8q@fotki.com</v>
      </c>
      <c r="C316" s="6" t="str">
        <f>IFERROR(__xludf.DUMMYFUNCTION("""COMPUTED_VALUE"""),"Czech Republic")</f>
        <v>Czech Republic</v>
      </c>
      <c r="D316" s="6">
        <f>COUNTIFS('Raw Data Sales'!H316:H1314, LEFT(A316, FIND(" ",A316)-1), 'Raw Data Sales'!I316:I1314, MID(A316, FIND(" ",A316)+1, 100))</f>
        <v>1</v>
      </c>
      <c r="E316" s="6">
        <f>SUMIFS('Raw Data Sales'!M316:M1314, 'Raw Data Sales'!H316:H1314, LEFT(A316, FIND(" ",A316)-1), 'Raw Data Sales'!I316:I1314, MID(A316, FIND(" ",A316)+1, 100))</f>
        <v>31</v>
      </c>
      <c r="F316" s="6">
        <f>SUMIFS('Raw Data Sales'!N316:N1314, 'Raw Data Sales'!H316:H1314, LEFT(A316, FIND(" ",A316)-1), 'Raw Data Sales'!I316:I1314, MID(A316, FIND(" ",A316)+1, 100))</f>
        <v>2192.63</v>
      </c>
    </row>
    <row r="317">
      <c r="A317" s="6" t="str">
        <f>IFERROR(__xludf.DUMMYFUNCTION("UNIQUE('Raw Data Sales'!H317:H1315 &amp; "" "" &amp; 'Raw Data Sales'!I317:I1315)"),"Phillip Heap")</f>
        <v>Phillip Heap</v>
      </c>
      <c r="B317" s="6" t="str">
        <f>IFERROR(__xludf.DUMMYFUNCTION("""COMPUTED_VALUE"""),"pheap8r@paypal.com")</f>
        <v>pheap8r@paypal.com</v>
      </c>
      <c r="C317" s="6" t="str">
        <f>IFERROR(__xludf.DUMMYFUNCTION("""COMPUTED_VALUE"""),"China")</f>
        <v>China</v>
      </c>
      <c r="D317" s="6">
        <f>COUNTIFS('Raw Data Sales'!H317:H1315, LEFT(A317, FIND(" ",A317)-1), 'Raw Data Sales'!I317:I1315, MID(A317, FIND(" ",A317)+1, 100))</f>
        <v>1</v>
      </c>
      <c r="E317" s="6">
        <f>SUMIFS('Raw Data Sales'!M317:M1315, 'Raw Data Sales'!H317:H1315, LEFT(A317, FIND(" ",A317)-1), 'Raw Data Sales'!I317:I1315, MID(A317, FIND(" ",A317)+1, 100))</f>
        <v>54</v>
      </c>
      <c r="F317" s="6">
        <f>SUMIFS('Raw Data Sales'!N317:N1315, 'Raw Data Sales'!H317:H1315, LEFT(A317, FIND(" ",A317)-1), 'Raw Data Sales'!I317:I1315, MID(A317, FIND(" ",A317)+1, 100))</f>
        <v>3944.73</v>
      </c>
    </row>
    <row r="318">
      <c r="A318" s="6" t="str">
        <f>IFERROR(__xludf.DUMMYFUNCTION("UNIQUE('Raw Data Sales'!H318:H1316 &amp; "" "" &amp; 'Raw Data Sales'!I318:I1316)"),"Uriel Kennaway")</f>
        <v>Uriel Kennaway</v>
      </c>
      <c r="B318" s="6" t="str">
        <f>IFERROR(__xludf.DUMMYFUNCTION("""COMPUTED_VALUE"""),"ukennaway8s@cbc.ca")</f>
        <v>ukennaway8s@cbc.ca</v>
      </c>
      <c r="C318" s="6" t="str">
        <f>IFERROR(__xludf.DUMMYFUNCTION("""COMPUTED_VALUE"""),"Cuba")</f>
        <v>Cuba</v>
      </c>
      <c r="D318" s="6">
        <f>COUNTIFS('Raw Data Sales'!H318:H1316, LEFT(A318, FIND(" ",A318)-1), 'Raw Data Sales'!I318:I1316, MID(A318, FIND(" ",A318)+1, 100))</f>
        <v>1</v>
      </c>
      <c r="E318" s="6">
        <f>SUMIFS('Raw Data Sales'!M318:M1316, 'Raw Data Sales'!H318:H1316, LEFT(A318, FIND(" ",A318)-1), 'Raw Data Sales'!I318:I1316, MID(A318, FIND(" ",A318)+1, 100))</f>
        <v>73</v>
      </c>
      <c r="F318" s="6">
        <f>SUMIFS('Raw Data Sales'!N318:N1316, 'Raw Data Sales'!H318:H1316, LEFT(A318, FIND(" ",A318)-1), 'Raw Data Sales'!I318:I1316, MID(A318, FIND(" ",A318)+1, 100))</f>
        <v>856.64</v>
      </c>
    </row>
    <row r="319">
      <c r="A319" s="6" t="str">
        <f>IFERROR(__xludf.DUMMYFUNCTION("UNIQUE('Raw Data Sales'!H319:H1317 &amp; "" "" &amp; 'Raw Data Sales'!I319:I1317)"),"Patin Hallbord")</f>
        <v>Patin Hallbord</v>
      </c>
      <c r="B319" s="6" t="str">
        <f>IFERROR(__xludf.DUMMYFUNCTION("""COMPUTED_VALUE"""),"phallbord8t@china.com.cn")</f>
        <v>phallbord8t@china.com.cn</v>
      </c>
      <c r="C319" s="6" t="str">
        <f>IFERROR(__xludf.DUMMYFUNCTION("""COMPUTED_VALUE"""),"Philippines")</f>
        <v>Philippines</v>
      </c>
      <c r="D319" s="6">
        <f>COUNTIFS('Raw Data Sales'!H319:H1317, LEFT(A319, FIND(" ",A319)-1), 'Raw Data Sales'!I319:I1317, MID(A319, FIND(" ",A319)+1, 100))</f>
        <v>1</v>
      </c>
      <c r="E319" s="6">
        <f>SUMIFS('Raw Data Sales'!M319:M1317, 'Raw Data Sales'!H319:H1317, LEFT(A319, FIND(" ",A319)-1), 'Raw Data Sales'!I319:I1317, MID(A319, FIND(" ",A319)+1, 100))</f>
        <v>85</v>
      </c>
      <c r="F319" s="6">
        <f>SUMIFS('Raw Data Sales'!N319:N1317, 'Raw Data Sales'!H319:H1317, LEFT(A319, FIND(" ",A319)-1), 'Raw Data Sales'!I319:I1317, MID(A319, FIND(" ",A319)+1, 100))</f>
        <v>3119.35</v>
      </c>
    </row>
    <row r="320">
      <c r="A320" s="6" t="str">
        <f>IFERROR(__xludf.DUMMYFUNCTION("UNIQUE('Raw Data Sales'!H320:H1318 &amp; "" "" &amp; 'Raw Data Sales'!I320:I1318)"),"Lucienne Henke")</f>
        <v>Lucienne Henke</v>
      </c>
      <c r="B320" s="6" t="str">
        <f>IFERROR(__xludf.DUMMYFUNCTION("""COMPUTED_VALUE"""),"lhenke8u@dropbox.com")</f>
        <v>lhenke8u@dropbox.com</v>
      </c>
      <c r="C320" s="6" t="str">
        <f>IFERROR(__xludf.DUMMYFUNCTION("""COMPUTED_VALUE"""),"Tanzania")</f>
        <v>Tanzania</v>
      </c>
      <c r="D320" s="6">
        <f>COUNTIFS('Raw Data Sales'!H320:H1318, LEFT(A320, FIND(" ",A320)-1), 'Raw Data Sales'!I320:I1318, MID(A320, FIND(" ",A320)+1, 100))</f>
        <v>1</v>
      </c>
      <c r="E320" s="6">
        <f>SUMIFS('Raw Data Sales'!M320:M1318, 'Raw Data Sales'!H320:H1318, LEFT(A320, FIND(" ",A320)-1), 'Raw Data Sales'!I320:I1318, MID(A320, FIND(" ",A320)+1, 100))</f>
        <v>99</v>
      </c>
      <c r="F320" s="6">
        <f>SUMIFS('Raw Data Sales'!N320:N1318, 'Raw Data Sales'!H320:H1318, LEFT(A320, FIND(" ",A320)-1), 'Raw Data Sales'!I320:I1318, MID(A320, FIND(" ",A320)+1, 100))</f>
        <v>6813.38</v>
      </c>
    </row>
    <row r="321">
      <c r="A321" s="6" t="str">
        <f>IFERROR(__xludf.DUMMYFUNCTION("UNIQUE('Raw Data Sales'!H321:H1319 &amp; "" "" &amp; 'Raw Data Sales'!I321:I1319)"),"Muffin Reichelt")</f>
        <v>Muffin Reichelt</v>
      </c>
      <c r="B321" s="6" t="str">
        <f>IFERROR(__xludf.DUMMYFUNCTION("""COMPUTED_VALUE"""),"mreichelt8v@vistaprint.com")</f>
        <v>mreichelt8v@vistaprint.com</v>
      </c>
      <c r="C321" s="6" t="str">
        <f>IFERROR(__xludf.DUMMYFUNCTION("""COMPUTED_VALUE"""),"Kuwait")</f>
        <v>Kuwait</v>
      </c>
      <c r="D321" s="6">
        <f>COUNTIFS('Raw Data Sales'!H321:H1319, LEFT(A321, FIND(" ",A321)-1), 'Raw Data Sales'!I321:I1319, MID(A321, FIND(" ",A321)+1, 100))</f>
        <v>1</v>
      </c>
      <c r="E321" s="6">
        <f>SUMIFS('Raw Data Sales'!M321:M1319, 'Raw Data Sales'!H321:H1319, LEFT(A321, FIND(" ",A321)-1), 'Raw Data Sales'!I321:I1319, MID(A321, FIND(" ",A321)+1, 100))</f>
        <v>25</v>
      </c>
      <c r="F321" s="6">
        <f>SUMIFS('Raw Data Sales'!N321:N1319, 'Raw Data Sales'!H321:H1319, LEFT(A321, FIND(" ",A321)-1), 'Raw Data Sales'!I321:I1319, MID(A321, FIND(" ",A321)+1, 100))</f>
        <v>87.31</v>
      </c>
    </row>
    <row r="322">
      <c r="A322" s="6" t="str">
        <f>IFERROR(__xludf.DUMMYFUNCTION("UNIQUE('Raw Data Sales'!H322:H1320 &amp; "" "" &amp; 'Raw Data Sales'!I322:I1320)"),"Roi Nerne")</f>
        <v>Roi Nerne</v>
      </c>
      <c r="B322" s="6" t="str">
        <f>IFERROR(__xludf.DUMMYFUNCTION("""COMPUTED_VALUE"""),"rnerne8w@4shared.com")</f>
        <v>rnerne8w@4shared.com</v>
      </c>
      <c r="C322" s="6" t="str">
        <f>IFERROR(__xludf.DUMMYFUNCTION("""COMPUTED_VALUE"""),"Portugal")</f>
        <v>Portugal</v>
      </c>
      <c r="D322" s="6">
        <f>COUNTIFS('Raw Data Sales'!H322:H1320, LEFT(A322, FIND(" ",A322)-1), 'Raw Data Sales'!I322:I1320, MID(A322, FIND(" ",A322)+1, 100))</f>
        <v>1</v>
      </c>
      <c r="E322" s="6">
        <f>SUMIFS('Raw Data Sales'!M322:M1320, 'Raw Data Sales'!H322:H1320, LEFT(A322, FIND(" ",A322)-1), 'Raw Data Sales'!I322:I1320, MID(A322, FIND(" ",A322)+1, 100))</f>
        <v>43</v>
      </c>
      <c r="F322" s="6">
        <f>SUMIFS('Raw Data Sales'!N322:N1320, 'Raw Data Sales'!H322:H1320, LEFT(A322, FIND(" ",A322)-1), 'Raw Data Sales'!I322:I1320, MID(A322, FIND(" ",A322)+1, 100))</f>
        <v>7799.37</v>
      </c>
    </row>
    <row r="323">
      <c r="A323" s="6" t="str">
        <f>IFERROR(__xludf.DUMMYFUNCTION("UNIQUE('Raw Data Sales'!H323:H1321 &amp; "" "" &amp; 'Raw Data Sales'!I323:I1321)"),"Eva Krzyzanowski")</f>
        <v>Eva Krzyzanowski</v>
      </c>
      <c r="B323" s="6" t="str">
        <f>IFERROR(__xludf.DUMMYFUNCTION("""COMPUTED_VALUE"""),"ekrzyzanowski8x@uol.com.br")</f>
        <v>ekrzyzanowski8x@uol.com.br</v>
      </c>
      <c r="C323" s="6" t="str">
        <f>IFERROR(__xludf.DUMMYFUNCTION("""COMPUTED_VALUE"""),"France")</f>
        <v>France</v>
      </c>
      <c r="D323" s="6">
        <f>COUNTIFS('Raw Data Sales'!H323:H1321, LEFT(A323, FIND(" ",A323)-1), 'Raw Data Sales'!I323:I1321, MID(A323, FIND(" ",A323)+1, 100))</f>
        <v>1</v>
      </c>
      <c r="E323" s="6">
        <f>SUMIFS('Raw Data Sales'!M323:M1321, 'Raw Data Sales'!H323:H1321, LEFT(A323, FIND(" ",A323)-1), 'Raw Data Sales'!I323:I1321, MID(A323, FIND(" ",A323)+1, 100))</f>
        <v>4</v>
      </c>
      <c r="F323" s="6">
        <f>SUMIFS('Raw Data Sales'!N323:N1321, 'Raw Data Sales'!H323:H1321, LEFT(A323, FIND(" ",A323)-1), 'Raw Data Sales'!I323:I1321, MID(A323, FIND(" ",A323)+1, 100))</f>
        <v>4478.68</v>
      </c>
    </row>
    <row r="324">
      <c r="A324" s="6" t="str">
        <f>IFERROR(__xludf.DUMMYFUNCTION("UNIQUE('Raw Data Sales'!H324:H1322 &amp; "" "" &amp; 'Raw Data Sales'!I324:I1322)"),"Shelba Rome")</f>
        <v>Shelba Rome</v>
      </c>
      <c r="B324" s="6" t="str">
        <f>IFERROR(__xludf.DUMMYFUNCTION("""COMPUTED_VALUE"""),"srome8y@goo.gl")</f>
        <v>srome8y@goo.gl</v>
      </c>
      <c r="C324" s="6" t="str">
        <f>IFERROR(__xludf.DUMMYFUNCTION("""COMPUTED_VALUE"""),"France")</f>
        <v>France</v>
      </c>
      <c r="D324" s="6">
        <f>COUNTIFS('Raw Data Sales'!H324:H1322, LEFT(A324, FIND(" ",A324)-1), 'Raw Data Sales'!I324:I1322, MID(A324, FIND(" ",A324)+1, 100))</f>
        <v>1</v>
      </c>
      <c r="E324" s="6">
        <f>SUMIFS('Raw Data Sales'!M324:M1322, 'Raw Data Sales'!H324:H1322, LEFT(A324, FIND(" ",A324)-1), 'Raw Data Sales'!I324:I1322, MID(A324, FIND(" ",A324)+1, 100))</f>
        <v>74</v>
      </c>
      <c r="F324" s="6">
        <f>SUMIFS('Raw Data Sales'!N324:N1322, 'Raw Data Sales'!H324:H1322, LEFT(A324, FIND(" ",A324)-1), 'Raw Data Sales'!I324:I1322, MID(A324, FIND(" ",A324)+1, 100))</f>
        <v>3288.2</v>
      </c>
    </row>
    <row r="325">
      <c r="A325" s="6" t="str">
        <f>IFERROR(__xludf.DUMMYFUNCTION("UNIQUE('Raw Data Sales'!H325:H1323 &amp; "" "" &amp; 'Raw Data Sales'!I325:I1323)"),"Ellissa Obal")</f>
        <v>Ellissa Obal</v>
      </c>
      <c r="B325" s="6" t="str">
        <f>IFERROR(__xludf.DUMMYFUNCTION("""COMPUTED_VALUE"""),"eobal8z@dot.gov")</f>
        <v>eobal8z@dot.gov</v>
      </c>
      <c r="C325" s="6" t="str">
        <f>IFERROR(__xludf.DUMMYFUNCTION("""COMPUTED_VALUE"""),"United States")</f>
        <v>United States</v>
      </c>
      <c r="D325" s="6">
        <f>COUNTIFS('Raw Data Sales'!H325:H1323, LEFT(A325, FIND(" ",A325)-1), 'Raw Data Sales'!I325:I1323, MID(A325, FIND(" ",A325)+1, 100))</f>
        <v>1</v>
      </c>
      <c r="E325" s="6">
        <f>SUMIFS('Raw Data Sales'!M325:M1323, 'Raw Data Sales'!H325:H1323, LEFT(A325, FIND(" ",A325)-1), 'Raw Data Sales'!I325:I1323, MID(A325, FIND(" ",A325)+1, 100))</f>
        <v>71</v>
      </c>
      <c r="F325" s="6">
        <f>SUMIFS('Raw Data Sales'!N325:N1323, 'Raw Data Sales'!H325:H1323, LEFT(A325, FIND(" ",A325)-1), 'Raw Data Sales'!I325:I1323, MID(A325, FIND(" ",A325)+1, 100))</f>
        <v>3654.35</v>
      </c>
    </row>
    <row r="326">
      <c r="A326" s="6" t="str">
        <f>IFERROR(__xludf.DUMMYFUNCTION("UNIQUE('Raw Data Sales'!H326:H1324 &amp; "" "" &amp; 'Raw Data Sales'!I326:I1324)"),"Cally Stickells")</f>
        <v>Cally Stickells</v>
      </c>
      <c r="B326" s="6" t="str">
        <f>IFERROR(__xludf.DUMMYFUNCTION("""COMPUTED_VALUE"""),"cstickells90@tripod.com")</f>
        <v>cstickells90@tripod.com</v>
      </c>
      <c r="C326" s="6" t="str">
        <f>IFERROR(__xludf.DUMMYFUNCTION("""COMPUTED_VALUE"""),"China")</f>
        <v>China</v>
      </c>
      <c r="D326" s="6">
        <f>COUNTIFS('Raw Data Sales'!H326:H1324, LEFT(A326, FIND(" ",A326)-1), 'Raw Data Sales'!I326:I1324, MID(A326, FIND(" ",A326)+1, 100))</f>
        <v>1</v>
      </c>
      <c r="E326" s="6">
        <f>SUMIFS('Raw Data Sales'!M326:M1324, 'Raw Data Sales'!H326:H1324, LEFT(A326, FIND(" ",A326)-1), 'Raw Data Sales'!I326:I1324, MID(A326, FIND(" ",A326)+1, 100))</f>
        <v>13</v>
      </c>
      <c r="F326" s="6">
        <f>SUMIFS('Raw Data Sales'!N326:N1324, 'Raw Data Sales'!H326:H1324, LEFT(A326, FIND(" ",A326)-1), 'Raw Data Sales'!I326:I1324, MID(A326, FIND(" ",A326)+1, 100))</f>
        <v>5022.39</v>
      </c>
    </row>
    <row r="327">
      <c r="A327" s="6" t="str">
        <f>IFERROR(__xludf.DUMMYFUNCTION("UNIQUE('Raw Data Sales'!H327:H1325 &amp; "" "" &amp; 'Raw Data Sales'!I327:I1325)"),"Myrtle Jaye")</f>
        <v>Myrtle Jaye</v>
      </c>
      <c r="B327" s="6" t="str">
        <f>IFERROR(__xludf.DUMMYFUNCTION("""COMPUTED_VALUE"""),"mjaye91@t-online.de")</f>
        <v>mjaye91@t-online.de</v>
      </c>
      <c r="C327" s="6" t="str">
        <f>IFERROR(__xludf.DUMMYFUNCTION("""COMPUTED_VALUE"""),"Brazil")</f>
        <v>Brazil</v>
      </c>
      <c r="D327" s="6">
        <f>COUNTIFS('Raw Data Sales'!H327:H1325, LEFT(A327, FIND(" ",A327)-1), 'Raw Data Sales'!I327:I1325, MID(A327, FIND(" ",A327)+1, 100))</f>
        <v>1</v>
      </c>
      <c r="E327" s="6">
        <f>SUMIFS('Raw Data Sales'!M327:M1325, 'Raw Data Sales'!H327:H1325, LEFT(A327, FIND(" ",A327)-1), 'Raw Data Sales'!I327:I1325, MID(A327, FIND(" ",A327)+1, 100))</f>
        <v>15</v>
      </c>
      <c r="F327" s="6">
        <f>SUMIFS('Raw Data Sales'!N327:N1325, 'Raw Data Sales'!H327:H1325, LEFT(A327, FIND(" ",A327)-1), 'Raw Data Sales'!I327:I1325, MID(A327, FIND(" ",A327)+1, 100))</f>
        <v>9734.29</v>
      </c>
    </row>
    <row r="328">
      <c r="A328" s="6" t="str">
        <f>IFERROR(__xludf.DUMMYFUNCTION("UNIQUE('Raw Data Sales'!H328:H1326 &amp; "" "" &amp; 'Raw Data Sales'!I328:I1326)"),"Torey Ibbeson")</f>
        <v>Torey Ibbeson</v>
      </c>
      <c r="B328" s="6" t="str">
        <f>IFERROR(__xludf.DUMMYFUNCTION("""COMPUTED_VALUE"""),"tibbeson92@bigcartel.com")</f>
        <v>tibbeson92@bigcartel.com</v>
      </c>
      <c r="C328" s="6" t="str">
        <f>IFERROR(__xludf.DUMMYFUNCTION("""COMPUTED_VALUE"""),"Poland")</f>
        <v>Poland</v>
      </c>
      <c r="D328" s="6">
        <f>COUNTIFS('Raw Data Sales'!H328:H1326, LEFT(A328, FIND(" ",A328)-1), 'Raw Data Sales'!I328:I1326, MID(A328, FIND(" ",A328)+1, 100))</f>
        <v>1</v>
      </c>
      <c r="E328" s="6">
        <f>SUMIFS('Raw Data Sales'!M328:M1326, 'Raw Data Sales'!H328:H1326, LEFT(A328, FIND(" ",A328)-1), 'Raw Data Sales'!I328:I1326, MID(A328, FIND(" ",A328)+1, 100))</f>
        <v>8</v>
      </c>
      <c r="F328" s="6">
        <f>SUMIFS('Raw Data Sales'!N328:N1326, 'Raw Data Sales'!H328:H1326, LEFT(A328, FIND(" ",A328)-1), 'Raw Data Sales'!I328:I1326, MID(A328, FIND(" ",A328)+1, 100))</f>
        <v>6673.53</v>
      </c>
    </row>
    <row r="329">
      <c r="A329" s="6" t="str">
        <f>IFERROR(__xludf.DUMMYFUNCTION("UNIQUE('Raw Data Sales'!H329:H1327 &amp; "" "" &amp; 'Raw Data Sales'!I329:I1327)"),"Karlotte Petters")</f>
        <v>Karlotte Petters</v>
      </c>
      <c r="B329" s="6" t="str">
        <f>IFERROR(__xludf.DUMMYFUNCTION("""COMPUTED_VALUE"""),"kpetters93@pinterest.com")</f>
        <v>kpetters93@pinterest.com</v>
      </c>
      <c r="C329" s="6" t="str">
        <f>IFERROR(__xludf.DUMMYFUNCTION("""COMPUTED_VALUE"""),"Jamaica")</f>
        <v>Jamaica</v>
      </c>
      <c r="D329" s="6">
        <f>COUNTIFS('Raw Data Sales'!H329:H1327, LEFT(A329, FIND(" ",A329)-1), 'Raw Data Sales'!I329:I1327, MID(A329, FIND(" ",A329)+1, 100))</f>
        <v>1</v>
      </c>
      <c r="E329" s="6">
        <f>SUMIFS('Raw Data Sales'!M329:M1327, 'Raw Data Sales'!H329:H1327, LEFT(A329, FIND(" ",A329)-1), 'Raw Data Sales'!I329:I1327, MID(A329, FIND(" ",A329)+1, 100))</f>
        <v>71</v>
      </c>
      <c r="F329" s="6">
        <f>SUMIFS('Raw Data Sales'!N329:N1327, 'Raw Data Sales'!H329:H1327, LEFT(A329, FIND(" ",A329)-1), 'Raw Data Sales'!I329:I1327, MID(A329, FIND(" ",A329)+1, 100))</f>
        <v>1033.58</v>
      </c>
    </row>
    <row r="330">
      <c r="A330" s="6" t="str">
        <f>IFERROR(__xludf.DUMMYFUNCTION("UNIQUE('Raw Data Sales'!H330:H1328 &amp; "" "" &amp; 'Raw Data Sales'!I330:I1328)"),"Myles Royce")</f>
        <v>Myles Royce</v>
      </c>
      <c r="B330" s="6" t="str">
        <f>IFERROR(__xludf.DUMMYFUNCTION("""COMPUTED_VALUE"""),"mroyce94@tinyurl.com")</f>
        <v>mroyce94@tinyurl.com</v>
      </c>
      <c r="C330" s="6" t="str">
        <f>IFERROR(__xludf.DUMMYFUNCTION("""COMPUTED_VALUE"""),"China")</f>
        <v>China</v>
      </c>
      <c r="D330" s="6">
        <f>COUNTIFS('Raw Data Sales'!H330:H1328, LEFT(A330, FIND(" ",A330)-1), 'Raw Data Sales'!I330:I1328, MID(A330, FIND(" ",A330)+1, 100))</f>
        <v>1</v>
      </c>
      <c r="E330" s="6">
        <f>SUMIFS('Raw Data Sales'!M330:M1328, 'Raw Data Sales'!H330:H1328, LEFT(A330, FIND(" ",A330)-1), 'Raw Data Sales'!I330:I1328, MID(A330, FIND(" ",A330)+1, 100))</f>
        <v>9</v>
      </c>
      <c r="F330" s="6">
        <f>SUMIFS('Raw Data Sales'!N330:N1328, 'Raw Data Sales'!H330:H1328, LEFT(A330, FIND(" ",A330)-1), 'Raw Data Sales'!I330:I1328, MID(A330, FIND(" ",A330)+1, 100))</f>
        <v>992.78</v>
      </c>
    </row>
    <row r="331">
      <c r="A331" s="6" t="str">
        <f>IFERROR(__xludf.DUMMYFUNCTION("UNIQUE('Raw Data Sales'!H331:H1329 &amp; "" "" &amp; 'Raw Data Sales'!I331:I1329)"),"Maurise Penner")</f>
        <v>Maurise Penner</v>
      </c>
      <c r="B331" s="6" t="str">
        <f>IFERROR(__xludf.DUMMYFUNCTION("""COMPUTED_VALUE"""),"mpenner95@npr.org")</f>
        <v>mpenner95@npr.org</v>
      </c>
      <c r="C331" s="6" t="str">
        <f>IFERROR(__xludf.DUMMYFUNCTION("""COMPUTED_VALUE"""),"France")</f>
        <v>France</v>
      </c>
      <c r="D331" s="6">
        <f>COUNTIFS('Raw Data Sales'!H331:H1329, LEFT(A331, FIND(" ",A331)-1), 'Raw Data Sales'!I331:I1329, MID(A331, FIND(" ",A331)+1, 100))</f>
        <v>1</v>
      </c>
      <c r="E331" s="6">
        <f>SUMIFS('Raw Data Sales'!M331:M1329, 'Raw Data Sales'!H331:H1329, LEFT(A331, FIND(" ",A331)-1), 'Raw Data Sales'!I331:I1329, MID(A331, FIND(" ",A331)+1, 100))</f>
        <v>28</v>
      </c>
      <c r="F331" s="6">
        <f>SUMIFS('Raw Data Sales'!N331:N1329, 'Raw Data Sales'!H331:H1329, LEFT(A331, FIND(" ",A331)-1), 'Raw Data Sales'!I331:I1329, MID(A331, FIND(" ",A331)+1, 100))</f>
        <v>1530.56</v>
      </c>
    </row>
    <row r="332">
      <c r="A332" s="6" t="str">
        <f>IFERROR(__xludf.DUMMYFUNCTION("UNIQUE('Raw Data Sales'!H332:H1330 &amp; "" "" &amp; 'Raw Data Sales'!I332:I1330)"),"Amber Leaming")</f>
        <v>Amber Leaming</v>
      </c>
      <c r="B332" s="6" t="str">
        <f>IFERROR(__xludf.DUMMYFUNCTION("""COMPUTED_VALUE"""),"aleaming96@geocities.jp")</f>
        <v>aleaming96@geocities.jp</v>
      </c>
      <c r="C332" s="6" t="str">
        <f>IFERROR(__xludf.DUMMYFUNCTION("""COMPUTED_VALUE"""),"Indonesia")</f>
        <v>Indonesia</v>
      </c>
      <c r="D332" s="6">
        <f>COUNTIFS('Raw Data Sales'!H332:H1330, LEFT(A332, FIND(" ",A332)-1), 'Raw Data Sales'!I332:I1330, MID(A332, FIND(" ",A332)+1, 100))</f>
        <v>1</v>
      </c>
      <c r="E332" s="6">
        <f>SUMIFS('Raw Data Sales'!M332:M1330, 'Raw Data Sales'!H332:H1330, LEFT(A332, FIND(" ",A332)-1), 'Raw Data Sales'!I332:I1330, MID(A332, FIND(" ",A332)+1, 100))</f>
        <v>12</v>
      </c>
      <c r="F332" s="6">
        <f>SUMIFS('Raw Data Sales'!N332:N1330, 'Raw Data Sales'!H332:H1330, LEFT(A332, FIND(" ",A332)-1), 'Raw Data Sales'!I332:I1330, MID(A332, FIND(" ",A332)+1, 100))</f>
        <v>1134.63</v>
      </c>
    </row>
    <row r="333">
      <c r="A333" s="6" t="str">
        <f>IFERROR(__xludf.DUMMYFUNCTION("UNIQUE('Raw Data Sales'!H333:H1331 &amp; "" "" &amp; 'Raw Data Sales'!I333:I1331)"),"Dennet Le Frank")</f>
        <v>Dennet Le Frank</v>
      </c>
      <c r="B333" s="6" t="str">
        <f>IFERROR(__xludf.DUMMYFUNCTION("""COMPUTED_VALUE"""),"dlefrank97@wunderground.com")</f>
        <v>dlefrank97@wunderground.com</v>
      </c>
      <c r="C333" s="6" t="str">
        <f>IFERROR(__xludf.DUMMYFUNCTION("""COMPUTED_VALUE"""),"Democratic Republic of the Congo")</f>
        <v>Democratic Republic of the Congo</v>
      </c>
      <c r="D333" s="6">
        <f>COUNTIFS('Raw Data Sales'!H333:H1331, LEFT(A333, FIND(" ",A333)-1), 'Raw Data Sales'!I333:I1331, MID(A333, FIND(" ",A333)+1, 100))</f>
        <v>1</v>
      </c>
      <c r="E333" s="6">
        <f>SUMIFS('Raw Data Sales'!M333:M1331, 'Raw Data Sales'!H333:H1331, LEFT(A333, FIND(" ",A333)-1), 'Raw Data Sales'!I333:I1331, MID(A333, FIND(" ",A333)+1, 100))</f>
        <v>74</v>
      </c>
      <c r="F333" s="6">
        <f>SUMIFS('Raw Data Sales'!N333:N1331, 'Raw Data Sales'!H333:H1331, LEFT(A333, FIND(" ",A333)-1), 'Raw Data Sales'!I333:I1331, MID(A333, FIND(" ",A333)+1, 100))</f>
        <v>4257.72</v>
      </c>
    </row>
    <row r="334">
      <c r="A334" s="6" t="str">
        <f>IFERROR(__xludf.DUMMYFUNCTION("UNIQUE('Raw Data Sales'!H334:H1332 &amp; "" "" &amp; 'Raw Data Sales'!I334:I1332)"),"Cristionna Gilhooly")</f>
        <v>Cristionna Gilhooly</v>
      </c>
      <c r="B334" s="6" t="str">
        <f>IFERROR(__xludf.DUMMYFUNCTION("""COMPUTED_VALUE"""),"cgilhooly98@blogspot.com")</f>
        <v>cgilhooly98@blogspot.com</v>
      </c>
      <c r="C334" s="6" t="str">
        <f>IFERROR(__xludf.DUMMYFUNCTION("""COMPUTED_VALUE"""),"Oman")</f>
        <v>Oman</v>
      </c>
      <c r="D334" s="6">
        <f>COUNTIFS('Raw Data Sales'!H334:H1332, LEFT(A334, FIND(" ",A334)-1), 'Raw Data Sales'!I334:I1332, MID(A334, FIND(" ",A334)+1, 100))</f>
        <v>1</v>
      </c>
      <c r="E334" s="6">
        <f>SUMIFS('Raw Data Sales'!M334:M1332, 'Raw Data Sales'!H334:H1332, LEFT(A334, FIND(" ",A334)-1), 'Raw Data Sales'!I334:I1332, MID(A334, FIND(" ",A334)+1, 100))</f>
        <v>92</v>
      </c>
      <c r="F334" s="6">
        <f>SUMIFS('Raw Data Sales'!N334:N1332, 'Raw Data Sales'!H334:H1332, LEFT(A334, FIND(" ",A334)-1), 'Raw Data Sales'!I334:I1332, MID(A334, FIND(" ",A334)+1, 100))</f>
        <v>936.79</v>
      </c>
    </row>
    <row r="335">
      <c r="A335" s="6" t="str">
        <f>IFERROR(__xludf.DUMMYFUNCTION("UNIQUE('Raw Data Sales'!H335:H1333 &amp; "" "" &amp; 'Raw Data Sales'!I335:I1333)"),"Taddeusz Putson")</f>
        <v>Taddeusz Putson</v>
      </c>
      <c r="B335" s="6" t="str">
        <f>IFERROR(__xludf.DUMMYFUNCTION("""COMPUTED_VALUE"""),"tputson99@google.es")</f>
        <v>tputson99@google.es</v>
      </c>
      <c r="C335" s="6" t="str">
        <f>IFERROR(__xludf.DUMMYFUNCTION("""COMPUTED_VALUE"""),"Indonesia")</f>
        <v>Indonesia</v>
      </c>
      <c r="D335" s="6">
        <f>COUNTIFS('Raw Data Sales'!H335:H1333, LEFT(A335, FIND(" ",A335)-1), 'Raw Data Sales'!I335:I1333, MID(A335, FIND(" ",A335)+1, 100))</f>
        <v>1</v>
      </c>
      <c r="E335" s="6">
        <f>SUMIFS('Raw Data Sales'!M335:M1333, 'Raw Data Sales'!H335:H1333, LEFT(A335, FIND(" ",A335)-1), 'Raw Data Sales'!I335:I1333, MID(A335, FIND(" ",A335)+1, 100))</f>
        <v>8</v>
      </c>
      <c r="F335" s="6">
        <f>SUMIFS('Raw Data Sales'!N335:N1333, 'Raw Data Sales'!H335:H1333, LEFT(A335, FIND(" ",A335)-1), 'Raw Data Sales'!I335:I1333, MID(A335, FIND(" ",A335)+1, 100))</f>
        <v>6698.02</v>
      </c>
    </row>
    <row r="336">
      <c r="A336" s="6" t="str">
        <f>IFERROR(__xludf.DUMMYFUNCTION("UNIQUE('Raw Data Sales'!H336:H1334 &amp; "" "" &amp; 'Raw Data Sales'!I336:I1334)"),"Bennie Lagde")</f>
        <v>Bennie Lagde</v>
      </c>
      <c r="B336" s="6" t="str">
        <f>IFERROR(__xludf.DUMMYFUNCTION("""COMPUTED_VALUE"""),"blagde9a@who.int")</f>
        <v>blagde9a@who.int</v>
      </c>
      <c r="C336" s="6" t="str">
        <f>IFERROR(__xludf.DUMMYFUNCTION("""COMPUTED_VALUE"""),"Poland")</f>
        <v>Poland</v>
      </c>
      <c r="D336" s="6">
        <f>COUNTIFS('Raw Data Sales'!H336:H1334, LEFT(A336, FIND(" ",A336)-1), 'Raw Data Sales'!I336:I1334, MID(A336, FIND(" ",A336)+1, 100))</f>
        <v>1</v>
      </c>
      <c r="E336" s="6">
        <f>SUMIFS('Raw Data Sales'!M336:M1334, 'Raw Data Sales'!H336:H1334, LEFT(A336, FIND(" ",A336)-1), 'Raw Data Sales'!I336:I1334, MID(A336, FIND(" ",A336)+1, 100))</f>
        <v>7</v>
      </c>
      <c r="F336" s="6">
        <f>SUMIFS('Raw Data Sales'!N336:N1334, 'Raw Data Sales'!H336:H1334, LEFT(A336, FIND(" ",A336)-1), 'Raw Data Sales'!I336:I1334, MID(A336, FIND(" ",A336)+1, 100))</f>
        <v>8874.37</v>
      </c>
    </row>
    <row r="337">
      <c r="A337" s="6" t="str">
        <f>IFERROR(__xludf.DUMMYFUNCTION("UNIQUE('Raw Data Sales'!H337:H1335 &amp; "" "" &amp; 'Raw Data Sales'!I337:I1335)"),"Mellie Simonson")</f>
        <v>Mellie Simonson</v>
      </c>
      <c r="B337" s="6" t="str">
        <f>IFERROR(__xludf.DUMMYFUNCTION("""COMPUTED_VALUE"""),"msimonson9b@blogs.com")</f>
        <v>msimonson9b@blogs.com</v>
      </c>
      <c r="C337" s="6" t="str">
        <f>IFERROR(__xludf.DUMMYFUNCTION("""COMPUTED_VALUE"""),"China")</f>
        <v>China</v>
      </c>
      <c r="D337" s="6">
        <f>COUNTIFS('Raw Data Sales'!H337:H1335, LEFT(A337, FIND(" ",A337)-1), 'Raw Data Sales'!I337:I1335, MID(A337, FIND(" ",A337)+1, 100))</f>
        <v>1</v>
      </c>
      <c r="E337" s="6">
        <f>SUMIFS('Raw Data Sales'!M337:M1335, 'Raw Data Sales'!H337:H1335, LEFT(A337, FIND(" ",A337)-1), 'Raw Data Sales'!I337:I1335, MID(A337, FIND(" ",A337)+1, 100))</f>
        <v>83</v>
      </c>
      <c r="F337" s="6">
        <f>SUMIFS('Raw Data Sales'!N337:N1335, 'Raw Data Sales'!H337:H1335, LEFT(A337, FIND(" ",A337)-1), 'Raw Data Sales'!I337:I1335, MID(A337, FIND(" ",A337)+1, 100))</f>
        <v>1786.87</v>
      </c>
    </row>
    <row r="338">
      <c r="A338" s="6" t="str">
        <f>IFERROR(__xludf.DUMMYFUNCTION("UNIQUE('Raw Data Sales'!H338:H1336 &amp; "" "" &amp; 'Raw Data Sales'!I338:I1336)"),"Kanya Gotliffe")</f>
        <v>Kanya Gotliffe</v>
      </c>
      <c r="B338" s="6" t="str">
        <f>IFERROR(__xludf.DUMMYFUNCTION("""COMPUTED_VALUE"""),"kgotliffe9c@adobe.com")</f>
        <v>kgotliffe9c@adobe.com</v>
      </c>
      <c r="C338" s="6" t="str">
        <f>IFERROR(__xludf.DUMMYFUNCTION("""COMPUTED_VALUE"""),"Armenia")</f>
        <v>Armenia</v>
      </c>
      <c r="D338" s="6">
        <f>COUNTIFS('Raw Data Sales'!H338:H1336, LEFT(A338, FIND(" ",A338)-1), 'Raw Data Sales'!I338:I1336, MID(A338, FIND(" ",A338)+1, 100))</f>
        <v>1</v>
      </c>
      <c r="E338" s="6">
        <f>SUMIFS('Raw Data Sales'!M338:M1336, 'Raw Data Sales'!H338:H1336, LEFT(A338, FIND(" ",A338)-1), 'Raw Data Sales'!I338:I1336, MID(A338, FIND(" ",A338)+1, 100))</f>
        <v>40</v>
      </c>
      <c r="F338" s="6">
        <f>SUMIFS('Raw Data Sales'!N338:N1336, 'Raw Data Sales'!H338:H1336, LEFT(A338, FIND(" ",A338)-1), 'Raw Data Sales'!I338:I1336, MID(A338, FIND(" ",A338)+1, 100))</f>
        <v>5546.65</v>
      </c>
    </row>
    <row r="339">
      <c r="A339" s="6" t="str">
        <f>IFERROR(__xludf.DUMMYFUNCTION("UNIQUE('Raw Data Sales'!H339:H1337 &amp; "" "" &amp; 'Raw Data Sales'!I339:I1337)"),"Webster Bubbear")</f>
        <v>Webster Bubbear</v>
      </c>
      <c r="B339" s="6" t="str">
        <f>IFERROR(__xludf.DUMMYFUNCTION("""COMPUTED_VALUE"""),"wbubbear9d@hugedomains.com")</f>
        <v>wbubbear9d@hugedomains.com</v>
      </c>
      <c r="C339" s="6" t="str">
        <f>IFERROR(__xludf.DUMMYFUNCTION("""COMPUTED_VALUE"""),"Sweden")</f>
        <v>Sweden</v>
      </c>
      <c r="D339" s="6">
        <f>COUNTIFS('Raw Data Sales'!H339:H1337, LEFT(A339, FIND(" ",A339)-1), 'Raw Data Sales'!I339:I1337, MID(A339, FIND(" ",A339)+1, 100))</f>
        <v>1</v>
      </c>
      <c r="E339" s="6">
        <f>SUMIFS('Raw Data Sales'!M339:M1337, 'Raw Data Sales'!H339:H1337, LEFT(A339, FIND(" ",A339)-1), 'Raw Data Sales'!I339:I1337, MID(A339, FIND(" ",A339)+1, 100))</f>
        <v>35</v>
      </c>
      <c r="F339" s="6">
        <f>SUMIFS('Raw Data Sales'!N339:N1337, 'Raw Data Sales'!H339:H1337, LEFT(A339, FIND(" ",A339)-1), 'Raw Data Sales'!I339:I1337, MID(A339, FIND(" ",A339)+1, 100))</f>
        <v>3673.08</v>
      </c>
    </row>
    <row r="340">
      <c r="A340" s="6" t="str">
        <f>IFERROR(__xludf.DUMMYFUNCTION("UNIQUE('Raw Data Sales'!H340:H1338 &amp; "" "" &amp; 'Raw Data Sales'!I340:I1338)"),"Lynette Woodbridge")</f>
        <v>Lynette Woodbridge</v>
      </c>
      <c r="B340" s="6" t="str">
        <f>IFERROR(__xludf.DUMMYFUNCTION("""COMPUTED_VALUE"""),"lwoodbridge9e@storify.com")</f>
        <v>lwoodbridge9e@storify.com</v>
      </c>
      <c r="C340" s="6" t="str">
        <f>IFERROR(__xludf.DUMMYFUNCTION("""COMPUTED_VALUE"""),"Uruguay")</f>
        <v>Uruguay</v>
      </c>
      <c r="D340" s="6">
        <f>COUNTIFS('Raw Data Sales'!H340:H1338, LEFT(A340, FIND(" ",A340)-1), 'Raw Data Sales'!I340:I1338, MID(A340, FIND(" ",A340)+1, 100))</f>
        <v>1</v>
      </c>
      <c r="E340" s="6">
        <f>SUMIFS('Raw Data Sales'!M340:M1338, 'Raw Data Sales'!H340:H1338, LEFT(A340, FIND(" ",A340)-1), 'Raw Data Sales'!I340:I1338, MID(A340, FIND(" ",A340)+1, 100))</f>
        <v>63</v>
      </c>
      <c r="F340" s="6">
        <f>SUMIFS('Raw Data Sales'!N340:N1338, 'Raw Data Sales'!H340:H1338, LEFT(A340, FIND(" ",A340)-1), 'Raw Data Sales'!I340:I1338, MID(A340, FIND(" ",A340)+1, 100))</f>
        <v>2087.16</v>
      </c>
    </row>
    <row r="341">
      <c r="A341" s="6" t="str">
        <f>IFERROR(__xludf.DUMMYFUNCTION("UNIQUE('Raw Data Sales'!H341:H1339 &amp; "" "" &amp; 'Raw Data Sales'!I341:I1339)"),"Corenda MacShane")</f>
        <v>Corenda MacShane</v>
      </c>
      <c r="B341" s="6" t="str">
        <f>IFERROR(__xludf.DUMMYFUNCTION("""COMPUTED_VALUE"""),"cmacshane9f@istockphoto.com")</f>
        <v>cmacshane9f@istockphoto.com</v>
      </c>
      <c r="C341" s="6" t="str">
        <f>IFERROR(__xludf.DUMMYFUNCTION("""COMPUTED_VALUE"""),"Colombia")</f>
        <v>Colombia</v>
      </c>
      <c r="D341" s="6">
        <f>COUNTIFS('Raw Data Sales'!H341:H1339, LEFT(A341, FIND(" ",A341)-1), 'Raw Data Sales'!I341:I1339, MID(A341, FIND(" ",A341)+1, 100))</f>
        <v>1</v>
      </c>
      <c r="E341" s="6">
        <f>SUMIFS('Raw Data Sales'!M341:M1339, 'Raw Data Sales'!H341:H1339, LEFT(A341, FIND(" ",A341)-1), 'Raw Data Sales'!I341:I1339, MID(A341, FIND(" ",A341)+1, 100))</f>
        <v>77</v>
      </c>
      <c r="F341" s="6">
        <f>SUMIFS('Raw Data Sales'!N341:N1339, 'Raw Data Sales'!H341:H1339, LEFT(A341, FIND(" ",A341)-1), 'Raw Data Sales'!I341:I1339, MID(A341, FIND(" ",A341)+1, 100))</f>
        <v>8437.02</v>
      </c>
    </row>
    <row r="342">
      <c r="A342" s="6" t="str">
        <f>IFERROR(__xludf.DUMMYFUNCTION("UNIQUE('Raw Data Sales'!H342:H1340 &amp; "" "" &amp; 'Raw Data Sales'!I342:I1340)"),"Ricki Harber")</f>
        <v>Ricki Harber</v>
      </c>
      <c r="B342" s="6" t="str">
        <f>IFERROR(__xludf.DUMMYFUNCTION("""COMPUTED_VALUE"""),"rharber9g@wunderground.com")</f>
        <v>rharber9g@wunderground.com</v>
      </c>
      <c r="C342" s="6" t="str">
        <f>IFERROR(__xludf.DUMMYFUNCTION("""COMPUTED_VALUE"""),"Japan")</f>
        <v>Japan</v>
      </c>
      <c r="D342" s="6">
        <f>COUNTIFS('Raw Data Sales'!H342:H1340, LEFT(A342, FIND(" ",A342)-1), 'Raw Data Sales'!I342:I1340, MID(A342, FIND(" ",A342)+1, 100))</f>
        <v>1</v>
      </c>
      <c r="E342" s="6">
        <f>SUMIFS('Raw Data Sales'!M342:M1340, 'Raw Data Sales'!H342:H1340, LEFT(A342, FIND(" ",A342)-1), 'Raw Data Sales'!I342:I1340, MID(A342, FIND(" ",A342)+1, 100))</f>
        <v>93</v>
      </c>
      <c r="F342" s="6">
        <f>SUMIFS('Raw Data Sales'!N342:N1340, 'Raw Data Sales'!H342:H1340, LEFT(A342, FIND(" ",A342)-1), 'Raw Data Sales'!I342:I1340, MID(A342, FIND(" ",A342)+1, 100))</f>
        <v>2881.46</v>
      </c>
    </row>
    <row r="343">
      <c r="A343" s="6" t="str">
        <f>IFERROR(__xludf.DUMMYFUNCTION("UNIQUE('Raw Data Sales'!H343:H1341 &amp; "" "" &amp; 'Raw Data Sales'!I343:I1341)"),"Julina Rizzolo")</f>
        <v>Julina Rizzolo</v>
      </c>
      <c r="B343" s="6" t="str">
        <f>IFERROR(__xludf.DUMMYFUNCTION("""COMPUTED_VALUE"""),"jrizzolo9h@buzzfeed.com")</f>
        <v>jrizzolo9h@buzzfeed.com</v>
      </c>
      <c r="C343" s="6" t="str">
        <f>IFERROR(__xludf.DUMMYFUNCTION("""COMPUTED_VALUE"""),"Russia")</f>
        <v>Russia</v>
      </c>
      <c r="D343" s="6">
        <f>COUNTIFS('Raw Data Sales'!H343:H1341, LEFT(A343, FIND(" ",A343)-1), 'Raw Data Sales'!I343:I1341, MID(A343, FIND(" ",A343)+1, 100))</f>
        <v>1</v>
      </c>
      <c r="E343" s="6">
        <f>SUMIFS('Raw Data Sales'!M343:M1341, 'Raw Data Sales'!H343:H1341, LEFT(A343, FIND(" ",A343)-1), 'Raw Data Sales'!I343:I1341, MID(A343, FIND(" ",A343)+1, 100))</f>
        <v>32</v>
      </c>
      <c r="F343" s="6">
        <f>SUMIFS('Raw Data Sales'!N343:N1341, 'Raw Data Sales'!H343:H1341, LEFT(A343, FIND(" ",A343)-1), 'Raw Data Sales'!I343:I1341, MID(A343, FIND(" ",A343)+1, 100))</f>
        <v>6140.06</v>
      </c>
    </row>
    <row r="344">
      <c r="A344" s="6" t="str">
        <f>IFERROR(__xludf.DUMMYFUNCTION("UNIQUE('Raw Data Sales'!H344:H1342 &amp; "" "" &amp; 'Raw Data Sales'!I344:I1342)"),"Bryn Amor")</f>
        <v>Bryn Amor</v>
      </c>
      <c r="B344" s="6" t="str">
        <f>IFERROR(__xludf.DUMMYFUNCTION("""COMPUTED_VALUE"""),"bamor9i@opera.com")</f>
        <v>bamor9i@opera.com</v>
      </c>
      <c r="C344" s="6" t="str">
        <f>IFERROR(__xludf.DUMMYFUNCTION("""COMPUTED_VALUE"""),"South Africa")</f>
        <v>South Africa</v>
      </c>
      <c r="D344" s="6">
        <f>COUNTIFS('Raw Data Sales'!H344:H1342, LEFT(A344, FIND(" ",A344)-1), 'Raw Data Sales'!I344:I1342, MID(A344, FIND(" ",A344)+1, 100))</f>
        <v>1</v>
      </c>
      <c r="E344" s="6">
        <f>SUMIFS('Raw Data Sales'!M344:M1342, 'Raw Data Sales'!H344:H1342, LEFT(A344, FIND(" ",A344)-1), 'Raw Data Sales'!I344:I1342, MID(A344, FIND(" ",A344)+1, 100))</f>
        <v>23</v>
      </c>
      <c r="F344" s="6">
        <f>SUMIFS('Raw Data Sales'!N344:N1342, 'Raw Data Sales'!H344:H1342, LEFT(A344, FIND(" ",A344)-1), 'Raw Data Sales'!I344:I1342, MID(A344, FIND(" ",A344)+1, 100))</f>
        <v>8659.33</v>
      </c>
    </row>
    <row r="345">
      <c r="A345" s="6" t="str">
        <f>IFERROR(__xludf.DUMMYFUNCTION("UNIQUE('Raw Data Sales'!H345:H1343 &amp; "" "" &amp; 'Raw Data Sales'!I345:I1343)"),"Anderea Beauvais")</f>
        <v>Anderea Beauvais</v>
      </c>
      <c r="B345" s="6" t="str">
        <f>IFERROR(__xludf.DUMMYFUNCTION("""COMPUTED_VALUE"""),"abeauvais9j@google.com.hk")</f>
        <v>abeauvais9j@google.com.hk</v>
      </c>
      <c r="C345" s="6" t="str">
        <f>IFERROR(__xludf.DUMMYFUNCTION("""COMPUTED_VALUE"""),"Russia")</f>
        <v>Russia</v>
      </c>
      <c r="D345" s="6">
        <f>COUNTIFS('Raw Data Sales'!H345:H1343, LEFT(A345, FIND(" ",A345)-1), 'Raw Data Sales'!I345:I1343, MID(A345, FIND(" ",A345)+1, 100))</f>
        <v>1</v>
      </c>
      <c r="E345" s="6">
        <f>SUMIFS('Raw Data Sales'!M345:M1343, 'Raw Data Sales'!H345:H1343, LEFT(A345, FIND(" ",A345)-1), 'Raw Data Sales'!I345:I1343, MID(A345, FIND(" ",A345)+1, 100))</f>
        <v>5</v>
      </c>
      <c r="F345" s="6">
        <f>SUMIFS('Raw Data Sales'!N345:N1343, 'Raw Data Sales'!H345:H1343, LEFT(A345, FIND(" ",A345)-1), 'Raw Data Sales'!I345:I1343, MID(A345, FIND(" ",A345)+1, 100))</f>
        <v>9662.12</v>
      </c>
    </row>
    <row r="346">
      <c r="A346" s="6" t="str">
        <f>IFERROR(__xludf.DUMMYFUNCTION("UNIQUE('Raw Data Sales'!H346:H1344 &amp; "" "" &amp; 'Raw Data Sales'!I346:I1344)"),"Muffin Klimaszewski")</f>
        <v>Muffin Klimaszewski</v>
      </c>
      <c r="B346" s="6" t="str">
        <f>IFERROR(__xludf.DUMMYFUNCTION("""COMPUTED_VALUE"""),"mklimaszewski9k@deviantart.com")</f>
        <v>mklimaszewski9k@deviantart.com</v>
      </c>
      <c r="C346" s="6" t="str">
        <f>IFERROR(__xludf.DUMMYFUNCTION("""COMPUTED_VALUE"""),"Indonesia")</f>
        <v>Indonesia</v>
      </c>
      <c r="D346" s="6">
        <f>COUNTIFS('Raw Data Sales'!H346:H1344, LEFT(A346, FIND(" ",A346)-1), 'Raw Data Sales'!I346:I1344, MID(A346, FIND(" ",A346)+1, 100))</f>
        <v>1</v>
      </c>
      <c r="E346" s="6">
        <f>SUMIFS('Raw Data Sales'!M346:M1344, 'Raw Data Sales'!H346:H1344, LEFT(A346, FIND(" ",A346)-1), 'Raw Data Sales'!I346:I1344, MID(A346, FIND(" ",A346)+1, 100))</f>
        <v>54</v>
      </c>
      <c r="F346" s="6">
        <f>SUMIFS('Raw Data Sales'!N346:N1344, 'Raw Data Sales'!H346:H1344, LEFT(A346, FIND(" ",A346)-1), 'Raw Data Sales'!I346:I1344, MID(A346, FIND(" ",A346)+1, 100))</f>
        <v>1476.59</v>
      </c>
    </row>
    <row r="347">
      <c r="A347" s="6" t="str">
        <f>IFERROR(__xludf.DUMMYFUNCTION("UNIQUE('Raw Data Sales'!H347:H1345 &amp; "" "" &amp; 'Raw Data Sales'!I347:I1345)"),"Caryn Lochead")</f>
        <v>Caryn Lochead</v>
      </c>
      <c r="B347" s="6" t="str">
        <f>IFERROR(__xludf.DUMMYFUNCTION("""COMPUTED_VALUE"""),"clochead9l@si.edu")</f>
        <v>clochead9l@si.edu</v>
      </c>
      <c r="C347" s="6" t="str">
        <f>IFERROR(__xludf.DUMMYFUNCTION("""COMPUTED_VALUE"""),"Indonesia")</f>
        <v>Indonesia</v>
      </c>
      <c r="D347" s="6">
        <f>COUNTIFS('Raw Data Sales'!H347:H1345, LEFT(A347, FIND(" ",A347)-1), 'Raw Data Sales'!I347:I1345, MID(A347, FIND(" ",A347)+1, 100))</f>
        <v>1</v>
      </c>
      <c r="E347" s="6">
        <f>SUMIFS('Raw Data Sales'!M347:M1345, 'Raw Data Sales'!H347:H1345, LEFT(A347, FIND(" ",A347)-1), 'Raw Data Sales'!I347:I1345, MID(A347, FIND(" ",A347)+1, 100))</f>
        <v>28</v>
      </c>
      <c r="F347" s="6">
        <f>SUMIFS('Raw Data Sales'!N347:N1345, 'Raw Data Sales'!H347:H1345, LEFT(A347, FIND(" ",A347)-1), 'Raw Data Sales'!I347:I1345, MID(A347, FIND(" ",A347)+1, 100))</f>
        <v>2494.46</v>
      </c>
    </row>
    <row r="348">
      <c r="A348" s="6" t="str">
        <f>IFERROR(__xludf.DUMMYFUNCTION("UNIQUE('Raw Data Sales'!H348:H1346 &amp; "" "" &amp; 'Raw Data Sales'!I348:I1346)"),"Sheelagh Melley")</f>
        <v>Sheelagh Melley</v>
      </c>
      <c r="B348" s="6" t="str">
        <f>IFERROR(__xludf.DUMMYFUNCTION("""COMPUTED_VALUE"""),"smelley9m@qq.com")</f>
        <v>smelley9m@qq.com</v>
      </c>
      <c r="C348" s="6" t="str">
        <f>IFERROR(__xludf.DUMMYFUNCTION("""COMPUTED_VALUE"""),"Tanzania")</f>
        <v>Tanzania</v>
      </c>
      <c r="D348" s="6">
        <f>COUNTIFS('Raw Data Sales'!H348:H1346, LEFT(A348, FIND(" ",A348)-1), 'Raw Data Sales'!I348:I1346, MID(A348, FIND(" ",A348)+1, 100))</f>
        <v>1</v>
      </c>
      <c r="E348" s="6">
        <f>SUMIFS('Raw Data Sales'!M348:M1346, 'Raw Data Sales'!H348:H1346, LEFT(A348, FIND(" ",A348)-1), 'Raw Data Sales'!I348:I1346, MID(A348, FIND(" ",A348)+1, 100))</f>
        <v>65</v>
      </c>
      <c r="F348" s="6">
        <f>SUMIFS('Raw Data Sales'!N348:N1346, 'Raw Data Sales'!H348:H1346, LEFT(A348, FIND(" ",A348)-1), 'Raw Data Sales'!I348:I1346, MID(A348, FIND(" ",A348)+1, 100))</f>
        <v>1053.7</v>
      </c>
    </row>
    <row r="349">
      <c r="A349" s="6" t="str">
        <f>IFERROR(__xludf.DUMMYFUNCTION("UNIQUE('Raw Data Sales'!H349:H1347 &amp; "" "" &amp; 'Raw Data Sales'!I349:I1347)"),"Valida Torfin")</f>
        <v>Valida Torfin</v>
      </c>
      <c r="B349" s="6" t="str">
        <f>IFERROR(__xludf.DUMMYFUNCTION("""COMPUTED_VALUE"""),"vtorfin9n@adobe.com")</f>
        <v>vtorfin9n@adobe.com</v>
      </c>
      <c r="C349" s="6" t="str">
        <f>IFERROR(__xludf.DUMMYFUNCTION("""COMPUTED_VALUE"""),"China")</f>
        <v>China</v>
      </c>
      <c r="D349" s="6">
        <f>COUNTIFS('Raw Data Sales'!H349:H1347, LEFT(A349, FIND(" ",A349)-1), 'Raw Data Sales'!I349:I1347, MID(A349, FIND(" ",A349)+1, 100))</f>
        <v>1</v>
      </c>
      <c r="E349" s="6">
        <f>SUMIFS('Raw Data Sales'!M349:M1347, 'Raw Data Sales'!H349:H1347, LEFT(A349, FIND(" ",A349)-1), 'Raw Data Sales'!I349:I1347, MID(A349, FIND(" ",A349)+1, 100))</f>
        <v>40</v>
      </c>
      <c r="F349" s="6">
        <f>SUMIFS('Raw Data Sales'!N349:N1347, 'Raw Data Sales'!H349:H1347, LEFT(A349, FIND(" ",A349)-1), 'Raw Data Sales'!I349:I1347, MID(A349, FIND(" ",A349)+1, 100))</f>
        <v>7847.78</v>
      </c>
    </row>
    <row r="350">
      <c r="A350" s="6" t="str">
        <f>IFERROR(__xludf.DUMMYFUNCTION("UNIQUE('Raw Data Sales'!H350:H1348 &amp; "" "" &amp; 'Raw Data Sales'!I350:I1348)"),"Robyn Taggert")</f>
        <v>Robyn Taggert</v>
      </c>
      <c r="B350" s="6" t="str">
        <f>IFERROR(__xludf.DUMMYFUNCTION("""COMPUTED_VALUE"""),"rtaggert9o@free.fr")</f>
        <v>rtaggert9o@free.fr</v>
      </c>
      <c r="C350" s="6" t="str">
        <f>IFERROR(__xludf.DUMMYFUNCTION("""COMPUTED_VALUE"""),"Indonesia")</f>
        <v>Indonesia</v>
      </c>
      <c r="D350" s="6">
        <f>COUNTIFS('Raw Data Sales'!H350:H1348, LEFT(A350, FIND(" ",A350)-1), 'Raw Data Sales'!I350:I1348, MID(A350, FIND(" ",A350)+1, 100))</f>
        <v>1</v>
      </c>
      <c r="E350" s="6">
        <f>SUMIFS('Raw Data Sales'!M350:M1348, 'Raw Data Sales'!H350:H1348, LEFT(A350, FIND(" ",A350)-1), 'Raw Data Sales'!I350:I1348, MID(A350, FIND(" ",A350)+1, 100))</f>
        <v>95</v>
      </c>
      <c r="F350" s="6">
        <f>SUMIFS('Raw Data Sales'!N350:N1348, 'Raw Data Sales'!H350:H1348, LEFT(A350, FIND(" ",A350)-1), 'Raw Data Sales'!I350:I1348, MID(A350, FIND(" ",A350)+1, 100))</f>
        <v>1294.66</v>
      </c>
    </row>
    <row r="351">
      <c r="A351" s="6" t="str">
        <f>IFERROR(__xludf.DUMMYFUNCTION("UNIQUE('Raw Data Sales'!H351:H1349 &amp; "" "" &amp; 'Raw Data Sales'!I351:I1349)"),"Korrie Leftly")</f>
        <v>Korrie Leftly</v>
      </c>
      <c r="B351" s="6" t="str">
        <f>IFERROR(__xludf.DUMMYFUNCTION("""COMPUTED_VALUE"""),"kleftly9p@discuz.net")</f>
        <v>kleftly9p@discuz.net</v>
      </c>
      <c r="C351" s="6" t="str">
        <f>IFERROR(__xludf.DUMMYFUNCTION("""COMPUTED_VALUE"""),"Philippines")</f>
        <v>Philippines</v>
      </c>
      <c r="D351" s="6">
        <f>COUNTIFS('Raw Data Sales'!H351:H1349, LEFT(A351, FIND(" ",A351)-1), 'Raw Data Sales'!I351:I1349, MID(A351, FIND(" ",A351)+1, 100))</f>
        <v>1</v>
      </c>
      <c r="E351" s="6">
        <f>SUMIFS('Raw Data Sales'!M351:M1349, 'Raw Data Sales'!H351:H1349, LEFT(A351, FIND(" ",A351)-1), 'Raw Data Sales'!I351:I1349, MID(A351, FIND(" ",A351)+1, 100))</f>
        <v>75</v>
      </c>
      <c r="F351" s="6">
        <f>SUMIFS('Raw Data Sales'!N351:N1349, 'Raw Data Sales'!H351:H1349, LEFT(A351, FIND(" ",A351)-1), 'Raw Data Sales'!I351:I1349, MID(A351, FIND(" ",A351)+1, 100))</f>
        <v>3974.56</v>
      </c>
    </row>
    <row r="352">
      <c r="A352" s="6" t="str">
        <f>IFERROR(__xludf.DUMMYFUNCTION("UNIQUE('Raw Data Sales'!H352:H1350 &amp; "" "" &amp; 'Raw Data Sales'!I352:I1350)"),"Trstram Guido")</f>
        <v>Trstram Guido</v>
      </c>
      <c r="B352" s="6" t="str">
        <f>IFERROR(__xludf.DUMMYFUNCTION("""COMPUTED_VALUE"""),"tguido9q@clickbank.net")</f>
        <v>tguido9q@clickbank.net</v>
      </c>
      <c r="C352" s="6" t="str">
        <f>IFERROR(__xludf.DUMMYFUNCTION("""COMPUTED_VALUE"""),"Brazil")</f>
        <v>Brazil</v>
      </c>
      <c r="D352" s="6">
        <f>COUNTIFS('Raw Data Sales'!H352:H1350, LEFT(A352, FIND(" ",A352)-1), 'Raw Data Sales'!I352:I1350, MID(A352, FIND(" ",A352)+1, 100))</f>
        <v>1</v>
      </c>
      <c r="E352" s="6">
        <f>SUMIFS('Raw Data Sales'!M352:M1350, 'Raw Data Sales'!H352:H1350, LEFT(A352, FIND(" ",A352)-1), 'Raw Data Sales'!I352:I1350, MID(A352, FIND(" ",A352)+1, 100))</f>
        <v>49</v>
      </c>
      <c r="F352" s="6">
        <f>SUMIFS('Raw Data Sales'!N352:N1350, 'Raw Data Sales'!H352:H1350, LEFT(A352, FIND(" ",A352)-1), 'Raw Data Sales'!I352:I1350, MID(A352, FIND(" ",A352)+1, 100))</f>
        <v>5323.47</v>
      </c>
    </row>
    <row r="353">
      <c r="A353" s="6" t="str">
        <f>IFERROR(__xludf.DUMMYFUNCTION("UNIQUE('Raw Data Sales'!H353:H1351 &amp; "" "" &amp; 'Raw Data Sales'!I353:I1351)"),"Godfrey Colbourn")</f>
        <v>Godfrey Colbourn</v>
      </c>
      <c r="B353" s="6" t="str">
        <f>IFERROR(__xludf.DUMMYFUNCTION("""COMPUTED_VALUE"""),"gcolbourn9r@phpbb.com")</f>
        <v>gcolbourn9r@phpbb.com</v>
      </c>
      <c r="C353" s="6" t="str">
        <f>IFERROR(__xludf.DUMMYFUNCTION("""COMPUTED_VALUE"""),"Hungary")</f>
        <v>Hungary</v>
      </c>
      <c r="D353" s="6">
        <f>COUNTIFS('Raw Data Sales'!H353:H1351, LEFT(A353, FIND(" ",A353)-1), 'Raw Data Sales'!I353:I1351, MID(A353, FIND(" ",A353)+1, 100))</f>
        <v>1</v>
      </c>
      <c r="E353" s="6">
        <f>SUMIFS('Raw Data Sales'!M353:M1351, 'Raw Data Sales'!H353:H1351, LEFT(A353, FIND(" ",A353)-1), 'Raw Data Sales'!I353:I1351, MID(A353, FIND(" ",A353)+1, 100))</f>
        <v>78</v>
      </c>
      <c r="F353" s="6">
        <f>SUMIFS('Raw Data Sales'!N353:N1351, 'Raw Data Sales'!H353:H1351, LEFT(A353, FIND(" ",A353)-1), 'Raw Data Sales'!I353:I1351, MID(A353, FIND(" ",A353)+1, 100))</f>
        <v>8938.09</v>
      </c>
    </row>
    <row r="354">
      <c r="A354" s="6" t="str">
        <f>IFERROR(__xludf.DUMMYFUNCTION("UNIQUE('Raw Data Sales'!H354:H1352 &amp; "" "" &amp; 'Raw Data Sales'!I354:I1352)"),"Carlyn Wilstead")</f>
        <v>Carlyn Wilstead</v>
      </c>
      <c r="B354" s="6" t="str">
        <f>IFERROR(__xludf.DUMMYFUNCTION("""COMPUTED_VALUE"""),"cwilstead9s@creativecommons.org")</f>
        <v>cwilstead9s@creativecommons.org</v>
      </c>
      <c r="C354" s="6" t="str">
        <f>IFERROR(__xludf.DUMMYFUNCTION("""COMPUTED_VALUE"""),"Hungary")</f>
        <v>Hungary</v>
      </c>
      <c r="D354" s="6">
        <f>COUNTIFS('Raw Data Sales'!H354:H1352, LEFT(A354, FIND(" ",A354)-1), 'Raw Data Sales'!I354:I1352, MID(A354, FIND(" ",A354)+1, 100))</f>
        <v>1</v>
      </c>
      <c r="E354" s="6">
        <f>SUMIFS('Raw Data Sales'!M354:M1352, 'Raw Data Sales'!H354:H1352, LEFT(A354, FIND(" ",A354)-1), 'Raw Data Sales'!I354:I1352, MID(A354, FIND(" ",A354)+1, 100))</f>
        <v>75</v>
      </c>
      <c r="F354" s="6">
        <f>SUMIFS('Raw Data Sales'!N354:N1352, 'Raw Data Sales'!H354:H1352, LEFT(A354, FIND(" ",A354)-1), 'Raw Data Sales'!I354:I1352, MID(A354, FIND(" ",A354)+1, 100))</f>
        <v>2276.35</v>
      </c>
    </row>
    <row r="355">
      <c r="A355" s="6" t="str">
        <f>IFERROR(__xludf.DUMMYFUNCTION("UNIQUE('Raw Data Sales'!H355:H1353 &amp; "" "" &amp; 'Raw Data Sales'!I355:I1353)"),"Erroll Woollam")</f>
        <v>Erroll Woollam</v>
      </c>
      <c r="B355" s="6" t="str">
        <f>IFERROR(__xludf.DUMMYFUNCTION("""COMPUTED_VALUE"""),"ewoollam9t@comcast.net")</f>
        <v>ewoollam9t@comcast.net</v>
      </c>
      <c r="C355" s="6" t="str">
        <f>IFERROR(__xludf.DUMMYFUNCTION("""COMPUTED_VALUE"""),"Tunisia")</f>
        <v>Tunisia</v>
      </c>
      <c r="D355" s="6">
        <f>COUNTIFS('Raw Data Sales'!H355:H1353, LEFT(A355, FIND(" ",A355)-1), 'Raw Data Sales'!I355:I1353, MID(A355, FIND(" ",A355)+1, 100))</f>
        <v>1</v>
      </c>
      <c r="E355" s="6">
        <f>SUMIFS('Raw Data Sales'!M355:M1353, 'Raw Data Sales'!H355:H1353, LEFT(A355, FIND(" ",A355)-1), 'Raw Data Sales'!I355:I1353, MID(A355, FIND(" ",A355)+1, 100))</f>
        <v>34</v>
      </c>
      <c r="F355" s="6">
        <f>SUMIFS('Raw Data Sales'!N355:N1353, 'Raw Data Sales'!H355:H1353, LEFT(A355, FIND(" ",A355)-1), 'Raw Data Sales'!I355:I1353, MID(A355, FIND(" ",A355)+1, 100))</f>
        <v>9926.3</v>
      </c>
    </row>
    <row r="356">
      <c r="A356" s="6" t="str">
        <f>IFERROR(__xludf.DUMMYFUNCTION("UNIQUE('Raw Data Sales'!H356:H1354 &amp; "" "" &amp; 'Raw Data Sales'!I356:I1354)"),"Rich Thackray")</f>
        <v>Rich Thackray</v>
      </c>
      <c r="B356" s="6" t="str">
        <f>IFERROR(__xludf.DUMMYFUNCTION("""COMPUTED_VALUE"""),"rthackray9u@bizjournals.com")</f>
        <v>rthackray9u@bizjournals.com</v>
      </c>
      <c r="C356" s="6" t="str">
        <f>IFERROR(__xludf.DUMMYFUNCTION("""COMPUTED_VALUE"""),"Liechtenstein")</f>
        <v>Liechtenstein</v>
      </c>
      <c r="D356" s="6">
        <f>COUNTIFS('Raw Data Sales'!H356:H1354, LEFT(A356, FIND(" ",A356)-1), 'Raw Data Sales'!I356:I1354, MID(A356, FIND(" ",A356)+1, 100))</f>
        <v>1</v>
      </c>
      <c r="E356" s="6">
        <f>SUMIFS('Raw Data Sales'!M356:M1354, 'Raw Data Sales'!H356:H1354, LEFT(A356, FIND(" ",A356)-1), 'Raw Data Sales'!I356:I1354, MID(A356, FIND(" ",A356)+1, 100))</f>
        <v>37</v>
      </c>
      <c r="F356" s="6">
        <f>SUMIFS('Raw Data Sales'!N356:N1354, 'Raw Data Sales'!H356:H1354, LEFT(A356, FIND(" ",A356)-1), 'Raw Data Sales'!I356:I1354, MID(A356, FIND(" ",A356)+1, 100))</f>
        <v>7984.81</v>
      </c>
    </row>
    <row r="357">
      <c r="A357" s="6" t="str">
        <f>IFERROR(__xludf.DUMMYFUNCTION("UNIQUE('Raw Data Sales'!H357:H1355 &amp; "" "" &amp; 'Raw Data Sales'!I357:I1355)"),"Blakeley Onians")</f>
        <v>Blakeley Onians</v>
      </c>
      <c r="B357" s="6" t="str">
        <f>IFERROR(__xludf.DUMMYFUNCTION("""COMPUTED_VALUE"""),"bonians9v@hubpages.com")</f>
        <v>bonians9v@hubpages.com</v>
      </c>
      <c r="C357" s="6" t="str">
        <f>IFERROR(__xludf.DUMMYFUNCTION("""COMPUTED_VALUE"""),"Honduras")</f>
        <v>Honduras</v>
      </c>
      <c r="D357" s="6">
        <f>COUNTIFS('Raw Data Sales'!H357:H1355, LEFT(A357, FIND(" ",A357)-1), 'Raw Data Sales'!I357:I1355, MID(A357, FIND(" ",A357)+1, 100))</f>
        <v>1</v>
      </c>
      <c r="E357" s="6">
        <f>SUMIFS('Raw Data Sales'!M357:M1355, 'Raw Data Sales'!H357:H1355, LEFT(A357, FIND(" ",A357)-1), 'Raw Data Sales'!I357:I1355, MID(A357, FIND(" ",A357)+1, 100))</f>
        <v>92</v>
      </c>
      <c r="F357" s="6">
        <f>SUMIFS('Raw Data Sales'!N357:N1355, 'Raw Data Sales'!H357:H1355, LEFT(A357, FIND(" ",A357)-1), 'Raw Data Sales'!I357:I1355, MID(A357, FIND(" ",A357)+1, 100))</f>
        <v>7356.9</v>
      </c>
    </row>
    <row r="358">
      <c r="A358" s="6" t="str">
        <f>IFERROR(__xludf.DUMMYFUNCTION("UNIQUE('Raw Data Sales'!H358:H1356 &amp; "" "" &amp; 'Raw Data Sales'!I358:I1356)"),"Queenie Alder")</f>
        <v>Queenie Alder</v>
      </c>
      <c r="B358" s="6" t="str">
        <f>IFERROR(__xludf.DUMMYFUNCTION("""COMPUTED_VALUE"""),"qalder9w@craigslist.org")</f>
        <v>qalder9w@craigslist.org</v>
      </c>
      <c r="C358" s="6" t="str">
        <f>IFERROR(__xludf.DUMMYFUNCTION("""COMPUTED_VALUE"""),"Brazil")</f>
        <v>Brazil</v>
      </c>
      <c r="D358" s="6">
        <f>COUNTIFS('Raw Data Sales'!H358:H1356, LEFT(A358, FIND(" ",A358)-1), 'Raw Data Sales'!I358:I1356, MID(A358, FIND(" ",A358)+1, 100))</f>
        <v>1</v>
      </c>
      <c r="E358" s="6">
        <f>SUMIFS('Raw Data Sales'!M358:M1356, 'Raw Data Sales'!H358:H1356, LEFT(A358, FIND(" ",A358)-1), 'Raw Data Sales'!I358:I1356, MID(A358, FIND(" ",A358)+1, 100))</f>
        <v>71</v>
      </c>
      <c r="F358" s="6">
        <f>SUMIFS('Raw Data Sales'!N358:N1356, 'Raw Data Sales'!H358:H1356, LEFT(A358, FIND(" ",A358)-1), 'Raw Data Sales'!I358:I1356, MID(A358, FIND(" ",A358)+1, 100))</f>
        <v>283.01</v>
      </c>
    </row>
    <row r="359">
      <c r="A359" s="6" t="str">
        <f>IFERROR(__xludf.DUMMYFUNCTION("UNIQUE('Raw Data Sales'!H359:H1357 &amp; "" "" &amp; 'Raw Data Sales'!I359:I1357)"),"Korrie Podd")</f>
        <v>Korrie Podd</v>
      </c>
      <c r="B359" s="6" t="str">
        <f>IFERROR(__xludf.DUMMYFUNCTION("""COMPUTED_VALUE"""),"kpodd9x@state.gov")</f>
        <v>kpodd9x@state.gov</v>
      </c>
      <c r="C359" s="6" t="str">
        <f>IFERROR(__xludf.DUMMYFUNCTION("""COMPUTED_VALUE"""),"Indonesia")</f>
        <v>Indonesia</v>
      </c>
      <c r="D359" s="6">
        <f>COUNTIFS('Raw Data Sales'!H359:H1357, LEFT(A359, FIND(" ",A359)-1), 'Raw Data Sales'!I359:I1357, MID(A359, FIND(" ",A359)+1, 100))</f>
        <v>1</v>
      </c>
      <c r="E359" s="6">
        <f>SUMIFS('Raw Data Sales'!M359:M1357, 'Raw Data Sales'!H359:H1357, LEFT(A359, FIND(" ",A359)-1), 'Raw Data Sales'!I359:I1357, MID(A359, FIND(" ",A359)+1, 100))</f>
        <v>9</v>
      </c>
      <c r="F359" s="6">
        <f>SUMIFS('Raw Data Sales'!N359:N1357, 'Raw Data Sales'!H359:H1357, LEFT(A359, FIND(" ",A359)-1), 'Raw Data Sales'!I359:I1357, MID(A359, FIND(" ",A359)+1, 100))</f>
        <v>6735.42</v>
      </c>
    </row>
    <row r="360">
      <c r="A360" s="6" t="str">
        <f>IFERROR(__xludf.DUMMYFUNCTION("UNIQUE('Raw Data Sales'!H360:H1358 &amp; "" "" &amp; 'Raw Data Sales'!I360:I1358)"),"Miner Checcucci")</f>
        <v>Miner Checcucci</v>
      </c>
      <c r="B360" s="6" t="str">
        <f>IFERROR(__xludf.DUMMYFUNCTION("""COMPUTED_VALUE"""),"mcheccucci9y@techcrunch.com")</f>
        <v>mcheccucci9y@techcrunch.com</v>
      </c>
      <c r="C360" s="6" t="str">
        <f>IFERROR(__xludf.DUMMYFUNCTION("""COMPUTED_VALUE"""),"Peru")</f>
        <v>Peru</v>
      </c>
      <c r="D360" s="6">
        <f>COUNTIFS('Raw Data Sales'!H360:H1358, LEFT(A360, FIND(" ",A360)-1), 'Raw Data Sales'!I360:I1358, MID(A360, FIND(" ",A360)+1, 100))</f>
        <v>1</v>
      </c>
      <c r="E360" s="6">
        <f>SUMIFS('Raw Data Sales'!M360:M1358, 'Raw Data Sales'!H360:H1358, LEFT(A360, FIND(" ",A360)-1), 'Raw Data Sales'!I360:I1358, MID(A360, FIND(" ",A360)+1, 100))</f>
        <v>35</v>
      </c>
      <c r="F360" s="6">
        <f>SUMIFS('Raw Data Sales'!N360:N1358, 'Raw Data Sales'!H360:H1358, LEFT(A360, FIND(" ",A360)-1), 'Raw Data Sales'!I360:I1358, MID(A360, FIND(" ",A360)+1, 100))</f>
        <v>1792.05</v>
      </c>
    </row>
    <row r="361">
      <c r="A361" s="6" t="str">
        <f>IFERROR(__xludf.DUMMYFUNCTION("UNIQUE('Raw Data Sales'!H361:H1359 &amp; "" "" &amp; 'Raw Data Sales'!I361:I1359)"),"Yvonne Crichton")</f>
        <v>Yvonne Crichton</v>
      </c>
      <c r="B361" s="6" t="str">
        <f>IFERROR(__xludf.DUMMYFUNCTION("""COMPUTED_VALUE"""),"ycrichton9z@uiuc.edu")</f>
        <v>ycrichton9z@uiuc.edu</v>
      </c>
      <c r="C361" s="6" t="str">
        <f>IFERROR(__xludf.DUMMYFUNCTION("""COMPUTED_VALUE"""),"Indonesia")</f>
        <v>Indonesia</v>
      </c>
      <c r="D361" s="6">
        <f>COUNTIFS('Raw Data Sales'!H361:H1359, LEFT(A361, FIND(" ",A361)-1), 'Raw Data Sales'!I361:I1359, MID(A361, FIND(" ",A361)+1, 100))</f>
        <v>1</v>
      </c>
      <c r="E361" s="6">
        <f>SUMIFS('Raw Data Sales'!M361:M1359, 'Raw Data Sales'!H361:H1359, LEFT(A361, FIND(" ",A361)-1), 'Raw Data Sales'!I361:I1359, MID(A361, FIND(" ",A361)+1, 100))</f>
        <v>42</v>
      </c>
      <c r="F361" s="6">
        <f>SUMIFS('Raw Data Sales'!N361:N1359, 'Raw Data Sales'!H361:H1359, LEFT(A361, FIND(" ",A361)-1), 'Raw Data Sales'!I361:I1359, MID(A361, FIND(" ",A361)+1, 100))</f>
        <v>9257.07</v>
      </c>
    </row>
    <row r="362">
      <c r="A362" s="6" t="str">
        <f>IFERROR(__xludf.DUMMYFUNCTION("UNIQUE('Raw Data Sales'!H362:H1360 &amp; "" "" &amp; 'Raw Data Sales'!I362:I1360)"),"Valene Patershall")</f>
        <v>Valene Patershall</v>
      </c>
      <c r="B362" s="6" t="str">
        <f>IFERROR(__xludf.DUMMYFUNCTION("""COMPUTED_VALUE"""),"vpatershalla0@wikimedia.org")</f>
        <v>vpatershalla0@wikimedia.org</v>
      </c>
      <c r="C362" s="6" t="str">
        <f>IFERROR(__xludf.DUMMYFUNCTION("""COMPUTED_VALUE"""),"China")</f>
        <v>China</v>
      </c>
      <c r="D362" s="6">
        <f>COUNTIFS('Raw Data Sales'!H362:H1360, LEFT(A362, FIND(" ",A362)-1), 'Raw Data Sales'!I362:I1360, MID(A362, FIND(" ",A362)+1, 100))</f>
        <v>1</v>
      </c>
      <c r="E362" s="6">
        <f>SUMIFS('Raw Data Sales'!M362:M1360, 'Raw Data Sales'!H362:H1360, LEFT(A362, FIND(" ",A362)-1), 'Raw Data Sales'!I362:I1360, MID(A362, FIND(" ",A362)+1, 100))</f>
        <v>80</v>
      </c>
      <c r="F362" s="6">
        <f>SUMIFS('Raw Data Sales'!N362:N1360, 'Raw Data Sales'!H362:H1360, LEFT(A362, FIND(" ",A362)-1), 'Raw Data Sales'!I362:I1360, MID(A362, FIND(" ",A362)+1, 100))</f>
        <v>6431.72</v>
      </c>
    </row>
    <row r="363">
      <c r="A363" s="6" t="str">
        <f>IFERROR(__xludf.DUMMYFUNCTION("UNIQUE('Raw Data Sales'!H363:H1361 &amp; "" "" &amp; 'Raw Data Sales'!I363:I1361)"),"Opaline Collinette")</f>
        <v>Opaline Collinette</v>
      </c>
      <c r="B363" s="6" t="str">
        <f>IFERROR(__xludf.DUMMYFUNCTION("""COMPUTED_VALUE"""),"ocollinettea1@discovery.com")</f>
        <v>ocollinettea1@discovery.com</v>
      </c>
      <c r="C363" s="6" t="str">
        <f>IFERROR(__xludf.DUMMYFUNCTION("""COMPUTED_VALUE"""),"Peru")</f>
        <v>Peru</v>
      </c>
      <c r="D363" s="6">
        <f>COUNTIFS('Raw Data Sales'!H363:H1361, LEFT(A363, FIND(" ",A363)-1), 'Raw Data Sales'!I363:I1361, MID(A363, FIND(" ",A363)+1, 100))</f>
        <v>1</v>
      </c>
      <c r="E363" s="6">
        <f>SUMIFS('Raw Data Sales'!M363:M1361, 'Raw Data Sales'!H363:H1361, LEFT(A363, FIND(" ",A363)-1), 'Raw Data Sales'!I363:I1361, MID(A363, FIND(" ",A363)+1, 100))</f>
        <v>73</v>
      </c>
      <c r="F363" s="6">
        <f>SUMIFS('Raw Data Sales'!N363:N1361, 'Raw Data Sales'!H363:H1361, LEFT(A363, FIND(" ",A363)-1), 'Raw Data Sales'!I363:I1361, MID(A363, FIND(" ",A363)+1, 100))</f>
        <v>2977.76</v>
      </c>
    </row>
    <row r="364">
      <c r="A364" s="6" t="str">
        <f>IFERROR(__xludf.DUMMYFUNCTION("UNIQUE('Raw Data Sales'!H364:H1362 &amp; "" "" &amp; 'Raw Data Sales'!I364:I1362)"),"Keane Kubasek")</f>
        <v>Keane Kubasek</v>
      </c>
      <c r="B364" s="6" t="str">
        <f>IFERROR(__xludf.DUMMYFUNCTION("""COMPUTED_VALUE"""),"kkubaseka2@so-net.ne.jp")</f>
        <v>kkubaseka2@so-net.ne.jp</v>
      </c>
      <c r="C364" s="6" t="str">
        <f>IFERROR(__xludf.DUMMYFUNCTION("""COMPUTED_VALUE"""),"Ecuador")</f>
        <v>Ecuador</v>
      </c>
      <c r="D364" s="6">
        <f>COUNTIFS('Raw Data Sales'!H364:H1362, LEFT(A364, FIND(" ",A364)-1), 'Raw Data Sales'!I364:I1362, MID(A364, FIND(" ",A364)+1, 100))</f>
        <v>1</v>
      </c>
      <c r="E364" s="6">
        <f>SUMIFS('Raw Data Sales'!M364:M1362, 'Raw Data Sales'!H364:H1362, LEFT(A364, FIND(" ",A364)-1), 'Raw Data Sales'!I364:I1362, MID(A364, FIND(" ",A364)+1, 100))</f>
        <v>84</v>
      </c>
      <c r="F364" s="6">
        <f>SUMIFS('Raw Data Sales'!N364:N1362, 'Raw Data Sales'!H364:H1362, LEFT(A364, FIND(" ",A364)-1), 'Raw Data Sales'!I364:I1362, MID(A364, FIND(" ",A364)+1, 100))</f>
        <v>2624.04</v>
      </c>
    </row>
    <row r="365">
      <c r="A365" s="6" t="str">
        <f>IFERROR(__xludf.DUMMYFUNCTION("UNIQUE('Raw Data Sales'!H365:H1363 &amp; "" "" &amp; 'Raw Data Sales'!I365:I1363)"),"Coral Vlasov")</f>
        <v>Coral Vlasov</v>
      </c>
      <c r="B365" s="6" t="str">
        <f>IFERROR(__xludf.DUMMYFUNCTION("""COMPUTED_VALUE"""),"cvlasova3@parallels.com")</f>
        <v>cvlasova3@parallels.com</v>
      </c>
      <c r="C365" s="6" t="str">
        <f>IFERROR(__xludf.DUMMYFUNCTION("""COMPUTED_VALUE"""),"China")</f>
        <v>China</v>
      </c>
      <c r="D365" s="6">
        <f>COUNTIFS('Raw Data Sales'!H365:H1363, LEFT(A365, FIND(" ",A365)-1), 'Raw Data Sales'!I365:I1363, MID(A365, FIND(" ",A365)+1, 100))</f>
        <v>1</v>
      </c>
      <c r="E365" s="6">
        <f>SUMIFS('Raw Data Sales'!M365:M1363, 'Raw Data Sales'!H365:H1363, LEFT(A365, FIND(" ",A365)-1), 'Raw Data Sales'!I365:I1363, MID(A365, FIND(" ",A365)+1, 100))</f>
        <v>45</v>
      </c>
      <c r="F365" s="6">
        <f>SUMIFS('Raw Data Sales'!N365:N1363, 'Raw Data Sales'!H365:H1363, LEFT(A365, FIND(" ",A365)-1), 'Raw Data Sales'!I365:I1363, MID(A365, FIND(" ",A365)+1, 100))</f>
        <v>530.19</v>
      </c>
    </row>
    <row r="366">
      <c r="A366" s="6" t="str">
        <f>IFERROR(__xludf.DUMMYFUNCTION("UNIQUE('Raw Data Sales'!H366:H1364 &amp; "" "" &amp; 'Raw Data Sales'!I366:I1364)"),"Klemens Castillo")</f>
        <v>Klemens Castillo</v>
      </c>
      <c r="B366" s="6" t="str">
        <f>IFERROR(__xludf.DUMMYFUNCTION("""COMPUTED_VALUE"""),"kcastilloa4@vkontakte.ru")</f>
        <v>kcastilloa4@vkontakte.ru</v>
      </c>
      <c r="C366" s="6" t="str">
        <f>IFERROR(__xludf.DUMMYFUNCTION("""COMPUTED_VALUE"""),"Brazil")</f>
        <v>Brazil</v>
      </c>
      <c r="D366" s="6">
        <f>COUNTIFS('Raw Data Sales'!H366:H1364, LEFT(A366, FIND(" ",A366)-1), 'Raw Data Sales'!I366:I1364, MID(A366, FIND(" ",A366)+1, 100))</f>
        <v>1</v>
      </c>
      <c r="E366" s="6">
        <f>SUMIFS('Raw Data Sales'!M366:M1364, 'Raw Data Sales'!H366:H1364, LEFT(A366, FIND(" ",A366)-1), 'Raw Data Sales'!I366:I1364, MID(A366, FIND(" ",A366)+1, 100))</f>
        <v>40</v>
      </c>
      <c r="F366" s="6">
        <f>SUMIFS('Raw Data Sales'!N366:N1364, 'Raw Data Sales'!H366:H1364, LEFT(A366, FIND(" ",A366)-1), 'Raw Data Sales'!I366:I1364, MID(A366, FIND(" ",A366)+1, 100))</f>
        <v>947.11</v>
      </c>
    </row>
    <row r="367">
      <c r="A367" s="6" t="str">
        <f>IFERROR(__xludf.DUMMYFUNCTION("UNIQUE('Raw Data Sales'!H367:H1365 &amp; "" "" &amp; 'Raw Data Sales'!I367:I1365)"),"Lamond Demeza")</f>
        <v>Lamond Demeza</v>
      </c>
      <c r="B367" s="6" t="str">
        <f>IFERROR(__xludf.DUMMYFUNCTION("""COMPUTED_VALUE"""),"ldemezaa5@drupal.org")</f>
        <v>ldemezaa5@drupal.org</v>
      </c>
      <c r="C367" s="6" t="str">
        <f>IFERROR(__xludf.DUMMYFUNCTION("""COMPUTED_VALUE"""),"Finland")</f>
        <v>Finland</v>
      </c>
      <c r="D367" s="6">
        <f>COUNTIFS('Raw Data Sales'!H367:H1365, LEFT(A367, FIND(" ",A367)-1), 'Raw Data Sales'!I367:I1365, MID(A367, FIND(" ",A367)+1, 100))</f>
        <v>1</v>
      </c>
      <c r="E367" s="6">
        <f>SUMIFS('Raw Data Sales'!M367:M1365, 'Raw Data Sales'!H367:H1365, LEFT(A367, FIND(" ",A367)-1), 'Raw Data Sales'!I367:I1365, MID(A367, FIND(" ",A367)+1, 100))</f>
        <v>83</v>
      </c>
      <c r="F367" s="6">
        <f>SUMIFS('Raw Data Sales'!N367:N1365, 'Raw Data Sales'!H367:H1365, LEFT(A367, FIND(" ",A367)-1), 'Raw Data Sales'!I367:I1365, MID(A367, FIND(" ",A367)+1, 100))</f>
        <v>7358.19</v>
      </c>
    </row>
    <row r="368">
      <c r="A368" s="6" t="str">
        <f>IFERROR(__xludf.DUMMYFUNCTION("UNIQUE('Raw Data Sales'!H368:H1366 &amp; "" "" &amp; 'Raw Data Sales'!I368:I1366)"),"Cahra Hayter")</f>
        <v>Cahra Hayter</v>
      </c>
      <c r="B368" s="6" t="str">
        <f>IFERROR(__xludf.DUMMYFUNCTION("""COMPUTED_VALUE"""),"chaytera6@seattletimes.com")</f>
        <v>chaytera6@seattletimes.com</v>
      </c>
      <c r="C368" s="6" t="str">
        <f>IFERROR(__xludf.DUMMYFUNCTION("""COMPUTED_VALUE"""),"Iran")</f>
        <v>Iran</v>
      </c>
      <c r="D368" s="6">
        <f>COUNTIFS('Raw Data Sales'!H368:H1366, LEFT(A368, FIND(" ",A368)-1), 'Raw Data Sales'!I368:I1366, MID(A368, FIND(" ",A368)+1, 100))</f>
        <v>1</v>
      </c>
      <c r="E368" s="6">
        <f>SUMIFS('Raw Data Sales'!M368:M1366, 'Raw Data Sales'!H368:H1366, LEFT(A368, FIND(" ",A368)-1), 'Raw Data Sales'!I368:I1366, MID(A368, FIND(" ",A368)+1, 100))</f>
        <v>24</v>
      </c>
      <c r="F368" s="6">
        <f>SUMIFS('Raw Data Sales'!N368:N1366, 'Raw Data Sales'!H368:H1366, LEFT(A368, FIND(" ",A368)-1), 'Raw Data Sales'!I368:I1366, MID(A368, FIND(" ",A368)+1, 100))</f>
        <v>727.58</v>
      </c>
    </row>
    <row r="369">
      <c r="A369" s="6" t="str">
        <f>IFERROR(__xludf.DUMMYFUNCTION("UNIQUE('Raw Data Sales'!H369:H1367 &amp; "" "" &amp; 'Raw Data Sales'!I369:I1367)"),"Eimile Deniso")</f>
        <v>Eimile Deniso</v>
      </c>
      <c r="B369" s="6" t="str">
        <f>IFERROR(__xludf.DUMMYFUNCTION("""COMPUTED_VALUE"""),"edenisoa7@whitehouse.gov")</f>
        <v>edenisoa7@whitehouse.gov</v>
      </c>
      <c r="C369" s="6" t="str">
        <f>IFERROR(__xludf.DUMMYFUNCTION("""COMPUTED_VALUE"""),"Indonesia")</f>
        <v>Indonesia</v>
      </c>
      <c r="D369" s="6">
        <f>COUNTIFS('Raw Data Sales'!H369:H1367, LEFT(A369, FIND(" ",A369)-1), 'Raw Data Sales'!I369:I1367, MID(A369, FIND(" ",A369)+1, 100))</f>
        <v>1</v>
      </c>
      <c r="E369" s="6">
        <f>SUMIFS('Raw Data Sales'!M369:M1367, 'Raw Data Sales'!H369:H1367, LEFT(A369, FIND(" ",A369)-1), 'Raw Data Sales'!I369:I1367, MID(A369, FIND(" ",A369)+1, 100))</f>
        <v>54</v>
      </c>
      <c r="F369" s="6">
        <f>SUMIFS('Raw Data Sales'!N369:N1367, 'Raw Data Sales'!H369:H1367, LEFT(A369, FIND(" ",A369)-1), 'Raw Data Sales'!I369:I1367, MID(A369, FIND(" ",A369)+1, 100))</f>
        <v>9821.03</v>
      </c>
    </row>
    <row r="370">
      <c r="A370" s="6" t="str">
        <f>IFERROR(__xludf.DUMMYFUNCTION("UNIQUE('Raw Data Sales'!H370:H1368 &amp; "" "" &amp; 'Raw Data Sales'!I370:I1368)"),"Onida Geyton")</f>
        <v>Onida Geyton</v>
      </c>
      <c r="B370" s="6" t="str">
        <f>IFERROR(__xludf.DUMMYFUNCTION("""COMPUTED_VALUE"""),"ogeytona8@reverbnation.com")</f>
        <v>ogeytona8@reverbnation.com</v>
      </c>
      <c r="C370" s="6" t="str">
        <f>IFERROR(__xludf.DUMMYFUNCTION("""COMPUTED_VALUE"""),"Sweden")</f>
        <v>Sweden</v>
      </c>
      <c r="D370" s="6">
        <f>COUNTIFS('Raw Data Sales'!H370:H1368, LEFT(A370, FIND(" ",A370)-1), 'Raw Data Sales'!I370:I1368, MID(A370, FIND(" ",A370)+1, 100))</f>
        <v>1</v>
      </c>
      <c r="E370" s="6">
        <f>SUMIFS('Raw Data Sales'!M370:M1368, 'Raw Data Sales'!H370:H1368, LEFT(A370, FIND(" ",A370)-1), 'Raw Data Sales'!I370:I1368, MID(A370, FIND(" ",A370)+1, 100))</f>
        <v>67</v>
      </c>
      <c r="F370" s="6">
        <f>SUMIFS('Raw Data Sales'!N370:N1368, 'Raw Data Sales'!H370:H1368, LEFT(A370, FIND(" ",A370)-1), 'Raw Data Sales'!I370:I1368, MID(A370, FIND(" ",A370)+1, 100))</f>
        <v>9211.94</v>
      </c>
    </row>
    <row r="371">
      <c r="A371" s="6" t="str">
        <f>IFERROR(__xludf.DUMMYFUNCTION("UNIQUE('Raw Data Sales'!H371:H1369 &amp; "" "" &amp; 'Raw Data Sales'!I371:I1369)"),"Mata Cutforth")</f>
        <v>Mata Cutforth</v>
      </c>
      <c r="B371" s="6" t="str">
        <f>IFERROR(__xludf.DUMMYFUNCTION("""COMPUTED_VALUE"""),"mcutfortha9@skype.com")</f>
        <v>mcutfortha9@skype.com</v>
      </c>
      <c r="C371" s="6" t="str">
        <f>IFERROR(__xludf.DUMMYFUNCTION("""COMPUTED_VALUE"""),"Afghanistan")</f>
        <v>Afghanistan</v>
      </c>
      <c r="D371" s="6">
        <f>COUNTIFS('Raw Data Sales'!H371:H1369, LEFT(A371, FIND(" ",A371)-1), 'Raw Data Sales'!I371:I1369, MID(A371, FIND(" ",A371)+1, 100))</f>
        <v>1</v>
      </c>
      <c r="E371" s="6">
        <f>SUMIFS('Raw Data Sales'!M371:M1369, 'Raw Data Sales'!H371:H1369, LEFT(A371, FIND(" ",A371)-1), 'Raw Data Sales'!I371:I1369, MID(A371, FIND(" ",A371)+1, 100))</f>
        <v>39</v>
      </c>
      <c r="F371" s="6">
        <f>SUMIFS('Raw Data Sales'!N371:N1369, 'Raw Data Sales'!H371:H1369, LEFT(A371, FIND(" ",A371)-1), 'Raw Data Sales'!I371:I1369, MID(A371, FIND(" ",A371)+1, 100))</f>
        <v>7373.2</v>
      </c>
    </row>
    <row r="372">
      <c r="A372" s="6" t="str">
        <f>IFERROR(__xludf.DUMMYFUNCTION("UNIQUE('Raw Data Sales'!H372:H1370 &amp; "" "" &amp; 'Raw Data Sales'!I372:I1370)"),"Melisa Dampier")</f>
        <v>Melisa Dampier</v>
      </c>
      <c r="B372" s="6" t="str">
        <f>IFERROR(__xludf.DUMMYFUNCTION("""COMPUTED_VALUE"""),"mdampieraa@acquirethisname.com")</f>
        <v>mdampieraa@acquirethisname.com</v>
      </c>
      <c r="C372" s="6" t="str">
        <f>IFERROR(__xludf.DUMMYFUNCTION("""COMPUTED_VALUE"""),"United States")</f>
        <v>United States</v>
      </c>
      <c r="D372" s="6">
        <f>COUNTIFS('Raw Data Sales'!H372:H1370, LEFT(A372, FIND(" ",A372)-1), 'Raw Data Sales'!I372:I1370, MID(A372, FIND(" ",A372)+1, 100))</f>
        <v>1</v>
      </c>
      <c r="E372" s="6">
        <f>SUMIFS('Raw Data Sales'!M372:M1370, 'Raw Data Sales'!H372:H1370, LEFT(A372, FIND(" ",A372)-1), 'Raw Data Sales'!I372:I1370, MID(A372, FIND(" ",A372)+1, 100))</f>
        <v>35</v>
      </c>
      <c r="F372" s="6">
        <f>SUMIFS('Raw Data Sales'!N372:N1370, 'Raw Data Sales'!H372:H1370, LEFT(A372, FIND(" ",A372)-1), 'Raw Data Sales'!I372:I1370, MID(A372, FIND(" ",A372)+1, 100))</f>
        <v>8561.21</v>
      </c>
    </row>
    <row r="373">
      <c r="A373" s="6" t="str">
        <f>IFERROR(__xludf.DUMMYFUNCTION("UNIQUE('Raw Data Sales'!H373:H1371 &amp; "" "" &amp; 'Raw Data Sales'!I373:I1371)"),"Mindy Petzolt")</f>
        <v>Mindy Petzolt</v>
      </c>
      <c r="B373" s="6" t="str">
        <f>IFERROR(__xludf.DUMMYFUNCTION("""COMPUTED_VALUE"""),"mpetzoltab@elpais.com")</f>
        <v>mpetzoltab@elpais.com</v>
      </c>
      <c r="C373" s="6" t="str">
        <f>IFERROR(__xludf.DUMMYFUNCTION("""COMPUTED_VALUE"""),"China")</f>
        <v>China</v>
      </c>
      <c r="D373" s="6">
        <f>COUNTIFS('Raw Data Sales'!H373:H1371, LEFT(A373, FIND(" ",A373)-1), 'Raw Data Sales'!I373:I1371, MID(A373, FIND(" ",A373)+1, 100))</f>
        <v>1</v>
      </c>
      <c r="E373" s="6">
        <f>SUMIFS('Raw Data Sales'!M373:M1371, 'Raw Data Sales'!H373:H1371, LEFT(A373, FIND(" ",A373)-1), 'Raw Data Sales'!I373:I1371, MID(A373, FIND(" ",A373)+1, 100))</f>
        <v>94</v>
      </c>
      <c r="F373" s="6">
        <f>SUMIFS('Raw Data Sales'!N373:N1371, 'Raw Data Sales'!H373:H1371, LEFT(A373, FIND(" ",A373)-1), 'Raw Data Sales'!I373:I1371, MID(A373, FIND(" ",A373)+1, 100))</f>
        <v>4563.7</v>
      </c>
    </row>
    <row r="374">
      <c r="A374" s="6" t="str">
        <f>IFERROR(__xludf.DUMMYFUNCTION("UNIQUE('Raw Data Sales'!H374:H1372 &amp; "" "" &amp; 'Raw Data Sales'!I374:I1372)"),"Kai McCrostie")</f>
        <v>Kai McCrostie</v>
      </c>
      <c r="B374" s="6" t="str">
        <f>IFERROR(__xludf.DUMMYFUNCTION("""COMPUTED_VALUE"""),"kmccrostieac@shareasale.com")</f>
        <v>kmccrostieac@shareasale.com</v>
      </c>
      <c r="C374" s="6" t="str">
        <f>IFERROR(__xludf.DUMMYFUNCTION("""COMPUTED_VALUE"""),"Indonesia")</f>
        <v>Indonesia</v>
      </c>
      <c r="D374" s="6">
        <f>COUNTIFS('Raw Data Sales'!H374:H1372, LEFT(A374, FIND(" ",A374)-1), 'Raw Data Sales'!I374:I1372, MID(A374, FIND(" ",A374)+1, 100))</f>
        <v>1</v>
      </c>
      <c r="E374" s="6">
        <f>SUMIFS('Raw Data Sales'!M374:M1372, 'Raw Data Sales'!H374:H1372, LEFT(A374, FIND(" ",A374)-1), 'Raw Data Sales'!I374:I1372, MID(A374, FIND(" ",A374)+1, 100))</f>
        <v>58</v>
      </c>
      <c r="F374" s="6">
        <f>SUMIFS('Raw Data Sales'!N374:N1372, 'Raw Data Sales'!H374:H1372, LEFT(A374, FIND(" ",A374)-1), 'Raw Data Sales'!I374:I1372, MID(A374, FIND(" ",A374)+1, 100))</f>
        <v>6537.7</v>
      </c>
    </row>
    <row r="375">
      <c r="A375" s="6" t="str">
        <f>IFERROR(__xludf.DUMMYFUNCTION("UNIQUE('Raw Data Sales'!H375:H1373 &amp; "" "" &amp; 'Raw Data Sales'!I375:I1373)"),"Cyndia O' Ronan")</f>
        <v>Cyndia O' Ronan</v>
      </c>
      <c r="B375" s="6" t="str">
        <f>IFERROR(__xludf.DUMMYFUNCTION("""COMPUTED_VALUE"""),"coronanad@icq.com")</f>
        <v>coronanad@icq.com</v>
      </c>
      <c r="C375" s="6" t="str">
        <f>IFERROR(__xludf.DUMMYFUNCTION("""COMPUTED_VALUE"""),"Russia")</f>
        <v>Russia</v>
      </c>
      <c r="D375" s="6">
        <f>COUNTIFS('Raw Data Sales'!H375:H1373, LEFT(A375, FIND(" ",A375)-1), 'Raw Data Sales'!I375:I1373, MID(A375, FIND(" ",A375)+1, 100))</f>
        <v>1</v>
      </c>
      <c r="E375" s="6">
        <f>SUMIFS('Raw Data Sales'!M375:M1373, 'Raw Data Sales'!H375:H1373, LEFT(A375, FIND(" ",A375)-1), 'Raw Data Sales'!I375:I1373, MID(A375, FIND(" ",A375)+1, 100))</f>
        <v>44</v>
      </c>
      <c r="F375" s="6">
        <f>SUMIFS('Raw Data Sales'!N375:N1373, 'Raw Data Sales'!H375:H1373, LEFT(A375, FIND(" ",A375)-1), 'Raw Data Sales'!I375:I1373, MID(A375, FIND(" ",A375)+1, 100))</f>
        <v>9806.38</v>
      </c>
    </row>
    <row r="376">
      <c r="A376" s="6" t="str">
        <f>IFERROR(__xludf.DUMMYFUNCTION("UNIQUE('Raw Data Sales'!H376:H1374 &amp; "" "" &amp; 'Raw Data Sales'!I376:I1374)"),"Marlee Sanper")</f>
        <v>Marlee Sanper</v>
      </c>
      <c r="B376" s="6" t="str">
        <f>IFERROR(__xludf.DUMMYFUNCTION("""COMPUTED_VALUE"""),"msanperae@meetup.com")</f>
        <v>msanperae@meetup.com</v>
      </c>
      <c r="C376" s="6" t="str">
        <f>IFERROR(__xludf.DUMMYFUNCTION("""COMPUTED_VALUE"""),"China")</f>
        <v>China</v>
      </c>
      <c r="D376" s="6">
        <f>COUNTIFS('Raw Data Sales'!H376:H1374, LEFT(A376, FIND(" ",A376)-1), 'Raw Data Sales'!I376:I1374, MID(A376, FIND(" ",A376)+1, 100))</f>
        <v>1</v>
      </c>
      <c r="E376" s="6">
        <f>SUMIFS('Raw Data Sales'!M376:M1374, 'Raw Data Sales'!H376:H1374, LEFT(A376, FIND(" ",A376)-1), 'Raw Data Sales'!I376:I1374, MID(A376, FIND(" ",A376)+1, 100))</f>
        <v>77</v>
      </c>
      <c r="F376" s="6">
        <f>SUMIFS('Raw Data Sales'!N376:N1374, 'Raw Data Sales'!H376:H1374, LEFT(A376, FIND(" ",A376)-1), 'Raw Data Sales'!I376:I1374, MID(A376, FIND(" ",A376)+1, 100))</f>
        <v>4197.41</v>
      </c>
    </row>
    <row r="377">
      <c r="A377" s="6" t="str">
        <f>IFERROR(__xludf.DUMMYFUNCTION("UNIQUE('Raw Data Sales'!H377:H1375 &amp; "" "" &amp; 'Raw Data Sales'!I377:I1375)"),"Rozanna Gaitskell")</f>
        <v>Rozanna Gaitskell</v>
      </c>
      <c r="B377" s="6" t="str">
        <f>IFERROR(__xludf.DUMMYFUNCTION("""COMPUTED_VALUE"""),"rgaitskellaf@angelfire.com")</f>
        <v>rgaitskellaf@angelfire.com</v>
      </c>
      <c r="C377" s="6" t="str">
        <f>IFERROR(__xludf.DUMMYFUNCTION("""COMPUTED_VALUE"""),"Albania")</f>
        <v>Albania</v>
      </c>
      <c r="D377" s="6">
        <f>COUNTIFS('Raw Data Sales'!H377:H1375, LEFT(A377, FIND(" ",A377)-1), 'Raw Data Sales'!I377:I1375, MID(A377, FIND(" ",A377)+1, 100))</f>
        <v>1</v>
      </c>
      <c r="E377" s="6">
        <f>SUMIFS('Raw Data Sales'!M377:M1375, 'Raw Data Sales'!H377:H1375, LEFT(A377, FIND(" ",A377)-1), 'Raw Data Sales'!I377:I1375, MID(A377, FIND(" ",A377)+1, 100))</f>
        <v>74</v>
      </c>
      <c r="F377" s="6">
        <f>SUMIFS('Raw Data Sales'!N377:N1375, 'Raw Data Sales'!H377:H1375, LEFT(A377, FIND(" ",A377)-1), 'Raw Data Sales'!I377:I1375, MID(A377, FIND(" ",A377)+1, 100))</f>
        <v>756.39</v>
      </c>
    </row>
    <row r="378">
      <c r="A378" s="6" t="str">
        <f>IFERROR(__xludf.DUMMYFUNCTION("UNIQUE('Raw Data Sales'!H378:H1376 &amp; "" "" &amp; 'Raw Data Sales'!I378:I1376)"),"Dolorita Duffrie")</f>
        <v>Dolorita Duffrie</v>
      </c>
      <c r="B378" s="6" t="str">
        <f>IFERROR(__xludf.DUMMYFUNCTION("""COMPUTED_VALUE"""),"dduffrieag@alibaba.com")</f>
        <v>dduffrieag@alibaba.com</v>
      </c>
      <c r="C378" s="6" t="str">
        <f>IFERROR(__xludf.DUMMYFUNCTION("""COMPUTED_VALUE"""),"China")</f>
        <v>China</v>
      </c>
      <c r="D378" s="6">
        <f>COUNTIFS('Raw Data Sales'!H378:H1376, LEFT(A378, FIND(" ",A378)-1), 'Raw Data Sales'!I378:I1376, MID(A378, FIND(" ",A378)+1, 100))</f>
        <v>1</v>
      </c>
      <c r="E378" s="6">
        <f>SUMIFS('Raw Data Sales'!M378:M1376, 'Raw Data Sales'!H378:H1376, LEFT(A378, FIND(" ",A378)-1), 'Raw Data Sales'!I378:I1376, MID(A378, FIND(" ",A378)+1, 100))</f>
        <v>58</v>
      </c>
      <c r="F378" s="6">
        <f>SUMIFS('Raw Data Sales'!N378:N1376, 'Raw Data Sales'!H378:H1376, LEFT(A378, FIND(" ",A378)-1), 'Raw Data Sales'!I378:I1376, MID(A378, FIND(" ",A378)+1, 100))</f>
        <v>360.07</v>
      </c>
    </row>
    <row r="379">
      <c r="A379" s="6" t="str">
        <f>IFERROR(__xludf.DUMMYFUNCTION("UNIQUE('Raw Data Sales'!H379:H1377 &amp; "" "" &amp; 'Raw Data Sales'!I379:I1377)"),"Agosto Kull")</f>
        <v>Agosto Kull</v>
      </c>
      <c r="B379" s="6" t="str">
        <f>IFERROR(__xludf.DUMMYFUNCTION("""COMPUTED_VALUE"""),"akullah@creativecommons.org")</f>
        <v>akullah@creativecommons.org</v>
      </c>
      <c r="C379" s="6" t="str">
        <f>IFERROR(__xludf.DUMMYFUNCTION("""COMPUTED_VALUE"""),"Portugal")</f>
        <v>Portugal</v>
      </c>
      <c r="D379" s="6">
        <f>COUNTIFS('Raw Data Sales'!H379:H1377, LEFT(A379, FIND(" ",A379)-1), 'Raw Data Sales'!I379:I1377, MID(A379, FIND(" ",A379)+1, 100))</f>
        <v>1</v>
      </c>
      <c r="E379" s="6">
        <f>SUMIFS('Raw Data Sales'!M379:M1377, 'Raw Data Sales'!H379:H1377, LEFT(A379, FIND(" ",A379)-1), 'Raw Data Sales'!I379:I1377, MID(A379, FIND(" ",A379)+1, 100))</f>
        <v>99</v>
      </c>
      <c r="F379" s="6">
        <f>SUMIFS('Raw Data Sales'!N379:N1377, 'Raw Data Sales'!H379:H1377, LEFT(A379, FIND(" ",A379)-1), 'Raw Data Sales'!I379:I1377, MID(A379, FIND(" ",A379)+1, 100))</f>
        <v>6407.41</v>
      </c>
    </row>
    <row r="380">
      <c r="A380" s="6" t="str">
        <f>IFERROR(__xludf.DUMMYFUNCTION("UNIQUE('Raw Data Sales'!H380:H1378 &amp; "" "" &amp; 'Raw Data Sales'!I380:I1378)"),"Papagena Kilpin")</f>
        <v>Papagena Kilpin</v>
      </c>
      <c r="B380" s="6" t="str">
        <f>IFERROR(__xludf.DUMMYFUNCTION("""COMPUTED_VALUE"""),"pkilpinai@1688.com")</f>
        <v>pkilpinai@1688.com</v>
      </c>
      <c r="C380" s="6" t="str">
        <f>IFERROR(__xludf.DUMMYFUNCTION("""COMPUTED_VALUE"""),"Russia")</f>
        <v>Russia</v>
      </c>
      <c r="D380" s="6">
        <f>COUNTIFS('Raw Data Sales'!H380:H1378, LEFT(A380, FIND(" ",A380)-1), 'Raw Data Sales'!I380:I1378, MID(A380, FIND(" ",A380)+1, 100))</f>
        <v>1</v>
      </c>
      <c r="E380" s="6">
        <f>SUMIFS('Raw Data Sales'!M380:M1378, 'Raw Data Sales'!H380:H1378, LEFT(A380, FIND(" ",A380)-1), 'Raw Data Sales'!I380:I1378, MID(A380, FIND(" ",A380)+1, 100))</f>
        <v>1</v>
      </c>
      <c r="F380" s="6">
        <f>SUMIFS('Raw Data Sales'!N380:N1378, 'Raw Data Sales'!H380:H1378, LEFT(A380, FIND(" ",A380)-1), 'Raw Data Sales'!I380:I1378, MID(A380, FIND(" ",A380)+1, 100))</f>
        <v>9685.7</v>
      </c>
    </row>
    <row r="381">
      <c r="A381" s="6" t="str">
        <f>IFERROR(__xludf.DUMMYFUNCTION("UNIQUE('Raw Data Sales'!H381:H1379 &amp; "" "" &amp; 'Raw Data Sales'!I381:I1379)"),"Grete Dumelow")</f>
        <v>Grete Dumelow</v>
      </c>
      <c r="B381" s="6" t="str">
        <f>IFERROR(__xludf.DUMMYFUNCTION("""COMPUTED_VALUE"""),"gdumelowaj@moonfruit.com")</f>
        <v>gdumelowaj@moonfruit.com</v>
      </c>
      <c r="C381" s="6" t="str">
        <f>IFERROR(__xludf.DUMMYFUNCTION("""COMPUTED_VALUE"""),"China")</f>
        <v>China</v>
      </c>
      <c r="D381" s="6">
        <f>COUNTIFS('Raw Data Sales'!H381:H1379, LEFT(A381, FIND(" ",A381)-1), 'Raw Data Sales'!I381:I1379, MID(A381, FIND(" ",A381)+1, 100))</f>
        <v>1</v>
      </c>
      <c r="E381" s="6">
        <f>SUMIFS('Raw Data Sales'!M381:M1379, 'Raw Data Sales'!H381:H1379, LEFT(A381, FIND(" ",A381)-1), 'Raw Data Sales'!I381:I1379, MID(A381, FIND(" ",A381)+1, 100))</f>
        <v>14</v>
      </c>
      <c r="F381" s="6">
        <f>SUMIFS('Raw Data Sales'!N381:N1379, 'Raw Data Sales'!H381:H1379, LEFT(A381, FIND(" ",A381)-1), 'Raw Data Sales'!I381:I1379, MID(A381, FIND(" ",A381)+1, 100))</f>
        <v>4460.3</v>
      </c>
    </row>
    <row r="382">
      <c r="A382" s="6" t="str">
        <f>IFERROR(__xludf.DUMMYFUNCTION("UNIQUE('Raw Data Sales'!H382:H1380 &amp; "" "" &amp; 'Raw Data Sales'!I382:I1380)"),"Ewan Joynes")</f>
        <v>Ewan Joynes</v>
      </c>
      <c r="B382" s="6" t="str">
        <f>IFERROR(__xludf.DUMMYFUNCTION("""COMPUTED_VALUE"""),"ejoynesak@dropbox.com")</f>
        <v>ejoynesak@dropbox.com</v>
      </c>
      <c r="C382" s="6" t="str">
        <f>IFERROR(__xludf.DUMMYFUNCTION("""COMPUTED_VALUE"""),"Indonesia")</f>
        <v>Indonesia</v>
      </c>
      <c r="D382" s="6">
        <f>COUNTIFS('Raw Data Sales'!H382:H1380, LEFT(A382, FIND(" ",A382)-1), 'Raw Data Sales'!I382:I1380, MID(A382, FIND(" ",A382)+1, 100))</f>
        <v>1</v>
      </c>
      <c r="E382" s="6">
        <f>SUMIFS('Raw Data Sales'!M382:M1380, 'Raw Data Sales'!H382:H1380, LEFT(A382, FIND(" ",A382)-1), 'Raw Data Sales'!I382:I1380, MID(A382, FIND(" ",A382)+1, 100))</f>
        <v>26</v>
      </c>
      <c r="F382" s="6">
        <f>SUMIFS('Raw Data Sales'!N382:N1380, 'Raw Data Sales'!H382:H1380, LEFT(A382, FIND(" ",A382)-1), 'Raw Data Sales'!I382:I1380, MID(A382, FIND(" ",A382)+1, 100))</f>
        <v>8193.2</v>
      </c>
    </row>
    <row r="383">
      <c r="A383" s="6" t="str">
        <f>IFERROR(__xludf.DUMMYFUNCTION("UNIQUE('Raw Data Sales'!H383:H1381 &amp; "" "" &amp; 'Raw Data Sales'!I383:I1381)"),"Christoforo Paddell")</f>
        <v>Christoforo Paddell</v>
      </c>
      <c r="B383" s="6" t="str">
        <f>IFERROR(__xludf.DUMMYFUNCTION("""COMPUTED_VALUE"""),"cpaddellal@jimdo.com")</f>
        <v>cpaddellal@jimdo.com</v>
      </c>
      <c r="C383" s="6" t="str">
        <f>IFERROR(__xludf.DUMMYFUNCTION("""COMPUTED_VALUE"""),"Philippines")</f>
        <v>Philippines</v>
      </c>
      <c r="D383" s="6">
        <f>COUNTIFS('Raw Data Sales'!H383:H1381, LEFT(A383, FIND(" ",A383)-1), 'Raw Data Sales'!I383:I1381, MID(A383, FIND(" ",A383)+1, 100))</f>
        <v>1</v>
      </c>
      <c r="E383" s="6">
        <f>SUMIFS('Raw Data Sales'!M383:M1381, 'Raw Data Sales'!H383:H1381, LEFT(A383, FIND(" ",A383)-1), 'Raw Data Sales'!I383:I1381, MID(A383, FIND(" ",A383)+1, 100))</f>
        <v>12</v>
      </c>
      <c r="F383" s="6">
        <f>SUMIFS('Raw Data Sales'!N383:N1381, 'Raw Data Sales'!H383:H1381, LEFT(A383, FIND(" ",A383)-1), 'Raw Data Sales'!I383:I1381, MID(A383, FIND(" ",A383)+1, 100))</f>
        <v>3863.74</v>
      </c>
    </row>
    <row r="384">
      <c r="A384" s="6" t="str">
        <f>IFERROR(__xludf.DUMMYFUNCTION("UNIQUE('Raw Data Sales'!H384:H1382 &amp; "" "" &amp; 'Raw Data Sales'!I384:I1382)"),"Lyle Stump")</f>
        <v>Lyle Stump</v>
      </c>
      <c r="B384" s="6" t="str">
        <f>IFERROR(__xludf.DUMMYFUNCTION("""COMPUTED_VALUE"""),"lstumpam@123-reg.co.uk")</f>
        <v>lstumpam@123-reg.co.uk</v>
      </c>
      <c r="C384" s="6" t="str">
        <f>IFERROR(__xludf.DUMMYFUNCTION("""COMPUTED_VALUE"""),"United States")</f>
        <v>United States</v>
      </c>
      <c r="D384" s="6">
        <f>COUNTIFS('Raw Data Sales'!H384:H1382, LEFT(A384, FIND(" ",A384)-1), 'Raw Data Sales'!I384:I1382, MID(A384, FIND(" ",A384)+1, 100))</f>
        <v>1</v>
      </c>
      <c r="E384" s="6">
        <f>SUMIFS('Raw Data Sales'!M384:M1382, 'Raw Data Sales'!H384:H1382, LEFT(A384, FIND(" ",A384)-1), 'Raw Data Sales'!I384:I1382, MID(A384, FIND(" ",A384)+1, 100))</f>
        <v>17</v>
      </c>
      <c r="F384" s="6">
        <f>SUMIFS('Raw Data Sales'!N384:N1382, 'Raw Data Sales'!H384:H1382, LEFT(A384, FIND(" ",A384)-1), 'Raw Data Sales'!I384:I1382, MID(A384, FIND(" ",A384)+1, 100))</f>
        <v>5266.91</v>
      </c>
    </row>
    <row r="385">
      <c r="A385" s="6" t="str">
        <f>IFERROR(__xludf.DUMMYFUNCTION("UNIQUE('Raw Data Sales'!H385:H1383 &amp; "" "" &amp; 'Raw Data Sales'!I385:I1383)"),"Bettine Boow")</f>
        <v>Bettine Boow</v>
      </c>
      <c r="B385" s="6" t="str">
        <f>IFERROR(__xludf.DUMMYFUNCTION("""COMPUTED_VALUE"""),"bboowan@businessweek.com")</f>
        <v>bboowan@businessweek.com</v>
      </c>
      <c r="C385" s="6" t="str">
        <f>IFERROR(__xludf.DUMMYFUNCTION("""COMPUTED_VALUE"""),"Armenia")</f>
        <v>Armenia</v>
      </c>
      <c r="D385" s="6">
        <f>COUNTIFS('Raw Data Sales'!H385:H1383, LEFT(A385, FIND(" ",A385)-1), 'Raw Data Sales'!I385:I1383, MID(A385, FIND(" ",A385)+1, 100))</f>
        <v>1</v>
      </c>
      <c r="E385" s="6">
        <f>SUMIFS('Raw Data Sales'!M385:M1383, 'Raw Data Sales'!H385:H1383, LEFT(A385, FIND(" ",A385)-1), 'Raw Data Sales'!I385:I1383, MID(A385, FIND(" ",A385)+1, 100))</f>
        <v>68</v>
      </c>
      <c r="F385" s="6">
        <f>SUMIFS('Raw Data Sales'!N385:N1383, 'Raw Data Sales'!H385:H1383, LEFT(A385, FIND(" ",A385)-1), 'Raw Data Sales'!I385:I1383, MID(A385, FIND(" ",A385)+1, 100))</f>
        <v>1014.73</v>
      </c>
    </row>
    <row r="386">
      <c r="A386" s="6" t="str">
        <f>IFERROR(__xludf.DUMMYFUNCTION("UNIQUE('Raw Data Sales'!H386:H1384 &amp; "" "" &amp; 'Raw Data Sales'!I386:I1384)"),"Blayne Bows")</f>
        <v>Blayne Bows</v>
      </c>
      <c r="B386" s="6" t="str">
        <f>IFERROR(__xludf.DUMMYFUNCTION("""COMPUTED_VALUE"""),"bbowsao@amazon.co.jp")</f>
        <v>bbowsao@amazon.co.jp</v>
      </c>
      <c r="C386" s="6" t="str">
        <f>IFERROR(__xludf.DUMMYFUNCTION("""COMPUTED_VALUE"""),"Pakistan")</f>
        <v>Pakistan</v>
      </c>
      <c r="D386" s="6">
        <f>COUNTIFS('Raw Data Sales'!H386:H1384, LEFT(A386, FIND(" ",A386)-1), 'Raw Data Sales'!I386:I1384, MID(A386, FIND(" ",A386)+1, 100))</f>
        <v>1</v>
      </c>
      <c r="E386" s="6">
        <f>SUMIFS('Raw Data Sales'!M386:M1384, 'Raw Data Sales'!H386:H1384, LEFT(A386, FIND(" ",A386)-1), 'Raw Data Sales'!I386:I1384, MID(A386, FIND(" ",A386)+1, 100))</f>
        <v>7</v>
      </c>
      <c r="F386" s="6">
        <f>SUMIFS('Raw Data Sales'!N386:N1384, 'Raw Data Sales'!H386:H1384, LEFT(A386, FIND(" ",A386)-1), 'Raw Data Sales'!I386:I1384, MID(A386, FIND(" ",A386)+1, 100))</f>
        <v>3557.27</v>
      </c>
    </row>
    <row r="387">
      <c r="A387" s="6" t="str">
        <f>IFERROR(__xludf.DUMMYFUNCTION("UNIQUE('Raw Data Sales'!H387:H1385 &amp; "" "" &amp; 'Raw Data Sales'!I387:I1385)"),"Zane Allward")</f>
        <v>Zane Allward</v>
      </c>
      <c r="B387" s="6" t="str">
        <f>IFERROR(__xludf.DUMMYFUNCTION("""COMPUTED_VALUE"""),"zallwardap@netscape.com")</f>
        <v>zallwardap@netscape.com</v>
      </c>
      <c r="C387" s="6" t="str">
        <f>IFERROR(__xludf.DUMMYFUNCTION("""COMPUTED_VALUE"""),"Togo")</f>
        <v>Togo</v>
      </c>
      <c r="D387" s="6">
        <f>COUNTIFS('Raw Data Sales'!H387:H1385, LEFT(A387, FIND(" ",A387)-1), 'Raw Data Sales'!I387:I1385, MID(A387, FIND(" ",A387)+1, 100))</f>
        <v>1</v>
      </c>
      <c r="E387" s="6">
        <f>SUMIFS('Raw Data Sales'!M387:M1385, 'Raw Data Sales'!H387:H1385, LEFT(A387, FIND(" ",A387)-1), 'Raw Data Sales'!I387:I1385, MID(A387, FIND(" ",A387)+1, 100))</f>
        <v>16</v>
      </c>
      <c r="F387" s="6">
        <f>SUMIFS('Raw Data Sales'!N387:N1385, 'Raw Data Sales'!H387:H1385, LEFT(A387, FIND(" ",A387)-1), 'Raw Data Sales'!I387:I1385, MID(A387, FIND(" ",A387)+1, 100))</f>
        <v>3765.78</v>
      </c>
    </row>
    <row r="388">
      <c r="A388" s="6" t="str">
        <f>IFERROR(__xludf.DUMMYFUNCTION("UNIQUE('Raw Data Sales'!H388:H1386 &amp; "" "" &amp; 'Raw Data Sales'!I388:I1386)"),"Fonsie Eddowis")</f>
        <v>Fonsie Eddowis</v>
      </c>
      <c r="B388" s="6" t="str">
        <f>IFERROR(__xludf.DUMMYFUNCTION("""COMPUTED_VALUE"""),"feddowisaq@blinklist.com")</f>
        <v>feddowisaq@blinklist.com</v>
      </c>
      <c r="C388" s="6" t="str">
        <f>IFERROR(__xludf.DUMMYFUNCTION("""COMPUTED_VALUE"""),"Turkmenistan")</f>
        <v>Turkmenistan</v>
      </c>
      <c r="D388" s="6">
        <f>COUNTIFS('Raw Data Sales'!H388:H1386, LEFT(A388, FIND(" ",A388)-1), 'Raw Data Sales'!I388:I1386, MID(A388, FIND(" ",A388)+1, 100))</f>
        <v>1</v>
      </c>
      <c r="E388" s="6">
        <f>SUMIFS('Raw Data Sales'!M388:M1386, 'Raw Data Sales'!H388:H1386, LEFT(A388, FIND(" ",A388)-1), 'Raw Data Sales'!I388:I1386, MID(A388, FIND(" ",A388)+1, 100))</f>
        <v>7</v>
      </c>
      <c r="F388" s="6">
        <f>SUMIFS('Raw Data Sales'!N388:N1386, 'Raw Data Sales'!H388:H1386, LEFT(A388, FIND(" ",A388)-1), 'Raw Data Sales'!I388:I1386, MID(A388, FIND(" ",A388)+1, 100))</f>
        <v>1135.09</v>
      </c>
    </row>
    <row r="389">
      <c r="A389" s="6" t="str">
        <f>IFERROR(__xludf.DUMMYFUNCTION("UNIQUE('Raw Data Sales'!H389:H1387 &amp; "" "" &amp; 'Raw Data Sales'!I389:I1387)"),"Carmita Sea")</f>
        <v>Carmita Sea</v>
      </c>
      <c r="B389" s="6" t="str">
        <f>IFERROR(__xludf.DUMMYFUNCTION("""COMPUTED_VALUE"""),"cseaar@engadget.com")</f>
        <v>cseaar@engadget.com</v>
      </c>
      <c r="C389" s="6" t="str">
        <f>IFERROR(__xludf.DUMMYFUNCTION("""COMPUTED_VALUE"""),"Chile")</f>
        <v>Chile</v>
      </c>
      <c r="D389" s="6">
        <f>COUNTIFS('Raw Data Sales'!H389:H1387, LEFT(A389, FIND(" ",A389)-1), 'Raw Data Sales'!I389:I1387, MID(A389, FIND(" ",A389)+1, 100))</f>
        <v>1</v>
      </c>
      <c r="E389" s="6">
        <f>SUMIFS('Raw Data Sales'!M389:M1387, 'Raw Data Sales'!H389:H1387, LEFT(A389, FIND(" ",A389)-1), 'Raw Data Sales'!I389:I1387, MID(A389, FIND(" ",A389)+1, 100))</f>
        <v>25</v>
      </c>
      <c r="F389" s="6">
        <f>SUMIFS('Raw Data Sales'!N389:N1387, 'Raw Data Sales'!H389:H1387, LEFT(A389, FIND(" ",A389)-1), 'Raw Data Sales'!I389:I1387, MID(A389, FIND(" ",A389)+1, 100))</f>
        <v>7364.18</v>
      </c>
    </row>
    <row r="390">
      <c r="A390" s="6" t="str">
        <f>IFERROR(__xludf.DUMMYFUNCTION("UNIQUE('Raw Data Sales'!H390:H1388 &amp; "" "" &amp; 'Raw Data Sales'!I390:I1388)"),"Pincas Lidgerton")</f>
        <v>Pincas Lidgerton</v>
      </c>
      <c r="B390" s="6" t="str">
        <f>IFERROR(__xludf.DUMMYFUNCTION("""COMPUTED_VALUE"""),"plidgertonas@instagram.com")</f>
        <v>plidgertonas@instagram.com</v>
      </c>
      <c r="C390" s="6" t="str">
        <f>IFERROR(__xludf.DUMMYFUNCTION("""COMPUTED_VALUE"""),"China")</f>
        <v>China</v>
      </c>
      <c r="D390" s="6">
        <f>COUNTIFS('Raw Data Sales'!H390:H1388, LEFT(A390, FIND(" ",A390)-1), 'Raw Data Sales'!I390:I1388, MID(A390, FIND(" ",A390)+1, 100))</f>
        <v>1</v>
      </c>
      <c r="E390" s="6">
        <f>SUMIFS('Raw Data Sales'!M390:M1388, 'Raw Data Sales'!H390:H1388, LEFT(A390, FIND(" ",A390)-1), 'Raw Data Sales'!I390:I1388, MID(A390, FIND(" ",A390)+1, 100))</f>
        <v>71</v>
      </c>
      <c r="F390" s="6">
        <f>SUMIFS('Raw Data Sales'!N390:N1388, 'Raw Data Sales'!H390:H1388, LEFT(A390, FIND(" ",A390)-1), 'Raw Data Sales'!I390:I1388, MID(A390, FIND(" ",A390)+1, 100))</f>
        <v>2872.28</v>
      </c>
    </row>
    <row r="391">
      <c r="A391" s="6" t="str">
        <f>IFERROR(__xludf.DUMMYFUNCTION("UNIQUE('Raw Data Sales'!H391:H1389 &amp; "" "" &amp; 'Raw Data Sales'!I391:I1389)"),"Georgiana Edgett")</f>
        <v>Georgiana Edgett</v>
      </c>
      <c r="B391" s="6" t="str">
        <f>IFERROR(__xludf.DUMMYFUNCTION("""COMPUTED_VALUE"""),"gedgettat@issuu.com")</f>
        <v>gedgettat@issuu.com</v>
      </c>
      <c r="C391" s="6" t="str">
        <f>IFERROR(__xludf.DUMMYFUNCTION("""COMPUTED_VALUE"""),"Philippines")</f>
        <v>Philippines</v>
      </c>
      <c r="D391" s="6">
        <f>COUNTIFS('Raw Data Sales'!H391:H1389, LEFT(A391, FIND(" ",A391)-1), 'Raw Data Sales'!I391:I1389, MID(A391, FIND(" ",A391)+1, 100))</f>
        <v>1</v>
      </c>
      <c r="E391" s="6">
        <f>SUMIFS('Raw Data Sales'!M391:M1389, 'Raw Data Sales'!H391:H1389, LEFT(A391, FIND(" ",A391)-1), 'Raw Data Sales'!I391:I1389, MID(A391, FIND(" ",A391)+1, 100))</f>
        <v>49</v>
      </c>
      <c r="F391" s="6">
        <f>SUMIFS('Raw Data Sales'!N391:N1389, 'Raw Data Sales'!H391:H1389, LEFT(A391, FIND(" ",A391)-1), 'Raw Data Sales'!I391:I1389, MID(A391, FIND(" ",A391)+1, 100))</f>
        <v>4565.21</v>
      </c>
    </row>
    <row r="392">
      <c r="A392" s="6" t="str">
        <f>IFERROR(__xludf.DUMMYFUNCTION("UNIQUE('Raw Data Sales'!H392:H1390 &amp; "" "" &amp; 'Raw Data Sales'!I392:I1390)"),"Alexandrina Poytheras")</f>
        <v>Alexandrina Poytheras</v>
      </c>
      <c r="B392" s="6" t="str">
        <f>IFERROR(__xludf.DUMMYFUNCTION("""COMPUTED_VALUE"""),"apoytherasau@unc.edu")</f>
        <v>apoytherasau@unc.edu</v>
      </c>
      <c r="C392" s="6" t="str">
        <f>IFERROR(__xludf.DUMMYFUNCTION("""COMPUTED_VALUE"""),"Vietnam")</f>
        <v>Vietnam</v>
      </c>
      <c r="D392" s="6">
        <f>COUNTIFS('Raw Data Sales'!H392:H1390, LEFT(A392, FIND(" ",A392)-1), 'Raw Data Sales'!I392:I1390, MID(A392, FIND(" ",A392)+1, 100))</f>
        <v>1</v>
      </c>
      <c r="E392" s="6">
        <f>SUMIFS('Raw Data Sales'!M392:M1390, 'Raw Data Sales'!H392:H1390, LEFT(A392, FIND(" ",A392)-1), 'Raw Data Sales'!I392:I1390, MID(A392, FIND(" ",A392)+1, 100))</f>
        <v>58</v>
      </c>
      <c r="F392" s="6">
        <f>SUMIFS('Raw Data Sales'!N392:N1390, 'Raw Data Sales'!H392:H1390, LEFT(A392, FIND(" ",A392)-1), 'Raw Data Sales'!I392:I1390, MID(A392, FIND(" ",A392)+1, 100))</f>
        <v>5810.46</v>
      </c>
    </row>
    <row r="393">
      <c r="A393" s="6" t="str">
        <f>IFERROR(__xludf.DUMMYFUNCTION("UNIQUE('Raw Data Sales'!H393:H1391 &amp; "" "" &amp; 'Raw Data Sales'!I393:I1391)"),"Sumner Cockburn")</f>
        <v>Sumner Cockburn</v>
      </c>
      <c r="B393" s="6" t="str">
        <f>IFERROR(__xludf.DUMMYFUNCTION("""COMPUTED_VALUE"""),"scockburnav@amazon.com")</f>
        <v>scockburnav@amazon.com</v>
      </c>
      <c r="C393" s="6" t="str">
        <f>IFERROR(__xludf.DUMMYFUNCTION("""COMPUTED_VALUE"""),"Indonesia")</f>
        <v>Indonesia</v>
      </c>
      <c r="D393" s="6">
        <f>COUNTIFS('Raw Data Sales'!H393:H1391, LEFT(A393, FIND(" ",A393)-1), 'Raw Data Sales'!I393:I1391, MID(A393, FIND(" ",A393)+1, 100))</f>
        <v>1</v>
      </c>
      <c r="E393" s="6">
        <f>SUMIFS('Raw Data Sales'!M393:M1391, 'Raw Data Sales'!H393:H1391, LEFT(A393, FIND(" ",A393)-1), 'Raw Data Sales'!I393:I1391, MID(A393, FIND(" ",A393)+1, 100))</f>
        <v>93</v>
      </c>
      <c r="F393" s="6">
        <f>SUMIFS('Raw Data Sales'!N393:N1391, 'Raw Data Sales'!H393:H1391, LEFT(A393, FIND(" ",A393)-1), 'Raw Data Sales'!I393:I1391, MID(A393, FIND(" ",A393)+1, 100))</f>
        <v>3465.81</v>
      </c>
    </row>
    <row r="394">
      <c r="A394" s="6" t="str">
        <f>IFERROR(__xludf.DUMMYFUNCTION("UNIQUE('Raw Data Sales'!H394:H1392 &amp; "" "" &amp; 'Raw Data Sales'!I394:I1392)"),"Emmerich Ogden")</f>
        <v>Emmerich Ogden</v>
      </c>
      <c r="B394" s="6" t="str">
        <f>IFERROR(__xludf.DUMMYFUNCTION("""COMPUTED_VALUE"""),"eogdenaw@trellian.com")</f>
        <v>eogdenaw@trellian.com</v>
      </c>
      <c r="C394" s="6" t="str">
        <f>IFERROR(__xludf.DUMMYFUNCTION("""COMPUTED_VALUE"""),"Indonesia")</f>
        <v>Indonesia</v>
      </c>
      <c r="D394" s="6">
        <f>COUNTIFS('Raw Data Sales'!H394:H1392, LEFT(A394, FIND(" ",A394)-1), 'Raw Data Sales'!I394:I1392, MID(A394, FIND(" ",A394)+1, 100))</f>
        <v>1</v>
      </c>
      <c r="E394" s="6">
        <f>SUMIFS('Raw Data Sales'!M394:M1392, 'Raw Data Sales'!H394:H1392, LEFT(A394, FIND(" ",A394)-1), 'Raw Data Sales'!I394:I1392, MID(A394, FIND(" ",A394)+1, 100))</f>
        <v>71</v>
      </c>
      <c r="F394" s="6">
        <f>SUMIFS('Raw Data Sales'!N394:N1392, 'Raw Data Sales'!H394:H1392, LEFT(A394, FIND(" ",A394)-1), 'Raw Data Sales'!I394:I1392, MID(A394, FIND(" ",A394)+1, 100))</f>
        <v>6738.94</v>
      </c>
    </row>
    <row r="395">
      <c r="A395" s="6" t="str">
        <f>IFERROR(__xludf.DUMMYFUNCTION("UNIQUE('Raw Data Sales'!H395:H1393 &amp; "" "" &amp; 'Raw Data Sales'!I395:I1393)"),"Myrtice Hawking")</f>
        <v>Myrtice Hawking</v>
      </c>
      <c r="B395" s="6" t="str">
        <f>IFERROR(__xludf.DUMMYFUNCTION("""COMPUTED_VALUE"""),"mhawkingax@discovery.com")</f>
        <v>mhawkingax@discovery.com</v>
      </c>
      <c r="C395" s="6" t="str">
        <f>IFERROR(__xludf.DUMMYFUNCTION("""COMPUTED_VALUE"""),"France")</f>
        <v>France</v>
      </c>
      <c r="D395" s="6">
        <f>COUNTIFS('Raw Data Sales'!H395:H1393, LEFT(A395, FIND(" ",A395)-1), 'Raw Data Sales'!I395:I1393, MID(A395, FIND(" ",A395)+1, 100))</f>
        <v>1</v>
      </c>
      <c r="E395" s="6">
        <f>SUMIFS('Raw Data Sales'!M395:M1393, 'Raw Data Sales'!H395:H1393, LEFT(A395, FIND(" ",A395)-1), 'Raw Data Sales'!I395:I1393, MID(A395, FIND(" ",A395)+1, 100))</f>
        <v>35</v>
      </c>
      <c r="F395" s="6">
        <f>SUMIFS('Raw Data Sales'!N395:N1393, 'Raw Data Sales'!H395:H1393, LEFT(A395, FIND(" ",A395)-1), 'Raw Data Sales'!I395:I1393, MID(A395, FIND(" ",A395)+1, 100))</f>
        <v>4051.6</v>
      </c>
    </row>
    <row r="396">
      <c r="A396" s="6" t="str">
        <f>IFERROR(__xludf.DUMMYFUNCTION("UNIQUE('Raw Data Sales'!H396:H1394 &amp; "" "" &amp; 'Raw Data Sales'!I396:I1394)"),"Jenda Veness")</f>
        <v>Jenda Veness</v>
      </c>
      <c r="B396" s="6" t="str">
        <f>IFERROR(__xludf.DUMMYFUNCTION("""COMPUTED_VALUE"""),"jvenessay@google.de")</f>
        <v>jvenessay@google.de</v>
      </c>
      <c r="C396" s="6" t="str">
        <f>IFERROR(__xludf.DUMMYFUNCTION("""COMPUTED_VALUE"""),"Ireland")</f>
        <v>Ireland</v>
      </c>
      <c r="D396" s="6">
        <f>COUNTIFS('Raw Data Sales'!H396:H1394, LEFT(A396, FIND(" ",A396)-1), 'Raw Data Sales'!I396:I1394, MID(A396, FIND(" ",A396)+1, 100))</f>
        <v>1</v>
      </c>
      <c r="E396" s="6">
        <f>SUMIFS('Raw Data Sales'!M396:M1394, 'Raw Data Sales'!H396:H1394, LEFT(A396, FIND(" ",A396)-1), 'Raw Data Sales'!I396:I1394, MID(A396, FIND(" ",A396)+1, 100))</f>
        <v>33</v>
      </c>
      <c r="F396" s="6">
        <f>SUMIFS('Raw Data Sales'!N396:N1394, 'Raw Data Sales'!H396:H1394, LEFT(A396, FIND(" ",A396)-1), 'Raw Data Sales'!I396:I1394, MID(A396, FIND(" ",A396)+1, 100))</f>
        <v>9224.07</v>
      </c>
    </row>
    <row r="397">
      <c r="A397" s="6" t="str">
        <f>IFERROR(__xludf.DUMMYFUNCTION("UNIQUE('Raw Data Sales'!H397:H1395 &amp; "" "" &amp; 'Raw Data Sales'!I397:I1395)"),"Elayne Barizeret")</f>
        <v>Elayne Barizeret</v>
      </c>
      <c r="B397" s="6" t="str">
        <f>IFERROR(__xludf.DUMMYFUNCTION("""COMPUTED_VALUE"""),"ebarizeretaz@usda.gov")</f>
        <v>ebarizeretaz@usda.gov</v>
      </c>
      <c r="C397" s="6" t="str">
        <f>IFERROR(__xludf.DUMMYFUNCTION("""COMPUTED_VALUE"""),"Morocco")</f>
        <v>Morocco</v>
      </c>
      <c r="D397" s="6">
        <f>COUNTIFS('Raw Data Sales'!H397:H1395, LEFT(A397, FIND(" ",A397)-1), 'Raw Data Sales'!I397:I1395, MID(A397, FIND(" ",A397)+1, 100))</f>
        <v>1</v>
      </c>
      <c r="E397" s="6">
        <f>SUMIFS('Raw Data Sales'!M397:M1395, 'Raw Data Sales'!H397:H1395, LEFT(A397, FIND(" ",A397)-1), 'Raw Data Sales'!I397:I1395, MID(A397, FIND(" ",A397)+1, 100))</f>
        <v>39</v>
      </c>
      <c r="F397" s="6">
        <f>SUMIFS('Raw Data Sales'!N397:N1395, 'Raw Data Sales'!H397:H1395, LEFT(A397, FIND(" ",A397)-1), 'Raw Data Sales'!I397:I1395, MID(A397, FIND(" ",A397)+1, 100))</f>
        <v>2616.86</v>
      </c>
    </row>
    <row r="398">
      <c r="A398" s="6" t="str">
        <f>IFERROR(__xludf.DUMMYFUNCTION("UNIQUE('Raw Data Sales'!H398:H1396 &amp; "" "" &amp; 'Raw Data Sales'!I398:I1396)"),"Barbie Brugman")</f>
        <v>Barbie Brugman</v>
      </c>
      <c r="B398" s="6" t="str">
        <f>IFERROR(__xludf.DUMMYFUNCTION("""COMPUTED_VALUE"""),"bbrugmanb0@disqus.com")</f>
        <v>bbrugmanb0@disqus.com</v>
      </c>
      <c r="C398" s="6" t="str">
        <f>IFERROR(__xludf.DUMMYFUNCTION("""COMPUTED_VALUE"""),"Philippines")</f>
        <v>Philippines</v>
      </c>
      <c r="D398" s="6">
        <f>COUNTIFS('Raw Data Sales'!H398:H1396, LEFT(A398, FIND(" ",A398)-1), 'Raw Data Sales'!I398:I1396, MID(A398, FIND(" ",A398)+1, 100))</f>
        <v>1</v>
      </c>
      <c r="E398" s="6">
        <f>SUMIFS('Raw Data Sales'!M398:M1396, 'Raw Data Sales'!H398:H1396, LEFT(A398, FIND(" ",A398)-1), 'Raw Data Sales'!I398:I1396, MID(A398, FIND(" ",A398)+1, 100))</f>
        <v>91</v>
      </c>
      <c r="F398" s="6">
        <f>SUMIFS('Raw Data Sales'!N398:N1396, 'Raw Data Sales'!H398:H1396, LEFT(A398, FIND(" ",A398)-1), 'Raw Data Sales'!I398:I1396, MID(A398, FIND(" ",A398)+1, 100))</f>
        <v>3894.5</v>
      </c>
    </row>
    <row r="399">
      <c r="A399" s="6" t="str">
        <f>IFERROR(__xludf.DUMMYFUNCTION("UNIQUE('Raw Data Sales'!H399:H1397 &amp; "" "" &amp; 'Raw Data Sales'!I399:I1397)"),"Cory D'Aeth")</f>
        <v>Cory D'Aeth</v>
      </c>
      <c r="B399" s="6" t="str">
        <f>IFERROR(__xludf.DUMMYFUNCTION("""COMPUTED_VALUE"""),"cdaethb1@alibaba.com")</f>
        <v>cdaethb1@alibaba.com</v>
      </c>
      <c r="C399" s="6" t="str">
        <f>IFERROR(__xludf.DUMMYFUNCTION("""COMPUTED_VALUE"""),"South Africa")</f>
        <v>South Africa</v>
      </c>
      <c r="D399" s="6">
        <f>COUNTIFS('Raw Data Sales'!H399:H1397, LEFT(A399, FIND(" ",A399)-1), 'Raw Data Sales'!I399:I1397, MID(A399, FIND(" ",A399)+1, 100))</f>
        <v>1</v>
      </c>
      <c r="E399" s="6">
        <f>SUMIFS('Raw Data Sales'!M399:M1397, 'Raw Data Sales'!H399:H1397, LEFT(A399, FIND(" ",A399)-1), 'Raw Data Sales'!I399:I1397, MID(A399, FIND(" ",A399)+1, 100))</f>
        <v>98</v>
      </c>
      <c r="F399" s="6">
        <f>SUMIFS('Raw Data Sales'!N399:N1397, 'Raw Data Sales'!H399:H1397, LEFT(A399, FIND(" ",A399)-1), 'Raw Data Sales'!I399:I1397, MID(A399, FIND(" ",A399)+1, 100))</f>
        <v>5550.27</v>
      </c>
    </row>
    <row r="400">
      <c r="A400" s="6" t="str">
        <f>IFERROR(__xludf.DUMMYFUNCTION("UNIQUE('Raw Data Sales'!H400:H1398 &amp; "" "" &amp; 'Raw Data Sales'!I400:I1398)"),"Willdon Aiken")</f>
        <v>Willdon Aiken</v>
      </c>
      <c r="B400" s="6" t="str">
        <f>IFERROR(__xludf.DUMMYFUNCTION("""COMPUTED_VALUE"""),"waikenb2@mit.edu")</f>
        <v>waikenb2@mit.edu</v>
      </c>
      <c r="C400" s="6" t="str">
        <f>IFERROR(__xludf.DUMMYFUNCTION("""COMPUTED_VALUE"""),"Jamaica")</f>
        <v>Jamaica</v>
      </c>
      <c r="D400" s="6">
        <f>COUNTIFS('Raw Data Sales'!H400:H1398, LEFT(A400, FIND(" ",A400)-1), 'Raw Data Sales'!I400:I1398, MID(A400, FIND(" ",A400)+1, 100))</f>
        <v>1</v>
      </c>
      <c r="E400" s="6">
        <f>SUMIFS('Raw Data Sales'!M400:M1398, 'Raw Data Sales'!H400:H1398, LEFT(A400, FIND(" ",A400)-1), 'Raw Data Sales'!I400:I1398, MID(A400, FIND(" ",A400)+1, 100))</f>
        <v>14</v>
      </c>
      <c r="F400" s="6">
        <f>SUMIFS('Raw Data Sales'!N400:N1398, 'Raw Data Sales'!H400:H1398, LEFT(A400, FIND(" ",A400)-1), 'Raw Data Sales'!I400:I1398, MID(A400, FIND(" ",A400)+1, 100))</f>
        <v>2873.48</v>
      </c>
    </row>
    <row r="401">
      <c r="A401" s="6" t="str">
        <f>IFERROR(__xludf.DUMMYFUNCTION("UNIQUE('Raw Data Sales'!H401:H1399 &amp; "" "" &amp; 'Raw Data Sales'!I401:I1399)"),"Arch Caverhill")</f>
        <v>Arch Caverhill</v>
      </c>
      <c r="B401" s="6" t="str">
        <f>IFERROR(__xludf.DUMMYFUNCTION("""COMPUTED_VALUE"""),"acaverhillb3@ibm.com")</f>
        <v>acaverhillb3@ibm.com</v>
      </c>
      <c r="C401" s="6" t="str">
        <f>IFERROR(__xludf.DUMMYFUNCTION("""COMPUTED_VALUE"""),"Madagascar")</f>
        <v>Madagascar</v>
      </c>
      <c r="D401" s="6">
        <f>COUNTIFS('Raw Data Sales'!H401:H1399, LEFT(A401, FIND(" ",A401)-1), 'Raw Data Sales'!I401:I1399, MID(A401, FIND(" ",A401)+1, 100))</f>
        <v>1</v>
      </c>
      <c r="E401" s="6">
        <f>SUMIFS('Raw Data Sales'!M401:M1399, 'Raw Data Sales'!H401:H1399, LEFT(A401, FIND(" ",A401)-1), 'Raw Data Sales'!I401:I1399, MID(A401, FIND(" ",A401)+1, 100))</f>
        <v>17</v>
      </c>
      <c r="F401" s="6">
        <f>SUMIFS('Raw Data Sales'!N401:N1399, 'Raw Data Sales'!H401:H1399, LEFT(A401, FIND(" ",A401)-1), 'Raw Data Sales'!I401:I1399, MID(A401, FIND(" ",A401)+1, 100))</f>
        <v>8745.68</v>
      </c>
    </row>
    <row r="402">
      <c r="A402" s="6" t="str">
        <f>IFERROR(__xludf.DUMMYFUNCTION("UNIQUE('Raw Data Sales'!H402:H1400 &amp; "" "" &amp; 'Raw Data Sales'!I402:I1400)"),"Barnabe Orteu")</f>
        <v>Barnabe Orteu</v>
      </c>
      <c r="B402" s="6" t="str">
        <f>IFERROR(__xludf.DUMMYFUNCTION("""COMPUTED_VALUE"""),"borteub4@yahoo.co.jp")</f>
        <v>borteub4@yahoo.co.jp</v>
      </c>
      <c r="C402" s="6" t="str">
        <f>IFERROR(__xludf.DUMMYFUNCTION("""COMPUTED_VALUE"""),"Philippines")</f>
        <v>Philippines</v>
      </c>
      <c r="D402" s="6">
        <f>COUNTIFS('Raw Data Sales'!H402:H1400, LEFT(A402, FIND(" ",A402)-1), 'Raw Data Sales'!I402:I1400, MID(A402, FIND(" ",A402)+1, 100))</f>
        <v>1</v>
      </c>
      <c r="E402" s="6">
        <f>SUMIFS('Raw Data Sales'!M402:M1400, 'Raw Data Sales'!H402:H1400, LEFT(A402, FIND(" ",A402)-1), 'Raw Data Sales'!I402:I1400, MID(A402, FIND(" ",A402)+1, 100))</f>
        <v>9</v>
      </c>
      <c r="F402" s="6">
        <f>SUMIFS('Raw Data Sales'!N402:N1400, 'Raw Data Sales'!H402:H1400, LEFT(A402, FIND(" ",A402)-1), 'Raw Data Sales'!I402:I1400, MID(A402, FIND(" ",A402)+1, 100))</f>
        <v>3265.34</v>
      </c>
    </row>
    <row r="403">
      <c r="A403" s="6" t="str">
        <f>IFERROR(__xludf.DUMMYFUNCTION("UNIQUE('Raw Data Sales'!H403:H1401 &amp; "" "" &amp; 'Raw Data Sales'!I403:I1401)"),"Tull Webb-Bowen")</f>
        <v>Tull Webb-Bowen</v>
      </c>
      <c r="B403" s="6" t="str">
        <f>IFERROR(__xludf.DUMMYFUNCTION("""COMPUTED_VALUE"""),"twebbbowenb5@gnu.org")</f>
        <v>twebbbowenb5@gnu.org</v>
      </c>
      <c r="C403" s="6" t="str">
        <f>IFERROR(__xludf.DUMMYFUNCTION("""COMPUTED_VALUE"""),"France")</f>
        <v>France</v>
      </c>
      <c r="D403" s="6">
        <f>COUNTIFS('Raw Data Sales'!H403:H1401, LEFT(A403, FIND(" ",A403)-1), 'Raw Data Sales'!I403:I1401, MID(A403, FIND(" ",A403)+1, 100))</f>
        <v>1</v>
      </c>
      <c r="E403" s="6">
        <f>SUMIFS('Raw Data Sales'!M403:M1401, 'Raw Data Sales'!H403:H1401, LEFT(A403, FIND(" ",A403)-1), 'Raw Data Sales'!I403:I1401, MID(A403, FIND(" ",A403)+1, 100))</f>
        <v>48</v>
      </c>
      <c r="F403" s="6">
        <f>SUMIFS('Raw Data Sales'!N403:N1401, 'Raw Data Sales'!H403:H1401, LEFT(A403, FIND(" ",A403)-1), 'Raw Data Sales'!I403:I1401, MID(A403, FIND(" ",A403)+1, 100))</f>
        <v>8314.4</v>
      </c>
    </row>
    <row r="404">
      <c r="A404" s="6" t="str">
        <f>IFERROR(__xludf.DUMMYFUNCTION("UNIQUE('Raw Data Sales'!H404:H1402 &amp; "" "" &amp; 'Raw Data Sales'!I404:I1402)"),"Ami Darlaston")</f>
        <v>Ami Darlaston</v>
      </c>
      <c r="B404" s="6" t="str">
        <f>IFERROR(__xludf.DUMMYFUNCTION("""COMPUTED_VALUE"""),"adarlastonb6@sogou.com")</f>
        <v>adarlastonb6@sogou.com</v>
      </c>
      <c r="C404" s="6" t="str">
        <f>IFERROR(__xludf.DUMMYFUNCTION("""COMPUTED_VALUE"""),"China")</f>
        <v>China</v>
      </c>
      <c r="D404" s="6">
        <f>COUNTIFS('Raw Data Sales'!H404:H1402, LEFT(A404, FIND(" ",A404)-1), 'Raw Data Sales'!I404:I1402, MID(A404, FIND(" ",A404)+1, 100))</f>
        <v>1</v>
      </c>
      <c r="E404" s="6">
        <f>SUMIFS('Raw Data Sales'!M404:M1402, 'Raw Data Sales'!H404:H1402, LEFT(A404, FIND(" ",A404)-1), 'Raw Data Sales'!I404:I1402, MID(A404, FIND(" ",A404)+1, 100))</f>
        <v>93</v>
      </c>
      <c r="F404" s="6">
        <f>SUMIFS('Raw Data Sales'!N404:N1402, 'Raw Data Sales'!H404:H1402, LEFT(A404, FIND(" ",A404)-1), 'Raw Data Sales'!I404:I1402, MID(A404, FIND(" ",A404)+1, 100))</f>
        <v>9057.15</v>
      </c>
    </row>
    <row r="405">
      <c r="A405" s="6" t="str">
        <f>IFERROR(__xludf.DUMMYFUNCTION("UNIQUE('Raw Data Sales'!H405:H1403 &amp; "" "" &amp; 'Raw Data Sales'!I405:I1403)"),"Nananne Demangel")</f>
        <v>Nananne Demangel</v>
      </c>
      <c r="B405" s="6" t="str">
        <f>IFERROR(__xludf.DUMMYFUNCTION("""COMPUTED_VALUE"""),"ndemangelb7@reference.com")</f>
        <v>ndemangelb7@reference.com</v>
      </c>
      <c r="C405" s="6" t="str">
        <f>IFERROR(__xludf.DUMMYFUNCTION("""COMPUTED_VALUE"""),"Morocco")</f>
        <v>Morocco</v>
      </c>
      <c r="D405" s="6">
        <f>COUNTIFS('Raw Data Sales'!H405:H1403, LEFT(A405, FIND(" ",A405)-1), 'Raw Data Sales'!I405:I1403, MID(A405, FIND(" ",A405)+1, 100))</f>
        <v>1</v>
      </c>
      <c r="E405" s="6">
        <f>SUMIFS('Raw Data Sales'!M405:M1403, 'Raw Data Sales'!H405:H1403, LEFT(A405, FIND(" ",A405)-1), 'Raw Data Sales'!I405:I1403, MID(A405, FIND(" ",A405)+1, 100))</f>
        <v>75</v>
      </c>
      <c r="F405" s="6">
        <f>SUMIFS('Raw Data Sales'!N405:N1403, 'Raw Data Sales'!H405:H1403, LEFT(A405, FIND(" ",A405)-1), 'Raw Data Sales'!I405:I1403, MID(A405, FIND(" ",A405)+1, 100))</f>
        <v>4921.06</v>
      </c>
    </row>
    <row r="406">
      <c r="A406" s="6" t="str">
        <f>IFERROR(__xludf.DUMMYFUNCTION("UNIQUE('Raw Data Sales'!H406:H1404 &amp; "" "" &amp; 'Raw Data Sales'!I406:I1404)"),"Bellanca Whickman")</f>
        <v>Bellanca Whickman</v>
      </c>
      <c r="B406" s="6" t="str">
        <f>IFERROR(__xludf.DUMMYFUNCTION("""COMPUTED_VALUE"""),"bwhickmanb8@nps.gov")</f>
        <v>bwhickmanb8@nps.gov</v>
      </c>
      <c r="C406" s="6" t="str">
        <f>IFERROR(__xludf.DUMMYFUNCTION("""COMPUTED_VALUE"""),"China")</f>
        <v>China</v>
      </c>
      <c r="D406" s="6">
        <f>COUNTIFS('Raw Data Sales'!H406:H1404, LEFT(A406, FIND(" ",A406)-1), 'Raw Data Sales'!I406:I1404, MID(A406, FIND(" ",A406)+1, 100))</f>
        <v>1</v>
      </c>
      <c r="E406" s="6">
        <f>SUMIFS('Raw Data Sales'!M406:M1404, 'Raw Data Sales'!H406:H1404, LEFT(A406, FIND(" ",A406)-1), 'Raw Data Sales'!I406:I1404, MID(A406, FIND(" ",A406)+1, 100))</f>
        <v>99</v>
      </c>
      <c r="F406" s="6">
        <f>SUMIFS('Raw Data Sales'!N406:N1404, 'Raw Data Sales'!H406:H1404, LEFT(A406, FIND(" ",A406)-1), 'Raw Data Sales'!I406:I1404, MID(A406, FIND(" ",A406)+1, 100))</f>
        <v>2651.04</v>
      </c>
    </row>
    <row r="407">
      <c r="A407" s="6" t="str">
        <f>IFERROR(__xludf.DUMMYFUNCTION("UNIQUE('Raw Data Sales'!H407:H1405 &amp; "" "" &amp; 'Raw Data Sales'!I407:I1405)"),"Merissa Polini")</f>
        <v>Merissa Polini</v>
      </c>
      <c r="B407" s="6" t="str">
        <f>IFERROR(__xludf.DUMMYFUNCTION("""COMPUTED_VALUE"""),"mpolinib9@webeden.co.uk")</f>
        <v>mpolinib9@webeden.co.uk</v>
      </c>
      <c r="C407" s="6" t="str">
        <f>IFERROR(__xludf.DUMMYFUNCTION("""COMPUTED_VALUE"""),"China")</f>
        <v>China</v>
      </c>
      <c r="D407" s="6">
        <f>COUNTIFS('Raw Data Sales'!H407:H1405, LEFT(A407, FIND(" ",A407)-1), 'Raw Data Sales'!I407:I1405, MID(A407, FIND(" ",A407)+1, 100))</f>
        <v>1</v>
      </c>
      <c r="E407" s="6">
        <f>SUMIFS('Raw Data Sales'!M407:M1405, 'Raw Data Sales'!H407:H1405, LEFT(A407, FIND(" ",A407)-1), 'Raw Data Sales'!I407:I1405, MID(A407, FIND(" ",A407)+1, 100))</f>
        <v>27</v>
      </c>
      <c r="F407" s="6">
        <f>SUMIFS('Raw Data Sales'!N407:N1405, 'Raw Data Sales'!H407:H1405, LEFT(A407, FIND(" ",A407)-1), 'Raw Data Sales'!I407:I1405, MID(A407, FIND(" ",A407)+1, 100))</f>
        <v>6475</v>
      </c>
    </row>
    <row r="408">
      <c r="A408" s="6" t="str">
        <f>IFERROR(__xludf.DUMMYFUNCTION("UNIQUE('Raw Data Sales'!H408:H1406 &amp; "" "" &amp; 'Raw Data Sales'!I408:I1406)"),"Brenden Abley")</f>
        <v>Brenden Abley</v>
      </c>
      <c r="B408" s="6" t="str">
        <f>IFERROR(__xludf.DUMMYFUNCTION("""COMPUTED_VALUE"""),"bableyba@istockphoto.com")</f>
        <v>bableyba@istockphoto.com</v>
      </c>
      <c r="C408" s="6" t="str">
        <f>IFERROR(__xludf.DUMMYFUNCTION("""COMPUTED_VALUE"""),"Venezuela")</f>
        <v>Venezuela</v>
      </c>
      <c r="D408" s="6">
        <f>COUNTIFS('Raw Data Sales'!H408:H1406, LEFT(A408, FIND(" ",A408)-1), 'Raw Data Sales'!I408:I1406, MID(A408, FIND(" ",A408)+1, 100))</f>
        <v>1</v>
      </c>
      <c r="E408" s="6">
        <f>SUMIFS('Raw Data Sales'!M408:M1406, 'Raw Data Sales'!H408:H1406, LEFT(A408, FIND(" ",A408)-1), 'Raw Data Sales'!I408:I1406, MID(A408, FIND(" ",A408)+1, 100))</f>
        <v>76</v>
      </c>
      <c r="F408" s="6">
        <f>SUMIFS('Raw Data Sales'!N408:N1406, 'Raw Data Sales'!H408:H1406, LEFT(A408, FIND(" ",A408)-1), 'Raw Data Sales'!I408:I1406, MID(A408, FIND(" ",A408)+1, 100))</f>
        <v>6927.83</v>
      </c>
    </row>
    <row r="409">
      <c r="A409" s="6" t="str">
        <f>IFERROR(__xludf.DUMMYFUNCTION("UNIQUE('Raw Data Sales'!H409:H1407 &amp; "" "" &amp; 'Raw Data Sales'!I409:I1407)"),"Jervis Chrismas")</f>
        <v>Jervis Chrismas</v>
      </c>
      <c r="B409" s="6" t="str">
        <f>IFERROR(__xludf.DUMMYFUNCTION("""COMPUTED_VALUE"""),"jchrismasbb@statcounter.com")</f>
        <v>jchrismasbb@statcounter.com</v>
      </c>
      <c r="C409" s="6" t="str">
        <f>IFERROR(__xludf.DUMMYFUNCTION("""COMPUTED_VALUE"""),"Portugal")</f>
        <v>Portugal</v>
      </c>
      <c r="D409" s="6">
        <f>COUNTIFS('Raw Data Sales'!H409:H1407, LEFT(A409, FIND(" ",A409)-1), 'Raw Data Sales'!I409:I1407, MID(A409, FIND(" ",A409)+1, 100))</f>
        <v>1</v>
      </c>
      <c r="E409" s="6">
        <f>SUMIFS('Raw Data Sales'!M409:M1407, 'Raw Data Sales'!H409:H1407, LEFT(A409, FIND(" ",A409)-1), 'Raw Data Sales'!I409:I1407, MID(A409, FIND(" ",A409)+1, 100))</f>
        <v>24</v>
      </c>
      <c r="F409" s="6">
        <f>SUMIFS('Raw Data Sales'!N409:N1407, 'Raw Data Sales'!H409:H1407, LEFT(A409, FIND(" ",A409)-1), 'Raw Data Sales'!I409:I1407, MID(A409, FIND(" ",A409)+1, 100))</f>
        <v>4519.62</v>
      </c>
    </row>
    <row r="410">
      <c r="A410" s="6" t="str">
        <f>IFERROR(__xludf.DUMMYFUNCTION("UNIQUE('Raw Data Sales'!H410:H1408 &amp; "" "" &amp; 'Raw Data Sales'!I410:I1408)"),"Gaylord Fidele")</f>
        <v>Gaylord Fidele</v>
      </c>
      <c r="B410" s="6" t="str">
        <f>IFERROR(__xludf.DUMMYFUNCTION("""COMPUTED_VALUE"""),"gfidelebc@wufoo.com")</f>
        <v>gfidelebc@wufoo.com</v>
      </c>
      <c r="C410" s="6" t="str">
        <f>IFERROR(__xludf.DUMMYFUNCTION("""COMPUTED_VALUE"""),"Peru")</f>
        <v>Peru</v>
      </c>
      <c r="D410" s="6">
        <f>COUNTIFS('Raw Data Sales'!H410:H1408, LEFT(A410, FIND(" ",A410)-1), 'Raw Data Sales'!I410:I1408, MID(A410, FIND(" ",A410)+1, 100))</f>
        <v>1</v>
      </c>
      <c r="E410" s="6">
        <f>SUMIFS('Raw Data Sales'!M410:M1408, 'Raw Data Sales'!H410:H1408, LEFT(A410, FIND(" ",A410)-1), 'Raw Data Sales'!I410:I1408, MID(A410, FIND(" ",A410)+1, 100))</f>
        <v>59</v>
      </c>
      <c r="F410" s="6">
        <f>SUMIFS('Raw Data Sales'!N410:N1408, 'Raw Data Sales'!H410:H1408, LEFT(A410, FIND(" ",A410)-1), 'Raw Data Sales'!I410:I1408, MID(A410, FIND(" ",A410)+1, 100))</f>
        <v>1040.67</v>
      </c>
    </row>
    <row r="411">
      <c r="A411" s="6" t="str">
        <f>IFERROR(__xludf.DUMMYFUNCTION("UNIQUE('Raw Data Sales'!H411:H1409 &amp; "" "" &amp; 'Raw Data Sales'!I411:I1409)"),"Orion Abba")</f>
        <v>Orion Abba</v>
      </c>
      <c r="B411" s="6" t="str">
        <f>IFERROR(__xludf.DUMMYFUNCTION("""COMPUTED_VALUE"""),"oabbabd@marketwatch.com")</f>
        <v>oabbabd@marketwatch.com</v>
      </c>
      <c r="C411" s="6" t="str">
        <f>IFERROR(__xludf.DUMMYFUNCTION("""COMPUTED_VALUE"""),"China")</f>
        <v>China</v>
      </c>
      <c r="D411" s="6">
        <f>COUNTIFS('Raw Data Sales'!H411:H1409, LEFT(A411, FIND(" ",A411)-1), 'Raw Data Sales'!I411:I1409, MID(A411, FIND(" ",A411)+1, 100))</f>
        <v>1</v>
      </c>
      <c r="E411" s="6">
        <f>SUMIFS('Raw Data Sales'!M411:M1409, 'Raw Data Sales'!H411:H1409, LEFT(A411, FIND(" ",A411)-1), 'Raw Data Sales'!I411:I1409, MID(A411, FIND(" ",A411)+1, 100))</f>
        <v>24</v>
      </c>
      <c r="F411" s="6">
        <f>SUMIFS('Raw Data Sales'!N411:N1409, 'Raw Data Sales'!H411:H1409, LEFT(A411, FIND(" ",A411)-1), 'Raw Data Sales'!I411:I1409, MID(A411, FIND(" ",A411)+1, 100))</f>
        <v>9599.95</v>
      </c>
    </row>
    <row r="412">
      <c r="A412" s="6" t="str">
        <f>IFERROR(__xludf.DUMMYFUNCTION("UNIQUE('Raw Data Sales'!H412:H1410 &amp; "" "" &amp; 'Raw Data Sales'!I412:I1410)"),"Deidre Haresnape")</f>
        <v>Deidre Haresnape</v>
      </c>
      <c r="B412" s="6" t="str">
        <f>IFERROR(__xludf.DUMMYFUNCTION("""COMPUTED_VALUE"""),"dharesnapebe@samsung.com")</f>
        <v>dharesnapebe@samsung.com</v>
      </c>
      <c r="C412" s="6" t="str">
        <f>IFERROR(__xludf.DUMMYFUNCTION("""COMPUTED_VALUE"""),"Indonesia")</f>
        <v>Indonesia</v>
      </c>
      <c r="D412" s="6">
        <f>COUNTIFS('Raw Data Sales'!H412:H1410, LEFT(A412, FIND(" ",A412)-1), 'Raw Data Sales'!I412:I1410, MID(A412, FIND(" ",A412)+1, 100))</f>
        <v>1</v>
      </c>
      <c r="E412" s="6">
        <f>SUMIFS('Raw Data Sales'!M412:M1410, 'Raw Data Sales'!H412:H1410, LEFT(A412, FIND(" ",A412)-1), 'Raw Data Sales'!I412:I1410, MID(A412, FIND(" ",A412)+1, 100))</f>
        <v>56</v>
      </c>
      <c r="F412" s="6">
        <f>SUMIFS('Raw Data Sales'!N412:N1410, 'Raw Data Sales'!H412:H1410, LEFT(A412, FIND(" ",A412)-1), 'Raw Data Sales'!I412:I1410, MID(A412, FIND(" ",A412)+1, 100))</f>
        <v>5580.39</v>
      </c>
    </row>
    <row r="413">
      <c r="A413" s="6" t="str">
        <f>IFERROR(__xludf.DUMMYFUNCTION("UNIQUE('Raw Data Sales'!H413:H1411 &amp; "" "" &amp; 'Raw Data Sales'!I413:I1411)"),"Irina Wisniowski")</f>
        <v>Irina Wisniowski</v>
      </c>
      <c r="B413" s="6" t="str">
        <f>IFERROR(__xludf.DUMMYFUNCTION("""COMPUTED_VALUE"""),"iwisniowskibf@jigsy.com")</f>
        <v>iwisniowskibf@jigsy.com</v>
      </c>
      <c r="C413" s="6" t="str">
        <f>IFERROR(__xludf.DUMMYFUNCTION("""COMPUTED_VALUE"""),"Russia")</f>
        <v>Russia</v>
      </c>
      <c r="D413" s="6">
        <f>COUNTIFS('Raw Data Sales'!H413:H1411, LEFT(A413, FIND(" ",A413)-1), 'Raw Data Sales'!I413:I1411, MID(A413, FIND(" ",A413)+1, 100))</f>
        <v>1</v>
      </c>
      <c r="E413" s="6">
        <f>SUMIFS('Raw Data Sales'!M413:M1411, 'Raw Data Sales'!H413:H1411, LEFT(A413, FIND(" ",A413)-1), 'Raw Data Sales'!I413:I1411, MID(A413, FIND(" ",A413)+1, 100))</f>
        <v>71</v>
      </c>
      <c r="F413" s="6">
        <f>SUMIFS('Raw Data Sales'!N413:N1411, 'Raw Data Sales'!H413:H1411, LEFT(A413, FIND(" ",A413)-1), 'Raw Data Sales'!I413:I1411, MID(A413, FIND(" ",A413)+1, 100))</f>
        <v>4564.71</v>
      </c>
    </row>
    <row r="414">
      <c r="A414" s="6" t="str">
        <f>IFERROR(__xludf.DUMMYFUNCTION("UNIQUE('Raw Data Sales'!H414:H1412 &amp; "" "" &amp; 'Raw Data Sales'!I414:I1412)"),"Arther Jarrold")</f>
        <v>Arther Jarrold</v>
      </c>
      <c r="B414" s="6" t="str">
        <f>IFERROR(__xludf.DUMMYFUNCTION("""COMPUTED_VALUE"""),"ajarroldbg@cargocollective.com")</f>
        <v>ajarroldbg@cargocollective.com</v>
      </c>
      <c r="C414" s="6" t="str">
        <f>IFERROR(__xludf.DUMMYFUNCTION("""COMPUTED_VALUE"""),"Nigeria")</f>
        <v>Nigeria</v>
      </c>
      <c r="D414" s="6">
        <f>COUNTIFS('Raw Data Sales'!H414:H1412, LEFT(A414, FIND(" ",A414)-1), 'Raw Data Sales'!I414:I1412, MID(A414, FIND(" ",A414)+1, 100))</f>
        <v>1</v>
      </c>
      <c r="E414" s="6">
        <f>SUMIFS('Raw Data Sales'!M414:M1412, 'Raw Data Sales'!H414:H1412, LEFT(A414, FIND(" ",A414)-1), 'Raw Data Sales'!I414:I1412, MID(A414, FIND(" ",A414)+1, 100))</f>
        <v>62</v>
      </c>
      <c r="F414" s="6">
        <f>SUMIFS('Raw Data Sales'!N414:N1412, 'Raw Data Sales'!H414:H1412, LEFT(A414, FIND(" ",A414)-1), 'Raw Data Sales'!I414:I1412, MID(A414, FIND(" ",A414)+1, 100))</f>
        <v>8867.45</v>
      </c>
    </row>
    <row r="415">
      <c r="A415" s="6" t="str">
        <f>IFERROR(__xludf.DUMMYFUNCTION("UNIQUE('Raw Data Sales'!H415:H1413 &amp; "" "" &amp; 'Raw Data Sales'!I415:I1413)"),"Fanechka Brownsall")</f>
        <v>Fanechka Brownsall</v>
      </c>
      <c r="B415" s="6" t="str">
        <f>IFERROR(__xludf.DUMMYFUNCTION("""COMPUTED_VALUE"""),"fbrownsallbh@mit.edu")</f>
        <v>fbrownsallbh@mit.edu</v>
      </c>
      <c r="C415" s="6" t="str">
        <f>IFERROR(__xludf.DUMMYFUNCTION("""COMPUTED_VALUE"""),"China")</f>
        <v>China</v>
      </c>
      <c r="D415" s="6">
        <f>COUNTIFS('Raw Data Sales'!H415:H1413, LEFT(A415, FIND(" ",A415)-1), 'Raw Data Sales'!I415:I1413, MID(A415, FIND(" ",A415)+1, 100))</f>
        <v>1</v>
      </c>
      <c r="E415" s="6">
        <f>SUMIFS('Raw Data Sales'!M415:M1413, 'Raw Data Sales'!H415:H1413, LEFT(A415, FIND(" ",A415)-1), 'Raw Data Sales'!I415:I1413, MID(A415, FIND(" ",A415)+1, 100))</f>
        <v>57</v>
      </c>
      <c r="F415" s="6">
        <f>SUMIFS('Raw Data Sales'!N415:N1413, 'Raw Data Sales'!H415:H1413, LEFT(A415, FIND(" ",A415)-1), 'Raw Data Sales'!I415:I1413, MID(A415, FIND(" ",A415)+1, 100))</f>
        <v>1623.13</v>
      </c>
    </row>
    <row r="416">
      <c r="A416" s="6" t="str">
        <f>IFERROR(__xludf.DUMMYFUNCTION("UNIQUE('Raw Data Sales'!H416:H1414 &amp; "" "" &amp; 'Raw Data Sales'!I416:I1414)"),"Malissia Baribal")</f>
        <v>Malissia Baribal</v>
      </c>
      <c r="B416" s="6" t="str">
        <f>IFERROR(__xludf.DUMMYFUNCTION("""COMPUTED_VALUE"""),"mbaribalbi@cornell.edu")</f>
        <v>mbaribalbi@cornell.edu</v>
      </c>
      <c r="C416" s="6" t="str">
        <f>IFERROR(__xludf.DUMMYFUNCTION("""COMPUTED_VALUE"""),"Croatia")</f>
        <v>Croatia</v>
      </c>
      <c r="D416" s="6">
        <f>COUNTIFS('Raw Data Sales'!H416:H1414, LEFT(A416, FIND(" ",A416)-1), 'Raw Data Sales'!I416:I1414, MID(A416, FIND(" ",A416)+1, 100))</f>
        <v>1</v>
      </c>
      <c r="E416" s="6">
        <f>SUMIFS('Raw Data Sales'!M416:M1414, 'Raw Data Sales'!H416:H1414, LEFT(A416, FIND(" ",A416)-1), 'Raw Data Sales'!I416:I1414, MID(A416, FIND(" ",A416)+1, 100))</f>
        <v>45</v>
      </c>
      <c r="F416" s="6">
        <f>SUMIFS('Raw Data Sales'!N416:N1414, 'Raw Data Sales'!H416:H1414, LEFT(A416, FIND(" ",A416)-1), 'Raw Data Sales'!I416:I1414, MID(A416, FIND(" ",A416)+1, 100))</f>
        <v>8655.67</v>
      </c>
    </row>
    <row r="417">
      <c r="A417" s="6" t="str">
        <f>IFERROR(__xludf.DUMMYFUNCTION("UNIQUE('Raw Data Sales'!H417:H1415 &amp; "" "" &amp; 'Raw Data Sales'!I417:I1415)"),"Kendall Dilrew")</f>
        <v>Kendall Dilrew</v>
      </c>
      <c r="B417" s="6" t="str">
        <f>IFERROR(__xludf.DUMMYFUNCTION("""COMPUTED_VALUE"""),"kdilrewbj@scientificamerican.com")</f>
        <v>kdilrewbj@scientificamerican.com</v>
      </c>
      <c r="C417" s="6" t="str">
        <f>IFERROR(__xludf.DUMMYFUNCTION("""COMPUTED_VALUE"""),"China")</f>
        <v>China</v>
      </c>
      <c r="D417" s="6">
        <f>COUNTIFS('Raw Data Sales'!H417:H1415, LEFT(A417, FIND(" ",A417)-1), 'Raw Data Sales'!I417:I1415, MID(A417, FIND(" ",A417)+1, 100))</f>
        <v>1</v>
      </c>
      <c r="E417" s="6">
        <f>SUMIFS('Raw Data Sales'!M417:M1415, 'Raw Data Sales'!H417:H1415, LEFT(A417, FIND(" ",A417)-1), 'Raw Data Sales'!I417:I1415, MID(A417, FIND(" ",A417)+1, 100))</f>
        <v>63</v>
      </c>
      <c r="F417" s="6">
        <f>SUMIFS('Raw Data Sales'!N417:N1415, 'Raw Data Sales'!H417:H1415, LEFT(A417, FIND(" ",A417)-1), 'Raw Data Sales'!I417:I1415, MID(A417, FIND(" ",A417)+1, 100))</f>
        <v>256.45</v>
      </c>
    </row>
    <row r="418">
      <c r="A418" s="6" t="str">
        <f>IFERROR(__xludf.DUMMYFUNCTION("UNIQUE('Raw Data Sales'!H418:H1416 &amp; "" "" &amp; 'Raw Data Sales'!I418:I1416)"),"Elfrieda Goldsworthy")</f>
        <v>Elfrieda Goldsworthy</v>
      </c>
      <c r="B418" s="6" t="str">
        <f>IFERROR(__xludf.DUMMYFUNCTION("""COMPUTED_VALUE"""),"egoldsworthybk@reverbnation.com")</f>
        <v>egoldsworthybk@reverbnation.com</v>
      </c>
      <c r="C418" s="6" t="str">
        <f>IFERROR(__xludf.DUMMYFUNCTION("""COMPUTED_VALUE"""),"Uzbekistan")</f>
        <v>Uzbekistan</v>
      </c>
      <c r="D418" s="6">
        <f>COUNTIFS('Raw Data Sales'!H418:H1416, LEFT(A418, FIND(" ",A418)-1), 'Raw Data Sales'!I418:I1416, MID(A418, FIND(" ",A418)+1, 100))</f>
        <v>1</v>
      </c>
      <c r="E418" s="6">
        <f>SUMIFS('Raw Data Sales'!M418:M1416, 'Raw Data Sales'!H418:H1416, LEFT(A418, FIND(" ",A418)-1), 'Raw Data Sales'!I418:I1416, MID(A418, FIND(" ",A418)+1, 100))</f>
        <v>28</v>
      </c>
      <c r="F418" s="6">
        <f>SUMIFS('Raw Data Sales'!N418:N1416, 'Raw Data Sales'!H418:H1416, LEFT(A418, FIND(" ",A418)-1), 'Raw Data Sales'!I418:I1416, MID(A418, FIND(" ",A418)+1, 100))</f>
        <v>6029.79</v>
      </c>
    </row>
    <row r="419">
      <c r="A419" s="6" t="str">
        <f>IFERROR(__xludf.DUMMYFUNCTION("UNIQUE('Raw Data Sales'!H419:H1417 &amp; "" "" &amp; 'Raw Data Sales'!I419:I1417)"),"Adrienne Hannent")</f>
        <v>Adrienne Hannent</v>
      </c>
      <c r="B419" s="6" t="str">
        <f>IFERROR(__xludf.DUMMYFUNCTION("""COMPUTED_VALUE"""),"ahannentbl@pen.io")</f>
        <v>ahannentbl@pen.io</v>
      </c>
      <c r="C419" s="6" t="str">
        <f>IFERROR(__xludf.DUMMYFUNCTION("""COMPUTED_VALUE"""),"Canada")</f>
        <v>Canada</v>
      </c>
      <c r="D419" s="6">
        <f>COUNTIFS('Raw Data Sales'!H419:H1417, LEFT(A419, FIND(" ",A419)-1), 'Raw Data Sales'!I419:I1417, MID(A419, FIND(" ",A419)+1, 100))</f>
        <v>1</v>
      </c>
      <c r="E419" s="6">
        <f>SUMIFS('Raw Data Sales'!M419:M1417, 'Raw Data Sales'!H419:H1417, LEFT(A419, FIND(" ",A419)-1), 'Raw Data Sales'!I419:I1417, MID(A419, FIND(" ",A419)+1, 100))</f>
        <v>85</v>
      </c>
      <c r="F419" s="6">
        <f>SUMIFS('Raw Data Sales'!N419:N1417, 'Raw Data Sales'!H419:H1417, LEFT(A419, FIND(" ",A419)-1), 'Raw Data Sales'!I419:I1417, MID(A419, FIND(" ",A419)+1, 100))</f>
        <v>7450.59</v>
      </c>
    </row>
    <row r="420">
      <c r="A420" s="6" t="str">
        <f>IFERROR(__xludf.DUMMYFUNCTION("UNIQUE('Raw Data Sales'!H420:H1418 &amp; "" "" &amp; 'Raw Data Sales'!I420:I1418)"),"Maudie Gorvette")</f>
        <v>Maudie Gorvette</v>
      </c>
      <c r="B420" s="6" t="str">
        <f>IFERROR(__xludf.DUMMYFUNCTION("""COMPUTED_VALUE"""),"mgorvettebm@ucoz.ru")</f>
        <v>mgorvettebm@ucoz.ru</v>
      </c>
      <c r="C420" s="6" t="str">
        <f>IFERROR(__xludf.DUMMYFUNCTION("""COMPUTED_VALUE"""),"Syria")</f>
        <v>Syria</v>
      </c>
      <c r="D420" s="6">
        <f>COUNTIFS('Raw Data Sales'!H420:H1418, LEFT(A420, FIND(" ",A420)-1), 'Raw Data Sales'!I420:I1418, MID(A420, FIND(" ",A420)+1, 100))</f>
        <v>1</v>
      </c>
      <c r="E420" s="6">
        <f>SUMIFS('Raw Data Sales'!M420:M1418, 'Raw Data Sales'!H420:H1418, LEFT(A420, FIND(" ",A420)-1), 'Raw Data Sales'!I420:I1418, MID(A420, FIND(" ",A420)+1, 100))</f>
        <v>32</v>
      </c>
      <c r="F420" s="6">
        <f>SUMIFS('Raw Data Sales'!N420:N1418, 'Raw Data Sales'!H420:H1418, LEFT(A420, FIND(" ",A420)-1), 'Raw Data Sales'!I420:I1418, MID(A420, FIND(" ",A420)+1, 100))</f>
        <v>9436.32</v>
      </c>
    </row>
    <row r="421">
      <c r="A421" s="6" t="str">
        <f>IFERROR(__xludf.DUMMYFUNCTION("UNIQUE('Raw Data Sales'!H421:H1419 &amp; "" "" &amp; 'Raw Data Sales'!I421:I1419)"),"Hersch Wildblood")</f>
        <v>Hersch Wildblood</v>
      </c>
      <c r="B421" s="6" t="str">
        <f>IFERROR(__xludf.DUMMYFUNCTION("""COMPUTED_VALUE"""),"hwildbloodbn@shop-pro.jp")</f>
        <v>hwildbloodbn@shop-pro.jp</v>
      </c>
      <c r="C421" s="6" t="str">
        <f>IFERROR(__xludf.DUMMYFUNCTION("""COMPUTED_VALUE"""),"Poland")</f>
        <v>Poland</v>
      </c>
      <c r="D421" s="6">
        <f>COUNTIFS('Raw Data Sales'!H421:H1419, LEFT(A421, FIND(" ",A421)-1), 'Raw Data Sales'!I421:I1419, MID(A421, FIND(" ",A421)+1, 100))</f>
        <v>1</v>
      </c>
      <c r="E421" s="6">
        <f>SUMIFS('Raw Data Sales'!M421:M1419, 'Raw Data Sales'!H421:H1419, LEFT(A421, FIND(" ",A421)-1), 'Raw Data Sales'!I421:I1419, MID(A421, FIND(" ",A421)+1, 100))</f>
        <v>73</v>
      </c>
      <c r="F421" s="6">
        <f>SUMIFS('Raw Data Sales'!N421:N1419, 'Raw Data Sales'!H421:H1419, LEFT(A421, FIND(" ",A421)-1), 'Raw Data Sales'!I421:I1419, MID(A421, FIND(" ",A421)+1, 100))</f>
        <v>9808.28</v>
      </c>
    </row>
    <row r="422">
      <c r="A422" s="6" t="str">
        <f>IFERROR(__xludf.DUMMYFUNCTION("UNIQUE('Raw Data Sales'!H422:H1420 &amp; "" "" &amp; 'Raw Data Sales'!I422:I1420)"),"Winfield McAree")</f>
        <v>Winfield McAree</v>
      </c>
      <c r="B422" s="6" t="str">
        <f>IFERROR(__xludf.DUMMYFUNCTION("""COMPUTED_VALUE"""),"wmcareebo@ftc.gov")</f>
        <v>wmcareebo@ftc.gov</v>
      </c>
      <c r="C422" s="6" t="str">
        <f>IFERROR(__xludf.DUMMYFUNCTION("""COMPUTED_VALUE"""),"China")</f>
        <v>China</v>
      </c>
      <c r="D422" s="6">
        <f>COUNTIFS('Raw Data Sales'!H422:H1420, LEFT(A422, FIND(" ",A422)-1), 'Raw Data Sales'!I422:I1420, MID(A422, FIND(" ",A422)+1, 100))</f>
        <v>1</v>
      </c>
      <c r="E422" s="6">
        <f>SUMIFS('Raw Data Sales'!M422:M1420, 'Raw Data Sales'!H422:H1420, LEFT(A422, FIND(" ",A422)-1), 'Raw Data Sales'!I422:I1420, MID(A422, FIND(" ",A422)+1, 100))</f>
        <v>54</v>
      </c>
      <c r="F422" s="6">
        <f>SUMIFS('Raw Data Sales'!N422:N1420, 'Raw Data Sales'!H422:H1420, LEFT(A422, FIND(" ",A422)-1), 'Raw Data Sales'!I422:I1420, MID(A422, FIND(" ",A422)+1, 100))</f>
        <v>846.46</v>
      </c>
    </row>
    <row r="423">
      <c r="A423" s="6" t="str">
        <f>IFERROR(__xludf.DUMMYFUNCTION("UNIQUE('Raw Data Sales'!H423:H1421 &amp; "" "" &amp; 'Raw Data Sales'!I423:I1421)"),"Ramona Spieght")</f>
        <v>Ramona Spieght</v>
      </c>
      <c r="B423" s="6" t="str">
        <f>IFERROR(__xludf.DUMMYFUNCTION("""COMPUTED_VALUE"""),"rspieghtbp@blogtalkradio.com")</f>
        <v>rspieghtbp@blogtalkradio.com</v>
      </c>
      <c r="C423" s="6" t="str">
        <f>IFERROR(__xludf.DUMMYFUNCTION("""COMPUTED_VALUE"""),"Indonesia")</f>
        <v>Indonesia</v>
      </c>
      <c r="D423" s="6">
        <f>COUNTIFS('Raw Data Sales'!H423:H1421, LEFT(A423, FIND(" ",A423)-1), 'Raw Data Sales'!I423:I1421, MID(A423, FIND(" ",A423)+1, 100))</f>
        <v>1</v>
      </c>
      <c r="E423" s="6">
        <f>SUMIFS('Raw Data Sales'!M423:M1421, 'Raw Data Sales'!H423:H1421, LEFT(A423, FIND(" ",A423)-1), 'Raw Data Sales'!I423:I1421, MID(A423, FIND(" ",A423)+1, 100))</f>
        <v>74</v>
      </c>
      <c r="F423" s="6">
        <f>SUMIFS('Raw Data Sales'!N423:N1421, 'Raw Data Sales'!H423:H1421, LEFT(A423, FIND(" ",A423)-1), 'Raw Data Sales'!I423:I1421, MID(A423, FIND(" ",A423)+1, 100))</f>
        <v>6704.76</v>
      </c>
    </row>
    <row r="424">
      <c r="A424" s="6" t="str">
        <f>IFERROR(__xludf.DUMMYFUNCTION("UNIQUE('Raw Data Sales'!H424:H1422 &amp; "" "" &amp; 'Raw Data Sales'!I424:I1422)"),"Ada Andersen")</f>
        <v>Ada Andersen</v>
      </c>
      <c r="B424" s="6" t="str">
        <f>IFERROR(__xludf.DUMMYFUNCTION("""COMPUTED_VALUE"""),"aandersenbq@pagesperso-orange.fr")</f>
        <v>aandersenbq@pagesperso-orange.fr</v>
      </c>
      <c r="C424" s="6" t="str">
        <f>IFERROR(__xludf.DUMMYFUNCTION("""COMPUTED_VALUE"""),"China")</f>
        <v>China</v>
      </c>
      <c r="D424" s="6">
        <f>COUNTIFS('Raw Data Sales'!H424:H1422, LEFT(A424, FIND(" ",A424)-1), 'Raw Data Sales'!I424:I1422, MID(A424, FIND(" ",A424)+1, 100))</f>
        <v>1</v>
      </c>
      <c r="E424" s="6">
        <f>SUMIFS('Raw Data Sales'!M424:M1422, 'Raw Data Sales'!H424:H1422, LEFT(A424, FIND(" ",A424)-1), 'Raw Data Sales'!I424:I1422, MID(A424, FIND(" ",A424)+1, 100))</f>
        <v>83</v>
      </c>
      <c r="F424" s="6">
        <f>SUMIFS('Raw Data Sales'!N424:N1422, 'Raw Data Sales'!H424:H1422, LEFT(A424, FIND(" ",A424)-1), 'Raw Data Sales'!I424:I1422, MID(A424, FIND(" ",A424)+1, 100))</f>
        <v>6147.31</v>
      </c>
    </row>
    <row r="425">
      <c r="A425" s="6" t="str">
        <f>IFERROR(__xludf.DUMMYFUNCTION("UNIQUE('Raw Data Sales'!H425:H1423 &amp; "" "" &amp; 'Raw Data Sales'!I425:I1423)"),"Boigie Clover")</f>
        <v>Boigie Clover</v>
      </c>
      <c r="B425" s="6" t="str">
        <f>IFERROR(__xludf.DUMMYFUNCTION("""COMPUTED_VALUE"""),"bcloverbr@networksolutions.com")</f>
        <v>bcloverbr@networksolutions.com</v>
      </c>
      <c r="C425" s="6" t="str">
        <f>IFERROR(__xludf.DUMMYFUNCTION("""COMPUTED_VALUE"""),"Peru")</f>
        <v>Peru</v>
      </c>
      <c r="D425" s="6">
        <f>COUNTIFS('Raw Data Sales'!H425:H1423, LEFT(A425, FIND(" ",A425)-1), 'Raw Data Sales'!I425:I1423, MID(A425, FIND(" ",A425)+1, 100))</f>
        <v>1</v>
      </c>
      <c r="E425" s="6">
        <f>SUMIFS('Raw Data Sales'!M425:M1423, 'Raw Data Sales'!H425:H1423, LEFT(A425, FIND(" ",A425)-1), 'Raw Data Sales'!I425:I1423, MID(A425, FIND(" ",A425)+1, 100))</f>
        <v>90</v>
      </c>
      <c r="F425" s="6">
        <f>SUMIFS('Raw Data Sales'!N425:N1423, 'Raw Data Sales'!H425:H1423, LEFT(A425, FIND(" ",A425)-1), 'Raw Data Sales'!I425:I1423, MID(A425, FIND(" ",A425)+1, 100))</f>
        <v>6587.34</v>
      </c>
    </row>
    <row r="426">
      <c r="A426" s="6" t="str">
        <f>IFERROR(__xludf.DUMMYFUNCTION("UNIQUE('Raw Data Sales'!H426:H1424 &amp; "" "" &amp; 'Raw Data Sales'!I426:I1424)"),"Licha Glassford")</f>
        <v>Licha Glassford</v>
      </c>
      <c r="B426" s="6" t="str">
        <f>IFERROR(__xludf.DUMMYFUNCTION("""COMPUTED_VALUE"""),"lglassfordbs@java.com")</f>
        <v>lglassfordbs@java.com</v>
      </c>
      <c r="C426" s="6" t="str">
        <f>IFERROR(__xludf.DUMMYFUNCTION("""COMPUTED_VALUE"""),"Brazil")</f>
        <v>Brazil</v>
      </c>
      <c r="D426" s="6">
        <f>COUNTIFS('Raw Data Sales'!H426:H1424, LEFT(A426, FIND(" ",A426)-1), 'Raw Data Sales'!I426:I1424, MID(A426, FIND(" ",A426)+1, 100))</f>
        <v>1</v>
      </c>
      <c r="E426" s="6">
        <f>SUMIFS('Raw Data Sales'!M426:M1424, 'Raw Data Sales'!H426:H1424, LEFT(A426, FIND(" ",A426)-1), 'Raw Data Sales'!I426:I1424, MID(A426, FIND(" ",A426)+1, 100))</f>
        <v>63</v>
      </c>
      <c r="F426" s="6">
        <f>SUMIFS('Raw Data Sales'!N426:N1424, 'Raw Data Sales'!H426:H1424, LEFT(A426, FIND(" ",A426)-1), 'Raw Data Sales'!I426:I1424, MID(A426, FIND(" ",A426)+1, 100))</f>
        <v>2479.6</v>
      </c>
    </row>
    <row r="427">
      <c r="A427" s="6" t="str">
        <f>IFERROR(__xludf.DUMMYFUNCTION("UNIQUE('Raw Data Sales'!H427:H1425 &amp; "" "" &amp; 'Raw Data Sales'!I427:I1425)"),"Jerrilyn Kosiada")</f>
        <v>Jerrilyn Kosiada</v>
      </c>
      <c r="B427" s="6" t="str">
        <f>IFERROR(__xludf.DUMMYFUNCTION("""COMPUTED_VALUE"""),"jkosiadabt@yale.edu")</f>
        <v>jkosiadabt@yale.edu</v>
      </c>
      <c r="C427" s="6" t="str">
        <f>IFERROR(__xludf.DUMMYFUNCTION("""COMPUTED_VALUE"""),"Malaysia")</f>
        <v>Malaysia</v>
      </c>
      <c r="D427" s="6">
        <f>COUNTIFS('Raw Data Sales'!H427:H1425, LEFT(A427, FIND(" ",A427)-1), 'Raw Data Sales'!I427:I1425, MID(A427, FIND(" ",A427)+1, 100))</f>
        <v>1</v>
      </c>
      <c r="E427" s="6">
        <f>SUMIFS('Raw Data Sales'!M427:M1425, 'Raw Data Sales'!H427:H1425, LEFT(A427, FIND(" ",A427)-1), 'Raw Data Sales'!I427:I1425, MID(A427, FIND(" ",A427)+1, 100))</f>
        <v>96</v>
      </c>
      <c r="F427" s="6">
        <f>SUMIFS('Raw Data Sales'!N427:N1425, 'Raw Data Sales'!H427:H1425, LEFT(A427, FIND(" ",A427)-1), 'Raw Data Sales'!I427:I1425, MID(A427, FIND(" ",A427)+1, 100))</f>
        <v>2368.6</v>
      </c>
    </row>
    <row r="428">
      <c r="A428" s="6" t="str">
        <f>IFERROR(__xludf.DUMMYFUNCTION("UNIQUE('Raw Data Sales'!H428:H1426 &amp; "" "" &amp; 'Raw Data Sales'!I428:I1426)"),"Lowe Juschka")</f>
        <v>Lowe Juschka</v>
      </c>
      <c r="B428" s="6" t="str">
        <f>IFERROR(__xludf.DUMMYFUNCTION("""COMPUTED_VALUE"""),"ljuschkabu@accuweather.com")</f>
        <v>ljuschkabu@accuweather.com</v>
      </c>
      <c r="C428" s="6" t="str">
        <f>IFERROR(__xludf.DUMMYFUNCTION("""COMPUTED_VALUE"""),"Indonesia")</f>
        <v>Indonesia</v>
      </c>
      <c r="D428" s="6">
        <f>COUNTIFS('Raw Data Sales'!H428:H1426, LEFT(A428, FIND(" ",A428)-1), 'Raw Data Sales'!I428:I1426, MID(A428, FIND(" ",A428)+1, 100))</f>
        <v>1</v>
      </c>
      <c r="E428" s="6">
        <f>SUMIFS('Raw Data Sales'!M428:M1426, 'Raw Data Sales'!H428:H1426, LEFT(A428, FIND(" ",A428)-1), 'Raw Data Sales'!I428:I1426, MID(A428, FIND(" ",A428)+1, 100))</f>
        <v>8</v>
      </c>
      <c r="F428" s="6">
        <f>SUMIFS('Raw Data Sales'!N428:N1426, 'Raw Data Sales'!H428:H1426, LEFT(A428, FIND(" ",A428)-1), 'Raw Data Sales'!I428:I1426, MID(A428, FIND(" ",A428)+1, 100))</f>
        <v>4271.63</v>
      </c>
    </row>
    <row r="429">
      <c r="A429" s="6" t="str">
        <f>IFERROR(__xludf.DUMMYFUNCTION("UNIQUE('Raw Data Sales'!H429:H1427 &amp; "" "" &amp; 'Raw Data Sales'!I429:I1427)"),"Rivi McCall")</f>
        <v>Rivi McCall</v>
      </c>
      <c r="B429" s="6" t="str">
        <f>IFERROR(__xludf.DUMMYFUNCTION("""COMPUTED_VALUE"""),"rmccallbv@smugmug.com")</f>
        <v>rmccallbv@smugmug.com</v>
      </c>
      <c r="C429" s="6" t="str">
        <f>IFERROR(__xludf.DUMMYFUNCTION("""COMPUTED_VALUE"""),"China")</f>
        <v>China</v>
      </c>
      <c r="D429" s="6">
        <f>COUNTIFS('Raw Data Sales'!H429:H1427, LEFT(A429, FIND(" ",A429)-1), 'Raw Data Sales'!I429:I1427, MID(A429, FIND(" ",A429)+1, 100))</f>
        <v>1</v>
      </c>
      <c r="E429" s="6">
        <f>SUMIFS('Raw Data Sales'!M429:M1427, 'Raw Data Sales'!H429:H1427, LEFT(A429, FIND(" ",A429)-1), 'Raw Data Sales'!I429:I1427, MID(A429, FIND(" ",A429)+1, 100))</f>
        <v>7</v>
      </c>
      <c r="F429" s="6">
        <f>SUMIFS('Raw Data Sales'!N429:N1427, 'Raw Data Sales'!H429:H1427, LEFT(A429, FIND(" ",A429)-1), 'Raw Data Sales'!I429:I1427, MID(A429, FIND(" ",A429)+1, 100))</f>
        <v>1542.19</v>
      </c>
    </row>
    <row r="430">
      <c r="A430" s="6" t="str">
        <f>IFERROR(__xludf.DUMMYFUNCTION("UNIQUE('Raw Data Sales'!H430:H1428 &amp; "" "" &amp; 'Raw Data Sales'!I430:I1428)"),"Cheri Alsina")</f>
        <v>Cheri Alsina</v>
      </c>
      <c r="B430" s="6" t="str">
        <f>IFERROR(__xludf.DUMMYFUNCTION("""COMPUTED_VALUE"""),"calsinabw@fda.gov")</f>
        <v>calsinabw@fda.gov</v>
      </c>
      <c r="C430" s="6" t="str">
        <f>IFERROR(__xludf.DUMMYFUNCTION("""COMPUTED_VALUE"""),"Poland")</f>
        <v>Poland</v>
      </c>
      <c r="D430" s="6">
        <f>COUNTIFS('Raw Data Sales'!H430:H1428, LEFT(A430, FIND(" ",A430)-1), 'Raw Data Sales'!I430:I1428, MID(A430, FIND(" ",A430)+1, 100))</f>
        <v>1</v>
      </c>
      <c r="E430" s="6">
        <f>SUMIFS('Raw Data Sales'!M430:M1428, 'Raw Data Sales'!H430:H1428, LEFT(A430, FIND(" ",A430)-1), 'Raw Data Sales'!I430:I1428, MID(A430, FIND(" ",A430)+1, 100))</f>
        <v>64</v>
      </c>
      <c r="F430" s="6">
        <f>SUMIFS('Raw Data Sales'!N430:N1428, 'Raw Data Sales'!H430:H1428, LEFT(A430, FIND(" ",A430)-1), 'Raw Data Sales'!I430:I1428, MID(A430, FIND(" ",A430)+1, 100))</f>
        <v>4108.93</v>
      </c>
    </row>
    <row r="431">
      <c r="A431" s="6" t="str">
        <f>IFERROR(__xludf.DUMMYFUNCTION("UNIQUE('Raw Data Sales'!H431:H1429 &amp; "" "" &amp; 'Raw Data Sales'!I431:I1429)"),"Lucille Yole")</f>
        <v>Lucille Yole</v>
      </c>
      <c r="B431" s="6" t="str">
        <f>IFERROR(__xludf.DUMMYFUNCTION("""COMPUTED_VALUE"""),"lyolebx@alexa.com")</f>
        <v>lyolebx@alexa.com</v>
      </c>
      <c r="C431" s="6" t="str">
        <f>IFERROR(__xludf.DUMMYFUNCTION("""COMPUTED_VALUE"""),"Philippines")</f>
        <v>Philippines</v>
      </c>
      <c r="D431" s="6">
        <f>COUNTIFS('Raw Data Sales'!H431:H1429, LEFT(A431, FIND(" ",A431)-1), 'Raw Data Sales'!I431:I1429, MID(A431, FIND(" ",A431)+1, 100))</f>
        <v>1</v>
      </c>
      <c r="E431" s="6">
        <f>SUMIFS('Raw Data Sales'!M431:M1429, 'Raw Data Sales'!H431:H1429, LEFT(A431, FIND(" ",A431)-1), 'Raw Data Sales'!I431:I1429, MID(A431, FIND(" ",A431)+1, 100))</f>
        <v>96</v>
      </c>
      <c r="F431" s="6">
        <f>SUMIFS('Raw Data Sales'!N431:N1429, 'Raw Data Sales'!H431:H1429, LEFT(A431, FIND(" ",A431)-1), 'Raw Data Sales'!I431:I1429, MID(A431, FIND(" ",A431)+1, 100))</f>
        <v>4760.96</v>
      </c>
    </row>
    <row r="432">
      <c r="A432" s="6" t="str">
        <f>IFERROR(__xludf.DUMMYFUNCTION("UNIQUE('Raw Data Sales'!H432:H1430 &amp; "" "" &amp; 'Raw Data Sales'!I432:I1430)"),"Bogey Caudrelier")</f>
        <v>Bogey Caudrelier</v>
      </c>
      <c r="B432" s="6" t="str">
        <f>IFERROR(__xludf.DUMMYFUNCTION("""COMPUTED_VALUE"""),"bcaudrelierby@msu.edu")</f>
        <v>bcaudrelierby@msu.edu</v>
      </c>
      <c r="C432" s="6" t="str">
        <f>IFERROR(__xludf.DUMMYFUNCTION("""COMPUTED_VALUE"""),"Venezuela")</f>
        <v>Venezuela</v>
      </c>
      <c r="D432" s="6">
        <f>COUNTIFS('Raw Data Sales'!H432:H1430, LEFT(A432, FIND(" ",A432)-1), 'Raw Data Sales'!I432:I1430, MID(A432, FIND(" ",A432)+1, 100))</f>
        <v>1</v>
      </c>
      <c r="E432" s="6">
        <f>SUMIFS('Raw Data Sales'!M432:M1430, 'Raw Data Sales'!H432:H1430, LEFT(A432, FIND(" ",A432)-1), 'Raw Data Sales'!I432:I1430, MID(A432, FIND(" ",A432)+1, 100))</f>
        <v>87</v>
      </c>
      <c r="F432" s="6">
        <f>SUMIFS('Raw Data Sales'!N432:N1430, 'Raw Data Sales'!H432:H1430, LEFT(A432, FIND(" ",A432)-1), 'Raw Data Sales'!I432:I1430, MID(A432, FIND(" ",A432)+1, 100))</f>
        <v>9990.5</v>
      </c>
    </row>
    <row r="433">
      <c r="A433" s="6" t="str">
        <f>IFERROR(__xludf.DUMMYFUNCTION("UNIQUE('Raw Data Sales'!H433:H1431 &amp; "" "" &amp; 'Raw Data Sales'!I433:I1431)"),"Norrie Bodker")</f>
        <v>Norrie Bodker</v>
      </c>
      <c r="B433" s="6" t="str">
        <f>IFERROR(__xludf.DUMMYFUNCTION("""COMPUTED_VALUE"""),"nbodkerbz@mysql.com")</f>
        <v>nbodkerbz@mysql.com</v>
      </c>
      <c r="C433" s="6" t="str">
        <f>IFERROR(__xludf.DUMMYFUNCTION("""COMPUTED_VALUE"""),"Slovenia")</f>
        <v>Slovenia</v>
      </c>
      <c r="D433" s="6">
        <f>COUNTIFS('Raw Data Sales'!H433:H1431, LEFT(A433, FIND(" ",A433)-1), 'Raw Data Sales'!I433:I1431, MID(A433, FIND(" ",A433)+1, 100))</f>
        <v>1</v>
      </c>
      <c r="E433" s="6">
        <f>SUMIFS('Raw Data Sales'!M433:M1431, 'Raw Data Sales'!H433:H1431, LEFT(A433, FIND(" ",A433)-1), 'Raw Data Sales'!I433:I1431, MID(A433, FIND(" ",A433)+1, 100))</f>
        <v>58</v>
      </c>
      <c r="F433" s="6">
        <f>SUMIFS('Raw Data Sales'!N433:N1431, 'Raw Data Sales'!H433:H1431, LEFT(A433, FIND(" ",A433)-1), 'Raw Data Sales'!I433:I1431, MID(A433, FIND(" ",A433)+1, 100))</f>
        <v>4494.12</v>
      </c>
    </row>
    <row r="434">
      <c r="A434" s="6" t="str">
        <f>IFERROR(__xludf.DUMMYFUNCTION("UNIQUE('Raw Data Sales'!H434:H1432 &amp; "" "" &amp; 'Raw Data Sales'!I434:I1432)"),"Vladamir McQuorkell")</f>
        <v>Vladamir McQuorkell</v>
      </c>
      <c r="B434" s="6" t="str">
        <f>IFERROR(__xludf.DUMMYFUNCTION("""COMPUTED_VALUE"""),"vmcquorkellc0@phpbb.com")</f>
        <v>vmcquorkellc0@phpbb.com</v>
      </c>
      <c r="C434" s="6" t="str">
        <f>IFERROR(__xludf.DUMMYFUNCTION("""COMPUTED_VALUE"""),"China")</f>
        <v>China</v>
      </c>
      <c r="D434" s="6">
        <f>COUNTIFS('Raw Data Sales'!H434:H1432, LEFT(A434, FIND(" ",A434)-1), 'Raw Data Sales'!I434:I1432, MID(A434, FIND(" ",A434)+1, 100))</f>
        <v>1</v>
      </c>
      <c r="E434" s="6">
        <f>SUMIFS('Raw Data Sales'!M434:M1432, 'Raw Data Sales'!H434:H1432, LEFT(A434, FIND(" ",A434)-1), 'Raw Data Sales'!I434:I1432, MID(A434, FIND(" ",A434)+1, 100))</f>
        <v>86</v>
      </c>
      <c r="F434" s="6">
        <f>SUMIFS('Raw Data Sales'!N434:N1432, 'Raw Data Sales'!H434:H1432, LEFT(A434, FIND(" ",A434)-1), 'Raw Data Sales'!I434:I1432, MID(A434, FIND(" ",A434)+1, 100))</f>
        <v>3613.78</v>
      </c>
    </row>
    <row r="435">
      <c r="A435" s="6" t="str">
        <f>IFERROR(__xludf.DUMMYFUNCTION("UNIQUE('Raw Data Sales'!H435:H1433 &amp; "" "" &amp; 'Raw Data Sales'!I435:I1433)"),"Abra Massen")</f>
        <v>Abra Massen</v>
      </c>
      <c r="B435" s="6" t="str">
        <f>IFERROR(__xludf.DUMMYFUNCTION("""COMPUTED_VALUE"""),"amassenc1@xrea.com")</f>
        <v>amassenc1@xrea.com</v>
      </c>
      <c r="C435" s="6" t="str">
        <f>IFERROR(__xludf.DUMMYFUNCTION("""COMPUTED_VALUE"""),"China")</f>
        <v>China</v>
      </c>
      <c r="D435" s="6">
        <f>COUNTIFS('Raw Data Sales'!H435:H1433, LEFT(A435, FIND(" ",A435)-1), 'Raw Data Sales'!I435:I1433, MID(A435, FIND(" ",A435)+1, 100))</f>
        <v>1</v>
      </c>
      <c r="E435" s="6">
        <f>SUMIFS('Raw Data Sales'!M435:M1433, 'Raw Data Sales'!H435:H1433, LEFT(A435, FIND(" ",A435)-1), 'Raw Data Sales'!I435:I1433, MID(A435, FIND(" ",A435)+1, 100))</f>
        <v>8</v>
      </c>
      <c r="F435" s="6">
        <f>SUMIFS('Raw Data Sales'!N435:N1433, 'Raw Data Sales'!H435:H1433, LEFT(A435, FIND(" ",A435)-1), 'Raw Data Sales'!I435:I1433, MID(A435, FIND(" ",A435)+1, 100))</f>
        <v>142.21</v>
      </c>
    </row>
    <row r="436">
      <c r="A436" s="6" t="str">
        <f>IFERROR(__xludf.DUMMYFUNCTION("UNIQUE('Raw Data Sales'!H436:H1434 &amp; "" "" &amp; 'Raw Data Sales'!I436:I1434)"),"Mariejeanne Stonebanks")</f>
        <v>Mariejeanne Stonebanks</v>
      </c>
      <c r="B436" s="6" t="str">
        <f>IFERROR(__xludf.DUMMYFUNCTION("""COMPUTED_VALUE"""),"mstonebanksc2@youku.com")</f>
        <v>mstonebanksc2@youku.com</v>
      </c>
      <c r="C436" s="6" t="str">
        <f>IFERROR(__xludf.DUMMYFUNCTION("""COMPUTED_VALUE"""),"China")</f>
        <v>China</v>
      </c>
      <c r="D436" s="6">
        <f>COUNTIFS('Raw Data Sales'!H436:H1434, LEFT(A436, FIND(" ",A436)-1), 'Raw Data Sales'!I436:I1434, MID(A436, FIND(" ",A436)+1, 100))</f>
        <v>1</v>
      </c>
      <c r="E436" s="6">
        <f>SUMIFS('Raw Data Sales'!M436:M1434, 'Raw Data Sales'!H436:H1434, LEFT(A436, FIND(" ",A436)-1), 'Raw Data Sales'!I436:I1434, MID(A436, FIND(" ",A436)+1, 100))</f>
        <v>38</v>
      </c>
      <c r="F436" s="6">
        <f>SUMIFS('Raw Data Sales'!N436:N1434, 'Raw Data Sales'!H436:H1434, LEFT(A436, FIND(" ",A436)-1), 'Raw Data Sales'!I436:I1434, MID(A436, FIND(" ",A436)+1, 100))</f>
        <v>9748.73</v>
      </c>
    </row>
    <row r="437">
      <c r="A437" s="6" t="str">
        <f>IFERROR(__xludf.DUMMYFUNCTION("UNIQUE('Raw Data Sales'!H437:H1435 &amp; "" "" &amp; 'Raw Data Sales'!I437:I1435)"),"Yelena Shelborne")</f>
        <v>Yelena Shelborne</v>
      </c>
      <c r="B437" s="6" t="str">
        <f>IFERROR(__xludf.DUMMYFUNCTION("""COMPUTED_VALUE"""),"yshelbornec3@ameblo.jp")</f>
        <v>yshelbornec3@ameblo.jp</v>
      </c>
      <c r="C437" s="6" t="str">
        <f>IFERROR(__xludf.DUMMYFUNCTION("""COMPUTED_VALUE"""),"Portugal")</f>
        <v>Portugal</v>
      </c>
      <c r="D437" s="6">
        <f>COUNTIFS('Raw Data Sales'!H437:H1435, LEFT(A437, FIND(" ",A437)-1), 'Raw Data Sales'!I437:I1435, MID(A437, FIND(" ",A437)+1, 100))</f>
        <v>1</v>
      </c>
      <c r="E437" s="6">
        <f>SUMIFS('Raw Data Sales'!M437:M1435, 'Raw Data Sales'!H437:H1435, LEFT(A437, FIND(" ",A437)-1), 'Raw Data Sales'!I437:I1435, MID(A437, FIND(" ",A437)+1, 100))</f>
        <v>41</v>
      </c>
      <c r="F437" s="6">
        <f>SUMIFS('Raw Data Sales'!N437:N1435, 'Raw Data Sales'!H437:H1435, LEFT(A437, FIND(" ",A437)-1), 'Raw Data Sales'!I437:I1435, MID(A437, FIND(" ",A437)+1, 100))</f>
        <v>7217.83</v>
      </c>
    </row>
    <row r="438">
      <c r="A438" s="6" t="str">
        <f>IFERROR(__xludf.DUMMYFUNCTION("UNIQUE('Raw Data Sales'!H438:H1436 &amp; "" "" &amp; 'Raw Data Sales'!I438:I1436)"),"Adda Esmonde")</f>
        <v>Adda Esmonde</v>
      </c>
      <c r="B438" s="6" t="str">
        <f>IFERROR(__xludf.DUMMYFUNCTION("""COMPUTED_VALUE"""),"aesmondec4@pcworld.com")</f>
        <v>aesmondec4@pcworld.com</v>
      </c>
      <c r="C438" s="6" t="str">
        <f>IFERROR(__xludf.DUMMYFUNCTION("""COMPUTED_VALUE"""),"China")</f>
        <v>China</v>
      </c>
      <c r="D438" s="6">
        <f>COUNTIFS('Raw Data Sales'!H438:H1436, LEFT(A438, FIND(" ",A438)-1), 'Raw Data Sales'!I438:I1436, MID(A438, FIND(" ",A438)+1, 100))</f>
        <v>1</v>
      </c>
      <c r="E438" s="6">
        <f>SUMIFS('Raw Data Sales'!M438:M1436, 'Raw Data Sales'!H438:H1436, LEFT(A438, FIND(" ",A438)-1), 'Raw Data Sales'!I438:I1436, MID(A438, FIND(" ",A438)+1, 100))</f>
        <v>81</v>
      </c>
      <c r="F438" s="6">
        <f>SUMIFS('Raw Data Sales'!N438:N1436, 'Raw Data Sales'!H438:H1436, LEFT(A438, FIND(" ",A438)-1), 'Raw Data Sales'!I438:I1436, MID(A438, FIND(" ",A438)+1, 100))</f>
        <v>1534.58</v>
      </c>
    </row>
    <row r="439">
      <c r="A439" s="6" t="str">
        <f>IFERROR(__xludf.DUMMYFUNCTION("UNIQUE('Raw Data Sales'!H439:H1437 &amp; "" "" &amp; 'Raw Data Sales'!I439:I1437)"),"Waneta Cunney")</f>
        <v>Waneta Cunney</v>
      </c>
      <c r="B439" s="6" t="str">
        <f>IFERROR(__xludf.DUMMYFUNCTION("""COMPUTED_VALUE"""),"wcunneyc5@bloglovin.com")</f>
        <v>wcunneyc5@bloglovin.com</v>
      </c>
      <c r="C439" s="6" t="str">
        <f>IFERROR(__xludf.DUMMYFUNCTION("""COMPUTED_VALUE"""),"Central African Republic")</f>
        <v>Central African Republic</v>
      </c>
      <c r="D439" s="6">
        <f>COUNTIFS('Raw Data Sales'!H439:H1437, LEFT(A439, FIND(" ",A439)-1), 'Raw Data Sales'!I439:I1437, MID(A439, FIND(" ",A439)+1, 100))</f>
        <v>1</v>
      </c>
      <c r="E439" s="6">
        <f>SUMIFS('Raw Data Sales'!M439:M1437, 'Raw Data Sales'!H439:H1437, LEFT(A439, FIND(" ",A439)-1), 'Raw Data Sales'!I439:I1437, MID(A439, FIND(" ",A439)+1, 100))</f>
        <v>3</v>
      </c>
      <c r="F439" s="6">
        <f>SUMIFS('Raw Data Sales'!N439:N1437, 'Raw Data Sales'!H439:H1437, LEFT(A439, FIND(" ",A439)-1), 'Raw Data Sales'!I439:I1437, MID(A439, FIND(" ",A439)+1, 100))</f>
        <v>3063.33</v>
      </c>
    </row>
    <row r="440">
      <c r="A440" s="6" t="str">
        <f>IFERROR(__xludf.DUMMYFUNCTION("UNIQUE('Raw Data Sales'!H440:H1438 &amp; "" "" &amp; 'Raw Data Sales'!I440:I1438)"),"Rafaelita Brownfield")</f>
        <v>Rafaelita Brownfield</v>
      </c>
      <c r="B440" s="6" t="str">
        <f>IFERROR(__xludf.DUMMYFUNCTION("""COMPUTED_VALUE"""),"rbrownfieldc6@archive.org")</f>
        <v>rbrownfieldc6@archive.org</v>
      </c>
      <c r="C440" s="6" t="str">
        <f>IFERROR(__xludf.DUMMYFUNCTION("""COMPUTED_VALUE"""),"Israel")</f>
        <v>Israel</v>
      </c>
      <c r="D440" s="6">
        <f>COUNTIFS('Raw Data Sales'!H440:H1438, LEFT(A440, FIND(" ",A440)-1), 'Raw Data Sales'!I440:I1438, MID(A440, FIND(" ",A440)+1, 100))</f>
        <v>1</v>
      </c>
      <c r="E440" s="6">
        <f>SUMIFS('Raw Data Sales'!M440:M1438, 'Raw Data Sales'!H440:H1438, LEFT(A440, FIND(" ",A440)-1), 'Raw Data Sales'!I440:I1438, MID(A440, FIND(" ",A440)+1, 100))</f>
        <v>77</v>
      </c>
      <c r="F440" s="6">
        <f>SUMIFS('Raw Data Sales'!N440:N1438, 'Raw Data Sales'!H440:H1438, LEFT(A440, FIND(" ",A440)-1), 'Raw Data Sales'!I440:I1438, MID(A440, FIND(" ",A440)+1, 100))</f>
        <v>8578.82</v>
      </c>
    </row>
    <row r="441">
      <c r="A441" s="6" t="str">
        <f>IFERROR(__xludf.DUMMYFUNCTION("UNIQUE('Raw Data Sales'!H441:H1439 &amp; "" "" &amp; 'Raw Data Sales'!I441:I1439)"),"Fae Croft")</f>
        <v>Fae Croft</v>
      </c>
      <c r="B441" s="6" t="str">
        <f>IFERROR(__xludf.DUMMYFUNCTION("""COMPUTED_VALUE"""),"fcroftc7@nationalgeographic.com")</f>
        <v>fcroftc7@nationalgeographic.com</v>
      </c>
      <c r="C441" s="6" t="str">
        <f>IFERROR(__xludf.DUMMYFUNCTION("""COMPUTED_VALUE"""),"Cyprus")</f>
        <v>Cyprus</v>
      </c>
      <c r="D441" s="6">
        <f>COUNTIFS('Raw Data Sales'!H441:H1439, LEFT(A441, FIND(" ",A441)-1), 'Raw Data Sales'!I441:I1439, MID(A441, FIND(" ",A441)+1, 100))</f>
        <v>1</v>
      </c>
      <c r="E441" s="6">
        <f>SUMIFS('Raw Data Sales'!M441:M1439, 'Raw Data Sales'!H441:H1439, LEFT(A441, FIND(" ",A441)-1), 'Raw Data Sales'!I441:I1439, MID(A441, FIND(" ",A441)+1, 100))</f>
        <v>56</v>
      </c>
      <c r="F441" s="6">
        <f>SUMIFS('Raw Data Sales'!N441:N1439, 'Raw Data Sales'!H441:H1439, LEFT(A441, FIND(" ",A441)-1), 'Raw Data Sales'!I441:I1439, MID(A441, FIND(" ",A441)+1, 100))</f>
        <v>5812.56</v>
      </c>
    </row>
    <row r="442">
      <c r="A442" s="6" t="str">
        <f>IFERROR(__xludf.DUMMYFUNCTION("UNIQUE('Raw Data Sales'!H442:H1440 &amp; "" "" &amp; 'Raw Data Sales'!I442:I1440)"),"Tobie Martschik")</f>
        <v>Tobie Martschik</v>
      </c>
      <c r="B442" s="6" t="str">
        <f>IFERROR(__xludf.DUMMYFUNCTION("""COMPUTED_VALUE"""),"tmartschikc8@cargocollective.com")</f>
        <v>tmartschikc8@cargocollective.com</v>
      </c>
      <c r="C442" s="6" t="str">
        <f>IFERROR(__xludf.DUMMYFUNCTION("""COMPUTED_VALUE"""),"Italy")</f>
        <v>Italy</v>
      </c>
      <c r="D442" s="6">
        <f>COUNTIFS('Raw Data Sales'!H442:H1440, LEFT(A442, FIND(" ",A442)-1), 'Raw Data Sales'!I442:I1440, MID(A442, FIND(" ",A442)+1, 100))</f>
        <v>1</v>
      </c>
      <c r="E442" s="6">
        <f>SUMIFS('Raw Data Sales'!M442:M1440, 'Raw Data Sales'!H442:H1440, LEFT(A442, FIND(" ",A442)-1), 'Raw Data Sales'!I442:I1440, MID(A442, FIND(" ",A442)+1, 100))</f>
        <v>8</v>
      </c>
      <c r="F442" s="6">
        <f>SUMIFS('Raw Data Sales'!N442:N1440, 'Raw Data Sales'!H442:H1440, LEFT(A442, FIND(" ",A442)-1), 'Raw Data Sales'!I442:I1440, MID(A442, FIND(" ",A442)+1, 100))</f>
        <v>2874.93</v>
      </c>
    </row>
    <row r="443">
      <c r="A443" s="6" t="str">
        <f>IFERROR(__xludf.DUMMYFUNCTION("UNIQUE('Raw Data Sales'!H443:H1441 &amp; "" "" &amp; 'Raw Data Sales'!I443:I1441)"),"Marj Smales")</f>
        <v>Marj Smales</v>
      </c>
      <c r="B443" s="6" t="str">
        <f>IFERROR(__xludf.DUMMYFUNCTION("""COMPUTED_VALUE"""),"msmalesc9@blog.com")</f>
        <v>msmalesc9@blog.com</v>
      </c>
      <c r="C443" s="6" t="str">
        <f>IFERROR(__xludf.DUMMYFUNCTION("""COMPUTED_VALUE"""),"North Korea")</f>
        <v>North Korea</v>
      </c>
      <c r="D443" s="6">
        <f>COUNTIFS('Raw Data Sales'!H443:H1441, LEFT(A443, FIND(" ",A443)-1), 'Raw Data Sales'!I443:I1441, MID(A443, FIND(" ",A443)+1, 100))</f>
        <v>1</v>
      </c>
      <c r="E443" s="6">
        <f>SUMIFS('Raw Data Sales'!M443:M1441, 'Raw Data Sales'!H443:H1441, LEFT(A443, FIND(" ",A443)-1), 'Raw Data Sales'!I443:I1441, MID(A443, FIND(" ",A443)+1, 100))</f>
        <v>24</v>
      </c>
      <c r="F443" s="6">
        <f>SUMIFS('Raw Data Sales'!N443:N1441, 'Raw Data Sales'!H443:H1441, LEFT(A443, FIND(" ",A443)-1), 'Raw Data Sales'!I443:I1441, MID(A443, FIND(" ",A443)+1, 100))</f>
        <v>6552.88</v>
      </c>
    </row>
    <row r="444">
      <c r="A444" s="6" t="str">
        <f>IFERROR(__xludf.DUMMYFUNCTION("UNIQUE('Raw Data Sales'!H444:H1442 &amp; "" "" &amp; 'Raw Data Sales'!I444:I1442)"),"Bailie Edgin")</f>
        <v>Bailie Edgin</v>
      </c>
      <c r="B444" s="6" t="str">
        <f>IFERROR(__xludf.DUMMYFUNCTION("""COMPUTED_VALUE"""),"bedginca@ted.com")</f>
        <v>bedginca@ted.com</v>
      </c>
      <c r="C444" s="6" t="str">
        <f>IFERROR(__xludf.DUMMYFUNCTION("""COMPUTED_VALUE"""),"Indonesia")</f>
        <v>Indonesia</v>
      </c>
      <c r="D444" s="6">
        <f>COUNTIFS('Raw Data Sales'!H444:H1442, LEFT(A444, FIND(" ",A444)-1), 'Raw Data Sales'!I444:I1442, MID(A444, FIND(" ",A444)+1, 100))</f>
        <v>1</v>
      </c>
      <c r="E444" s="6">
        <f>SUMIFS('Raw Data Sales'!M444:M1442, 'Raw Data Sales'!H444:H1442, LEFT(A444, FIND(" ",A444)-1), 'Raw Data Sales'!I444:I1442, MID(A444, FIND(" ",A444)+1, 100))</f>
        <v>46</v>
      </c>
      <c r="F444" s="6">
        <f>SUMIFS('Raw Data Sales'!N444:N1442, 'Raw Data Sales'!H444:H1442, LEFT(A444, FIND(" ",A444)-1), 'Raw Data Sales'!I444:I1442, MID(A444, FIND(" ",A444)+1, 100))</f>
        <v>1658.1</v>
      </c>
    </row>
    <row r="445">
      <c r="A445" s="6" t="str">
        <f>IFERROR(__xludf.DUMMYFUNCTION("UNIQUE('Raw Data Sales'!H445:H1443 &amp; "" "" &amp; 'Raw Data Sales'!I445:I1443)"),"Hope Togwell")</f>
        <v>Hope Togwell</v>
      </c>
      <c r="B445" s="6" t="str">
        <f>IFERROR(__xludf.DUMMYFUNCTION("""COMPUTED_VALUE"""),"htogwellcb@nba.com")</f>
        <v>htogwellcb@nba.com</v>
      </c>
      <c r="C445" s="6" t="str">
        <f>IFERROR(__xludf.DUMMYFUNCTION("""COMPUTED_VALUE"""),"Portugal")</f>
        <v>Portugal</v>
      </c>
      <c r="D445" s="6">
        <f>COUNTIFS('Raw Data Sales'!H445:H1443, LEFT(A445, FIND(" ",A445)-1), 'Raw Data Sales'!I445:I1443, MID(A445, FIND(" ",A445)+1, 100))</f>
        <v>1</v>
      </c>
      <c r="E445" s="6">
        <f>SUMIFS('Raw Data Sales'!M445:M1443, 'Raw Data Sales'!H445:H1443, LEFT(A445, FIND(" ",A445)-1), 'Raw Data Sales'!I445:I1443, MID(A445, FIND(" ",A445)+1, 100))</f>
        <v>52</v>
      </c>
      <c r="F445" s="6">
        <f>SUMIFS('Raw Data Sales'!N445:N1443, 'Raw Data Sales'!H445:H1443, LEFT(A445, FIND(" ",A445)-1), 'Raw Data Sales'!I445:I1443, MID(A445, FIND(" ",A445)+1, 100))</f>
        <v>7896.73</v>
      </c>
    </row>
    <row r="446">
      <c r="A446" s="6" t="str">
        <f>IFERROR(__xludf.DUMMYFUNCTION("UNIQUE('Raw Data Sales'!H446:H1444 &amp; "" "" &amp; 'Raw Data Sales'!I446:I1444)"),"Tommy Haith")</f>
        <v>Tommy Haith</v>
      </c>
      <c r="B446" s="6" t="str">
        <f>IFERROR(__xludf.DUMMYFUNCTION("""COMPUTED_VALUE"""),"thaithcc@google.com.br")</f>
        <v>thaithcc@google.com.br</v>
      </c>
      <c r="C446" s="6" t="str">
        <f>IFERROR(__xludf.DUMMYFUNCTION("""COMPUTED_VALUE"""),"China")</f>
        <v>China</v>
      </c>
      <c r="D446" s="6">
        <f>COUNTIFS('Raw Data Sales'!H446:H1444, LEFT(A446, FIND(" ",A446)-1), 'Raw Data Sales'!I446:I1444, MID(A446, FIND(" ",A446)+1, 100))</f>
        <v>1</v>
      </c>
      <c r="E446" s="6">
        <f>SUMIFS('Raw Data Sales'!M446:M1444, 'Raw Data Sales'!H446:H1444, LEFT(A446, FIND(" ",A446)-1), 'Raw Data Sales'!I446:I1444, MID(A446, FIND(" ",A446)+1, 100))</f>
        <v>83</v>
      </c>
      <c r="F446" s="6">
        <f>SUMIFS('Raw Data Sales'!N446:N1444, 'Raw Data Sales'!H446:H1444, LEFT(A446, FIND(" ",A446)-1), 'Raw Data Sales'!I446:I1444, MID(A446, FIND(" ",A446)+1, 100))</f>
        <v>4940.81</v>
      </c>
    </row>
    <row r="447">
      <c r="A447" s="6" t="str">
        <f>IFERROR(__xludf.DUMMYFUNCTION("UNIQUE('Raw Data Sales'!H447:H1445 &amp; "" "" &amp; 'Raw Data Sales'!I447:I1445)"),"Erwin Dowtry")</f>
        <v>Erwin Dowtry</v>
      </c>
      <c r="B447" s="6" t="str">
        <f>IFERROR(__xludf.DUMMYFUNCTION("""COMPUTED_VALUE"""),"edowtrycd@sakura.ne.jp")</f>
        <v>edowtrycd@sakura.ne.jp</v>
      </c>
      <c r="C447" s="6" t="str">
        <f>IFERROR(__xludf.DUMMYFUNCTION("""COMPUTED_VALUE"""),"Ukraine")</f>
        <v>Ukraine</v>
      </c>
      <c r="D447" s="6">
        <f>COUNTIFS('Raw Data Sales'!H447:H1445, LEFT(A447, FIND(" ",A447)-1), 'Raw Data Sales'!I447:I1445, MID(A447, FIND(" ",A447)+1, 100))</f>
        <v>1</v>
      </c>
      <c r="E447" s="6">
        <f>SUMIFS('Raw Data Sales'!M447:M1445, 'Raw Data Sales'!H447:H1445, LEFT(A447, FIND(" ",A447)-1), 'Raw Data Sales'!I447:I1445, MID(A447, FIND(" ",A447)+1, 100))</f>
        <v>18</v>
      </c>
      <c r="F447" s="6">
        <f>SUMIFS('Raw Data Sales'!N447:N1445, 'Raw Data Sales'!H447:H1445, LEFT(A447, FIND(" ",A447)-1), 'Raw Data Sales'!I447:I1445, MID(A447, FIND(" ",A447)+1, 100))</f>
        <v>4684.6</v>
      </c>
    </row>
    <row r="448">
      <c r="A448" s="6" t="str">
        <f>IFERROR(__xludf.DUMMYFUNCTION("UNIQUE('Raw Data Sales'!H448:H1446 &amp; "" "" &amp; 'Raw Data Sales'!I448:I1446)"),"Salomi Stammers")</f>
        <v>Salomi Stammers</v>
      </c>
      <c r="B448" s="6" t="str">
        <f>IFERROR(__xludf.DUMMYFUNCTION("""COMPUTED_VALUE"""),"sstammersce@hhs.gov")</f>
        <v>sstammersce@hhs.gov</v>
      </c>
      <c r="C448" s="6" t="str">
        <f>IFERROR(__xludf.DUMMYFUNCTION("""COMPUTED_VALUE"""),"Iceland")</f>
        <v>Iceland</v>
      </c>
      <c r="D448" s="6">
        <f>COUNTIFS('Raw Data Sales'!H448:H1446, LEFT(A448, FIND(" ",A448)-1), 'Raw Data Sales'!I448:I1446, MID(A448, FIND(" ",A448)+1, 100))</f>
        <v>1</v>
      </c>
      <c r="E448" s="6">
        <f>SUMIFS('Raw Data Sales'!M448:M1446, 'Raw Data Sales'!H448:H1446, LEFT(A448, FIND(" ",A448)-1), 'Raw Data Sales'!I448:I1446, MID(A448, FIND(" ",A448)+1, 100))</f>
        <v>85</v>
      </c>
      <c r="F448" s="6">
        <f>SUMIFS('Raw Data Sales'!N448:N1446, 'Raw Data Sales'!H448:H1446, LEFT(A448, FIND(" ",A448)-1), 'Raw Data Sales'!I448:I1446, MID(A448, FIND(" ",A448)+1, 100))</f>
        <v>5596.89</v>
      </c>
    </row>
    <row r="449">
      <c r="A449" s="6" t="str">
        <f>IFERROR(__xludf.DUMMYFUNCTION("UNIQUE('Raw Data Sales'!H449:H1447 &amp; "" "" &amp; 'Raw Data Sales'!I449:I1447)"),"Lynda Starcks")</f>
        <v>Lynda Starcks</v>
      </c>
      <c r="B449" s="6" t="str">
        <f>IFERROR(__xludf.DUMMYFUNCTION("""COMPUTED_VALUE"""),"lstarckscf@theglobeandmail.com")</f>
        <v>lstarckscf@theglobeandmail.com</v>
      </c>
      <c r="C449" s="6" t="str">
        <f>IFERROR(__xludf.DUMMYFUNCTION("""COMPUTED_VALUE"""),"Indonesia")</f>
        <v>Indonesia</v>
      </c>
      <c r="D449" s="6">
        <f>COUNTIFS('Raw Data Sales'!H449:H1447, LEFT(A449, FIND(" ",A449)-1), 'Raw Data Sales'!I449:I1447, MID(A449, FIND(" ",A449)+1, 100))</f>
        <v>1</v>
      </c>
      <c r="E449" s="6">
        <f>SUMIFS('Raw Data Sales'!M449:M1447, 'Raw Data Sales'!H449:H1447, LEFT(A449, FIND(" ",A449)-1), 'Raw Data Sales'!I449:I1447, MID(A449, FIND(" ",A449)+1, 100))</f>
        <v>53</v>
      </c>
      <c r="F449" s="6">
        <f>SUMIFS('Raw Data Sales'!N449:N1447, 'Raw Data Sales'!H449:H1447, LEFT(A449, FIND(" ",A449)-1), 'Raw Data Sales'!I449:I1447, MID(A449, FIND(" ",A449)+1, 100))</f>
        <v>5025.03</v>
      </c>
    </row>
    <row r="450">
      <c r="A450" s="6" t="str">
        <f>IFERROR(__xludf.DUMMYFUNCTION("UNIQUE('Raw Data Sales'!H450:H1448 &amp; "" "" &amp; 'Raw Data Sales'!I450:I1448)"),"Ailis Ibbott")</f>
        <v>Ailis Ibbott</v>
      </c>
      <c r="B450" s="6" t="str">
        <f>IFERROR(__xludf.DUMMYFUNCTION("""COMPUTED_VALUE"""),"aibbottcg@webmd.com")</f>
        <v>aibbottcg@webmd.com</v>
      </c>
      <c r="C450" s="6" t="str">
        <f>IFERROR(__xludf.DUMMYFUNCTION("""COMPUTED_VALUE"""),"Portugal")</f>
        <v>Portugal</v>
      </c>
      <c r="D450" s="6">
        <f>COUNTIFS('Raw Data Sales'!H450:H1448, LEFT(A450, FIND(" ",A450)-1), 'Raw Data Sales'!I450:I1448, MID(A450, FIND(" ",A450)+1, 100))</f>
        <v>1</v>
      </c>
      <c r="E450" s="6">
        <f>SUMIFS('Raw Data Sales'!M450:M1448, 'Raw Data Sales'!H450:H1448, LEFT(A450, FIND(" ",A450)-1), 'Raw Data Sales'!I450:I1448, MID(A450, FIND(" ",A450)+1, 100))</f>
        <v>84</v>
      </c>
      <c r="F450" s="6">
        <f>SUMIFS('Raw Data Sales'!N450:N1448, 'Raw Data Sales'!H450:H1448, LEFT(A450, FIND(" ",A450)-1), 'Raw Data Sales'!I450:I1448, MID(A450, FIND(" ",A450)+1, 100))</f>
        <v>641.61</v>
      </c>
    </row>
    <row r="451">
      <c r="A451" s="6" t="str">
        <f>IFERROR(__xludf.DUMMYFUNCTION("UNIQUE('Raw Data Sales'!H451:H1449 &amp; "" "" &amp; 'Raw Data Sales'!I451:I1449)"),"Abbye Labbati")</f>
        <v>Abbye Labbati</v>
      </c>
      <c r="B451" s="6" t="str">
        <f>IFERROR(__xludf.DUMMYFUNCTION("""COMPUTED_VALUE"""),"alabbatich@flickr.com")</f>
        <v>alabbatich@flickr.com</v>
      </c>
      <c r="C451" s="6" t="str">
        <f>IFERROR(__xludf.DUMMYFUNCTION("""COMPUTED_VALUE"""),"Honduras")</f>
        <v>Honduras</v>
      </c>
      <c r="D451" s="6">
        <f>COUNTIFS('Raw Data Sales'!H451:H1449, LEFT(A451, FIND(" ",A451)-1), 'Raw Data Sales'!I451:I1449, MID(A451, FIND(" ",A451)+1, 100))</f>
        <v>1</v>
      </c>
      <c r="E451" s="6">
        <f>SUMIFS('Raw Data Sales'!M451:M1449, 'Raw Data Sales'!H451:H1449, LEFT(A451, FIND(" ",A451)-1), 'Raw Data Sales'!I451:I1449, MID(A451, FIND(" ",A451)+1, 100))</f>
        <v>5</v>
      </c>
      <c r="F451" s="6">
        <f>SUMIFS('Raw Data Sales'!N451:N1449, 'Raw Data Sales'!H451:H1449, LEFT(A451, FIND(" ",A451)-1), 'Raw Data Sales'!I451:I1449, MID(A451, FIND(" ",A451)+1, 100))</f>
        <v>3002.4</v>
      </c>
    </row>
    <row r="452">
      <c r="A452" s="6" t="str">
        <f>IFERROR(__xludf.DUMMYFUNCTION("UNIQUE('Raw Data Sales'!H452:H1450 &amp; "" "" &amp; 'Raw Data Sales'!I452:I1450)"),"Natividad Ible")</f>
        <v>Natividad Ible</v>
      </c>
      <c r="B452" s="6" t="str">
        <f>IFERROR(__xludf.DUMMYFUNCTION("""COMPUTED_VALUE"""),"nibleci@cargocollective.com")</f>
        <v>nibleci@cargocollective.com</v>
      </c>
      <c r="C452" s="6" t="str">
        <f>IFERROR(__xludf.DUMMYFUNCTION("""COMPUTED_VALUE"""),"Ireland")</f>
        <v>Ireland</v>
      </c>
      <c r="D452" s="6">
        <f>COUNTIFS('Raw Data Sales'!H452:H1450, LEFT(A452, FIND(" ",A452)-1), 'Raw Data Sales'!I452:I1450, MID(A452, FIND(" ",A452)+1, 100))</f>
        <v>1</v>
      </c>
      <c r="E452" s="6">
        <f>SUMIFS('Raw Data Sales'!M452:M1450, 'Raw Data Sales'!H452:H1450, LEFT(A452, FIND(" ",A452)-1), 'Raw Data Sales'!I452:I1450, MID(A452, FIND(" ",A452)+1, 100))</f>
        <v>57</v>
      </c>
      <c r="F452" s="6">
        <f>SUMIFS('Raw Data Sales'!N452:N1450, 'Raw Data Sales'!H452:H1450, LEFT(A452, FIND(" ",A452)-1), 'Raw Data Sales'!I452:I1450, MID(A452, FIND(" ",A452)+1, 100))</f>
        <v>5911.63</v>
      </c>
    </row>
    <row r="453">
      <c r="A453" s="6" t="str">
        <f>IFERROR(__xludf.DUMMYFUNCTION("UNIQUE('Raw Data Sales'!H453:H1451 &amp; "" "" &amp; 'Raw Data Sales'!I453:I1451)"),"Natal Loding")</f>
        <v>Natal Loding</v>
      </c>
      <c r="B453" s="6" t="str">
        <f>IFERROR(__xludf.DUMMYFUNCTION("""COMPUTED_VALUE"""),"nlodingcj@macromedia.com")</f>
        <v>nlodingcj@macromedia.com</v>
      </c>
      <c r="C453" s="6" t="str">
        <f>IFERROR(__xludf.DUMMYFUNCTION("""COMPUTED_VALUE"""),"China")</f>
        <v>China</v>
      </c>
      <c r="D453" s="6">
        <f>COUNTIFS('Raw Data Sales'!H453:H1451, LEFT(A453, FIND(" ",A453)-1), 'Raw Data Sales'!I453:I1451, MID(A453, FIND(" ",A453)+1, 100))</f>
        <v>1</v>
      </c>
      <c r="E453" s="6">
        <f>SUMIFS('Raw Data Sales'!M453:M1451, 'Raw Data Sales'!H453:H1451, LEFT(A453, FIND(" ",A453)-1), 'Raw Data Sales'!I453:I1451, MID(A453, FIND(" ",A453)+1, 100))</f>
        <v>68</v>
      </c>
      <c r="F453" s="6">
        <f>SUMIFS('Raw Data Sales'!N453:N1451, 'Raw Data Sales'!H453:H1451, LEFT(A453, FIND(" ",A453)-1), 'Raw Data Sales'!I453:I1451, MID(A453, FIND(" ",A453)+1, 100))</f>
        <v>4424.3</v>
      </c>
    </row>
    <row r="454">
      <c r="A454" s="6" t="str">
        <f>IFERROR(__xludf.DUMMYFUNCTION("UNIQUE('Raw Data Sales'!H454:H1452 &amp; "" "" &amp; 'Raw Data Sales'!I454:I1452)"),"Ephrayim Sapena")</f>
        <v>Ephrayim Sapena</v>
      </c>
      <c r="B454" s="6" t="str">
        <f>IFERROR(__xludf.DUMMYFUNCTION("""COMPUTED_VALUE"""),"esapenack@mit.edu")</f>
        <v>esapenack@mit.edu</v>
      </c>
      <c r="C454" s="6" t="str">
        <f>IFERROR(__xludf.DUMMYFUNCTION("""COMPUTED_VALUE"""),"China")</f>
        <v>China</v>
      </c>
      <c r="D454" s="6">
        <f>COUNTIFS('Raw Data Sales'!H454:H1452, LEFT(A454, FIND(" ",A454)-1), 'Raw Data Sales'!I454:I1452, MID(A454, FIND(" ",A454)+1, 100))</f>
        <v>1</v>
      </c>
      <c r="E454" s="6">
        <f>SUMIFS('Raw Data Sales'!M454:M1452, 'Raw Data Sales'!H454:H1452, LEFT(A454, FIND(" ",A454)-1), 'Raw Data Sales'!I454:I1452, MID(A454, FIND(" ",A454)+1, 100))</f>
        <v>80</v>
      </c>
      <c r="F454" s="6">
        <f>SUMIFS('Raw Data Sales'!N454:N1452, 'Raw Data Sales'!H454:H1452, LEFT(A454, FIND(" ",A454)-1), 'Raw Data Sales'!I454:I1452, MID(A454, FIND(" ",A454)+1, 100))</f>
        <v>9582.89</v>
      </c>
    </row>
    <row r="455">
      <c r="A455" s="6" t="str">
        <f>IFERROR(__xludf.DUMMYFUNCTION("UNIQUE('Raw Data Sales'!H455:H1453 &amp; "" "" &amp; 'Raw Data Sales'!I455:I1453)"),"Madison Gazzard")</f>
        <v>Madison Gazzard</v>
      </c>
      <c r="B455" s="6" t="str">
        <f>IFERROR(__xludf.DUMMYFUNCTION("""COMPUTED_VALUE"""),"mgazzardcl@webs.com")</f>
        <v>mgazzardcl@webs.com</v>
      </c>
      <c r="C455" s="6" t="str">
        <f>IFERROR(__xludf.DUMMYFUNCTION("""COMPUTED_VALUE"""),"Nigeria")</f>
        <v>Nigeria</v>
      </c>
      <c r="D455" s="6">
        <f>COUNTIFS('Raw Data Sales'!H455:H1453, LEFT(A455, FIND(" ",A455)-1), 'Raw Data Sales'!I455:I1453, MID(A455, FIND(" ",A455)+1, 100))</f>
        <v>1</v>
      </c>
      <c r="E455" s="6">
        <f>SUMIFS('Raw Data Sales'!M455:M1453, 'Raw Data Sales'!H455:H1453, LEFT(A455, FIND(" ",A455)-1), 'Raw Data Sales'!I455:I1453, MID(A455, FIND(" ",A455)+1, 100))</f>
        <v>91</v>
      </c>
      <c r="F455" s="6">
        <f>SUMIFS('Raw Data Sales'!N455:N1453, 'Raw Data Sales'!H455:H1453, LEFT(A455, FIND(" ",A455)-1), 'Raw Data Sales'!I455:I1453, MID(A455, FIND(" ",A455)+1, 100))</f>
        <v>4341.91</v>
      </c>
    </row>
    <row r="456">
      <c r="A456" s="6" t="str">
        <f>IFERROR(__xludf.DUMMYFUNCTION("UNIQUE('Raw Data Sales'!H456:H1454 &amp; "" "" &amp; 'Raw Data Sales'!I456:I1454)"),"Belvia Dussy")</f>
        <v>Belvia Dussy</v>
      </c>
      <c r="B456" s="6" t="str">
        <f>IFERROR(__xludf.DUMMYFUNCTION("""COMPUTED_VALUE"""),"bdussycm@wikispaces.com")</f>
        <v>bdussycm@wikispaces.com</v>
      </c>
      <c r="C456" s="6" t="str">
        <f>IFERROR(__xludf.DUMMYFUNCTION("""COMPUTED_VALUE"""),"China")</f>
        <v>China</v>
      </c>
      <c r="D456" s="6">
        <f>COUNTIFS('Raw Data Sales'!H456:H1454, LEFT(A456, FIND(" ",A456)-1), 'Raw Data Sales'!I456:I1454, MID(A456, FIND(" ",A456)+1, 100))</f>
        <v>1</v>
      </c>
      <c r="E456" s="6">
        <f>SUMIFS('Raw Data Sales'!M456:M1454, 'Raw Data Sales'!H456:H1454, LEFT(A456, FIND(" ",A456)-1), 'Raw Data Sales'!I456:I1454, MID(A456, FIND(" ",A456)+1, 100))</f>
        <v>93</v>
      </c>
      <c r="F456" s="6">
        <f>SUMIFS('Raw Data Sales'!N456:N1454, 'Raw Data Sales'!H456:H1454, LEFT(A456, FIND(" ",A456)-1), 'Raw Data Sales'!I456:I1454, MID(A456, FIND(" ",A456)+1, 100))</f>
        <v>1368.94</v>
      </c>
    </row>
    <row r="457">
      <c r="A457" s="6" t="str">
        <f>IFERROR(__xludf.DUMMYFUNCTION("UNIQUE('Raw Data Sales'!H457:H1455 &amp; "" "" &amp; 'Raw Data Sales'!I457:I1455)"),"Tonye Roydon")</f>
        <v>Tonye Roydon</v>
      </c>
      <c r="B457" s="6" t="str">
        <f>IFERROR(__xludf.DUMMYFUNCTION("""COMPUTED_VALUE"""),"troydoncn@si.edu")</f>
        <v>troydoncn@si.edu</v>
      </c>
      <c r="C457" s="6" t="str">
        <f>IFERROR(__xludf.DUMMYFUNCTION("""COMPUTED_VALUE"""),"Ukraine")</f>
        <v>Ukraine</v>
      </c>
      <c r="D457" s="6">
        <f>COUNTIFS('Raw Data Sales'!H457:H1455, LEFT(A457, FIND(" ",A457)-1), 'Raw Data Sales'!I457:I1455, MID(A457, FIND(" ",A457)+1, 100))</f>
        <v>1</v>
      </c>
      <c r="E457" s="6">
        <f>SUMIFS('Raw Data Sales'!M457:M1455, 'Raw Data Sales'!H457:H1455, LEFT(A457, FIND(" ",A457)-1), 'Raw Data Sales'!I457:I1455, MID(A457, FIND(" ",A457)+1, 100))</f>
        <v>42</v>
      </c>
      <c r="F457" s="6">
        <f>SUMIFS('Raw Data Sales'!N457:N1455, 'Raw Data Sales'!H457:H1455, LEFT(A457, FIND(" ",A457)-1), 'Raw Data Sales'!I457:I1455, MID(A457, FIND(" ",A457)+1, 100))</f>
        <v>5096.17</v>
      </c>
    </row>
    <row r="458">
      <c r="A458" s="6" t="str">
        <f>IFERROR(__xludf.DUMMYFUNCTION("UNIQUE('Raw Data Sales'!H458:H1456 &amp; "" "" &amp; 'Raw Data Sales'!I458:I1456)"),"Twila Purcell")</f>
        <v>Twila Purcell</v>
      </c>
      <c r="B458" s="6" t="str">
        <f>IFERROR(__xludf.DUMMYFUNCTION("""COMPUTED_VALUE"""),"tpurcellco@about.me")</f>
        <v>tpurcellco@about.me</v>
      </c>
      <c r="C458" s="6" t="str">
        <f>IFERROR(__xludf.DUMMYFUNCTION("""COMPUTED_VALUE"""),"Thailand")</f>
        <v>Thailand</v>
      </c>
      <c r="D458" s="6">
        <f>COUNTIFS('Raw Data Sales'!H458:H1456, LEFT(A458, FIND(" ",A458)-1), 'Raw Data Sales'!I458:I1456, MID(A458, FIND(" ",A458)+1, 100))</f>
        <v>1</v>
      </c>
      <c r="E458" s="6">
        <f>SUMIFS('Raw Data Sales'!M458:M1456, 'Raw Data Sales'!H458:H1456, LEFT(A458, FIND(" ",A458)-1), 'Raw Data Sales'!I458:I1456, MID(A458, FIND(" ",A458)+1, 100))</f>
        <v>27</v>
      </c>
      <c r="F458" s="6">
        <f>SUMIFS('Raw Data Sales'!N458:N1456, 'Raw Data Sales'!H458:H1456, LEFT(A458, FIND(" ",A458)-1), 'Raw Data Sales'!I458:I1456, MID(A458, FIND(" ",A458)+1, 100))</f>
        <v>5861.37</v>
      </c>
    </row>
    <row r="459">
      <c r="A459" s="6" t="str">
        <f>IFERROR(__xludf.DUMMYFUNCTION("UNIQUE('Raw Data Sales'!H459:H1457 &amp; "" "" &amp; 'Raw Data Sales'!I459:I1457)"),"Farlee McGeechan")</f>
        <v>Farlee McGeechan</v>
      </c>
      <c r="B459" s="6" t="str">
        <f>IFERROR(__xludf.DUMMYFUNCTION("""COMPUTED_VALUE"""),"fmcgeechancp@slashdot.org")</f>
        <v>fmcgeechancp@slashdot.org</v>
      </c>
      <c r="C459" s="6" t="str">
        <f>IFERROR(__xludf.DUMMYFUNCTION("""COMPUTED_VALUE"""),"South Korea")</f>
        <v>South Korea</v>
      </c>
      <c r="D459" s="6">
        <f>COUNTIFS('Raw Data Sales'!H459:H1457, LEFT(A459, FIND(" ",A459)-1), 'Raw Data Sales'!I459:I1457, MID(A459, FIND(" ",A459)+1, 100))</f>
        <v>1</v>
      </c>
      <c r="E459" s="6">
        <f>SUMIFS('Raw Data Sales'!M459:M1457, 'Raw Data Sales'!H459:H1457, LEFT(A459, FIND(" ",A459)-1), 'Raw Data Sales'!I459:I1457, MID(A459, FIND(" ",A459)+1, 100))</f>
        <v>77</v>
      </c>
      <c r="F459" s="6">
        <f>SUMIFS('Raw Data Sales'!N459:N1457, 'Raw Data Sales'!H459:H1457, LEFT(A459, FIND(" ",A459)-1), 'Raw Data Sales'!I459:I1457, MID(A459, FIND(" ",A459)+1, 100))</f>
        <v>8582.82</v>
      </c>
    </row>
    <row r="460">
      <c r="A460" s="6" t="str">
        <f>IFERROR(__xludf.DUMMYFUNCTION("UNIQUE('Raw Data Sales'!H460:H1458 &amp; "" "" &amp; 'Raw Data Sales'!I460:I1458)"),"Rowland Rennie")</f>
        <v>Rowland Rennie</v>
      </c>
      <c r="B460" s="6" t="str">
        <f>IFERROR(__xludf.DUMMYFUNCTION("""COMPUTED_VALUE"""),"rrenniecq@drupal.org")</f>
        <v>rrenniecq@drupal.org</v>
      </c>
      <c r="C460" s="6" t="str">
        <f>IFERROR(__xludf.DUMMYFUNCTION("""COMPUTED_VALUE"""),"Zambia")</f>
        <v>Zambia</v>
      </c>
      <c r="D460" s="6">
        <f>COUNTIFS('Raw Data Sales'!H460:H1458, LEFT(A460, FIND(" ",A460)-1), 'Raw Data Sales'!I460:I1458, MID(A460, FIND(" ",A460)+1, 100))</f>
        <v>1</v>
      </c>
      <c r="E460" s="6">
        <f>SUMIFS('Raw Data Sales'!M460:M1458, 'Raw Data Sales'!H460:H1458, LEFT(A460, FIND(" ",A460)-1), 'Raw Data Sales'!I460:I1458, MID(A460, FIND(" ",A460)+1, 100))</f>
        <v>49</v>
      </c>
      <c r="F460" s="6">
        <f>SUMIFS('Raw Data Sales'!N460:N1458, 'Raw Data Sales'!H460:H1458, LEFT(A460, FIND(" ",A460)-1), 'Raw Data Sales'!I460:I1458, MID(A460, FIND(" ",A460)+1, 100))</f>
        <v>2382.15</v>
      </c>
    </row>
    <row r="461">
      <c r="A461" s="6" t="str">
        <f>IFERROR(__xludf.DUMMYFUNCTION("UNIQUE('Raw Data Sales'!H461:H1459 &amp; "" "" &amp; 'Raw Data Sales'!I461:I1459)"),"Davon Beards")</f>
        <v>Davon Beards</v>
      </c>
      <c r="B461" s="6" t="str">
        <f>IFERROR(__xludf.DUMMYFUNCTION("""COMPUTED_VALUE"""),"dbeardscr@google.pl")</f>
        <v>dbeardscr@google.pl</v>
      </c>
      <c r="C461" s="6" t="str">
        <f>IFERROR(__xludf.DUMMYFUNCTION("""COMPUTED_VALUE"""),"China")</f>
        <v>China</v>
      </c>
      <c r="D461" s="6">
        <f>COUNTIFS('Raw Data Sales'!H461:H1459, LEFT(A461, FIND(" ",A461)-1), 'Raw Data Sales'!I461:I1459, MID(A461, FIND(" ",A461)+1, 100))</f>
        <v>1</v>
      </c>
      <c r="E461" s="6">
        <f>SUMIFS('Raw Data Sales'!M461:M1459, 'Raw Data Sales'!H461:H1459, LEFT(A461, FIND(" ",A461)-1), 'Raw Data Sales'!I461:I1459, MID(A461, FIND(" ",A461)+1, 100))</f>
        <v>37</v>
      </c>
      <c r="F461" s="6">
        <f>SUMIFS('Raw Data Sales'!N461:N1459, 'Raw Data Sales'!H461:H1459, LEFT(A461, FIND(" ",A461)-1), 'Raw Data Sales'!I461:I1459, MID(A461, FIND(" ",A461)+1, 100))</f>
        <v>1714.33</v>
      </c>
    </row>
    <row r="462">
      <c r="A462" s="6" t="str">
        <f>IFERROR(__xludf.DUMMYFUNCTION("UNIQUE('Raw Data Sales'!H462:H1460 &amp; "" "" &amp; 'Raw Data Sales'!I462:I1460)"),"Esme Petrovsky")</f>
        <v>Esme Petrovsky</v>
      </c>
      <c r="B462" s="6" t="str">
        <f>IFERROR(__xludf.DUMMYFUNCTION("""COMPUTED_VALUE"""),"epetrovskycs@springer.com")</f>
        <v>epetrovskycs@springer.com</v>
      </c>
      <c r="C462" s="6" t="str">
        <f>IFERROR(__xludf.DUMMYFUNCTION("""COMPUTED_VALUE"""),"Poland")</f>
        <v>Poland</v>
      </c>
      <c r="D462" s="6">
        <f>COUNTIFS('Raw Data Sales'!H462:H1460, LEFT(A462, FIND(" ",A462)-1), 'Raw Data Sales'!I462:I1460, MID(A462, FIND(" ",A462)+1, 100))</f>
        <v>1</v>
      </c>
      <c r="E462" s="6">
        <f>SUMIFS('Raw Data Sales'!M462:M1460, 'Raw Data Sales'!H462:H1460, LEFT(A462, FIND(" ",A462)-1), 'Raw Data Sales'!I462:I1460, MID(A462, FIND(" ",A462)+1, 100))</f>
        <v>94</v>
      </c>
      <c r="F462" s="6">
        <f>SUMIFS('Raw Data Sales'!N462:N1460, 'Raw Data Sales'!H462:H1460, LEFT(A462, FIND(" ",A462)-1), 'Raw Data Sales'!I462:I1460, MID(A462, FIND(" ",A462)+1, 100))</f>
        <v>8674.65</v>
      </c>
    </row>
    <row r="463">
      <c r="A463" s="6" t="str">
        <f>IFERROR(__xludf.DUMMYFUNCTION("UNIQUE('Raw Data Sales'!H463:H1461 &amp; "" "" &amp; 'Raw Data Sales'!I463:I1461)"),"Bernard Rolinson")</f>
        <v>Bernard Rolinson</v>
      </c>
      <c r="B463" s="6" t="str">
        <f>IFERROR(__xludf.DUMMYFUNCTION("""COMPUTED_VALUE"""),"brolinsonct@about.me")</f>
        <v>brolinsonct@about.me</v>
      </c>
      <c r="C463" s="6" t="str">
        <f>IFERROR(__xludf.DUMMYFUNCTION("""COMPUTED_VALUE"""),"Canada")</f>
        <v>Canada</v>
      </c>
      <c r="D463" s="6">
        <f>COUNTIFS('Raw Data Sales'!H463:H1461, LEFT(A463, FIND(" ",A463)-1), 'Raw Data Sales'!I463:I1461, MID(A463, FIND(" ",A463)+1, 100))</f>
        <v>1</v>
      </c>
      <c r="E463" s="6">
        <f>SUMIFS('Raw Data Sales'!M463:M1461, 'Raw Data Sales'!H463:H1461, LEFT(A463, FIND(" ",A463)-1), 'Raw Data Sales'!I463:I1461, MID(A463, FIND(" ",A463)+1, 100))</f>
        <v>67</v>
      </c>
      <c r="F463" s="6">
        <f>SUMIFS('Raw Data Sales'!N463:N1461, 'Raw Data Sales'!H463:H1461, LEFT(A463, FIND(" ",A463)-1), 'Raw Data Sales'!I463:I1461, MID(A463, FIND(" ",A463)+1, 100))</f>
        <v>8069.09</v>
      </c>
    </row>
    <row r="464">
      <c r="A464" s="6" t="str">
        <f>IFERROR(__xludf.DUMMYFUNCTION("UNIQUE('Raw Data Sales'!H464:H1462 &amp; "" "" &amp; 'Raw Data Sales'!I464:I1462)"),"Fifi Mehew")</f>
        <v>Fifi Mehew</v>
      </c>
      <c r="B464" s="6" t="str">
        <f>IFERROR(__xludf.DUMMYFUNCTION("""COMPUTED_VALUE"""),"fmehewcu@disqus.com")</f>
        <v>fmehewcu@disqus.com</v>
      </c>
      <c r="C464" s="6" t="str">
        <f>IFERROR(__xludf.DUMMYFUNCTION("""COMPUTED_VALUE"""),"China")</f>
        <v>China</v>
      </c>
      <c r="D464" s="6">
        <f>COUNTIFS('Raw Data Sales'!H464:H1462, LEFT(A464, FIND(" ",A464)-1), 'Raw Data Sales'!I464:I1462, MID(A464, FIND(" ",A464)+1, 100))</f>
        <v>1</v>
      </c>
      <c r="E464" s="6">
        <f>SUMIFS('Raw Data Sales'!M464:M1462, 'Raw Data Sales'!H464:H1462, LEFT(A464, FIND(" ",A464)-1), 'Raw Data Sales'!I464:I1462, MID(A464, FIND(" ",A464)+1, 100))</f>
        <v>36</v>
      </c>
      <c r="F464" s="6">
        <f>SUMIFS('Raw Data Sales'!N464:N1462, 'Raw Data Sales'!H464:H1462, LEFT(A464, FIND(" ",A464)-1), 'Raw Data Sales'!I464:I1462, MID(A464, FIND(" ",A464)+1, 100))</f>
        <v>9444.99</v>
      </c>
    </row>
    <row r="465">
      <c r="A465" s="6" t="str">
        <f>IFERROR(__xludf.DUMMYFUNCTION("UNIQUE('Raw Data Sales'!H465:H1463 &amp; "" "" &amp; 'Raw Data Sales'!I465:I1463)"),"Dickie MacCoveney")</f>
        <v>Dickie MacCoveney</v>
      </c>
      <c r="B465" s="6" t="str">
        <f>IFERROR(__xludf.DUMMYFUNCTION("""COMPUTED_VALUE"""),"dmaccoveneycv@google.cn")</f>
        <v>dmaccoveneycv@google.cn</v>
      </c>
      <c r="C465" s="6" t="str">
        <f>IFERROR(__xludf.DUMMYFUNCTION("""COMPUTED_VALUE"""),"China")</f>
        <v>China</v>
      </c>
      <c r="D465" s="6">
        <f>COUNTIFS('Raw Data Sales'!H465:H1463, LEFT(A465, FIND(" ",A465)-1), 'Raw Data Sales'!I465:I1463, MID(A465, FIND(" ",A465)+1, 100))</f>
        <v>1</v>
      </c>
      <c r="E465" s="6">
        <f>SUMIFS('Raw Data Sales'!M465:M1463, 'Raw Data Sales'!H465:H1463, LEFT(A465, FIND(" ",A465)-1), 'Raw Data Sales'!I465:I1463, MID(A465, FIND(" ",A465)+1, 100))</f>
        <v>95</v>
      </c>
      <c r="F465" s="6">
        <f>SUMIFS('Raw Data Sales'!N465:N1463, 'Raw Data Sales'!H465:H1463, LEFT(A465, FIND(" ",A465)-1), 'Raw Data Sales'!I465:I1463, MID(A465, FIND(" ",A465)+1, 100))</f>
        <v>3756.99</v>
      </c>
    </row>
    <row r="466">
      <c r="A466" s="6" t="str">
        <f>IFERROR(__xludf.DUMMYFUNCTION("UNIQUE('Raw Data Sales'!H466:H1464 &amp; "" "" &amp; 'Raw Data Sales'!I466:I1464)"),"Gabriel Siaspinski")</f>
        <v>Gabriel Siaspinski</v>
      </c>
      <c r="B466" s="6" t="str">
        <f>IFERROR(__xludf.DUMMYFUNCTION("""COMPUTED_VALUE"""),"gsiaspinskicw@purevolume.com")</f>
        <v>gsiaspinskicw@purevolume.com</v>
      </c>
      <c r="C466" s="6" t="str">
        <f>IFERROR(__xludf.DUMMYFUNCTION("""COMPUTED_VALUE"""),"Russia")</f>
        <v>Russia</v>
      </c>
      <c r="D466" s="6">
        <f>COUNTIFS('Raw Data Sales'!H466:H1464, LEFT(A466, FIND(" ",A466)-1), 'Raw Data Sales'!I466:I1464, MID(A466, FIND(" ",A466)+1, 100))</f>
        <v>1</v>
      </c>
      <c r="E466" s="6">
        <f>SUMIFS('Raw Data Sales'!M466:M1464, 'Raw Data Sales'!H466:H1464, LEFT(A466, FIND(" ",A466)-1), 'Raw Data Sales'!I466:I1464, MID(A466, FIND(" ",A466)+1, 100))</f>
        <v>53</v>
      </c>
      <c r="F466" s="6">
        <f>SUMIFS('Raw Data Sales'!N466:N1464, 'Raw Data Sales'!H466:H1464, LEFT(A466, FIND(" ",A466)-1), 'Raw Data Sales'!I466:I1464, MID(A466, FIND(" ",A466)+1, 100))</f>
        <v>2300.08</v>
      </c>
    </row>
    <row r="467">
      <c r="A467" s="6" t="str">
        <f>IFERROR(__xludf.DUMMYFUNCTION("UNIQUE('Raw Data Sales'!H467:H1465 &amp; "" "" &amp; 'Raw Data Sales'!I467:I1465)"),"Harald Rotham")</f>
        <v>Harald Rotham</v>
      </c>
      <c r="B467" s="6" t="str">
        <f>IFERROR(__xludf.DUMMYFUNCTION("""COMPUTED_VALUE"""),"hrothamcx@studiopress.com")</f>
        <v>hrothamcx@studiopress.com</v>
      </c>
      <c r="C467" s="6" t="str">
        <f>IFERROR(__xludf.DUMMYFUNCTION("""COMPUTED_VALUE"""),"Philippines")</f>
        <v>Philippines</v>
      </c>
      <c r="D467" s="6">
        <f>COUNTIFS('Raw Data Sales'!H467:H1465, LEFT(A467, FIND(" ",A467)-1), 'Raw Data Sales'!I467:I1465, MID(A467, FIND(" ",A467)+1, 100))</f>
        <v>1</v>
      </c>
      <c r="E467" s="6">
        <f>SUMIFS('Raw Data Sales'!M467:M1465, 'Raw Data Sales'!H467:H1465, LEFT(A467, FIND(" ",A467)-1), 'Raw Data Sales'!I467:I1465, MID(A467, FIND(" ",A467)+1, 100))</f>
        <v>19</v>
      </c>
      <c r="F467" s="6">
        <f>SUMIFS('Raw Data Sales'!N467:N1465, 'Raw Data Sales'!H467:H1465, LEFT(A467, FIND(" ",A467)-1), 'Raw Data Sales'!I467:I1465, MID(A467, FIND(" ",A467)+1, 100))</f>
        <v>3262.65</v>
      </c>
    </row>
    <row r="468">
      <c r="A468" s="6" t="str">
        <f>IFERROR(__xludf.DUMMYFUNCTION("UNIQUE('Raw Data Sales'!H468:H1466 &amp; "" "" &amp; 'Raw Data Sales'!I468:I1466)"),"Shepherd Vampouille")</f>
        <v>Shepherd Vampouille</v>
      </c>
      <c r="B468" s="6" t="str">
        <f>IFERROR(__xludf.DUMMYFUNCTION("""COMPUTED_VALUE"""),"svampouillecy@wired.com")</f>
        <v>svampouillecy@wired.com</v>
      </c>
      <c r="C468" s="6" t="str">
        <f>IFERROR(__xludf.DUMMYFUNCTION("""COMPUTED_VALUE"""),"Vietnam")</f>
        <v>Vietnam</v>
      </c>
      <c r="D468" s="6">
        <f>COUNTIFS('Raw Data Sales'!H468:H1466, LEFT(A468, FIND(" ",A468)-1), 'Raw Data Sales'!I468:I1466, MID(A468, FIND(" ",A468)+1, 100))</f>
        <v>1</v>
      </c>
      <c r="E468" s="6">
        <f>SUMIFS('Raw Data Sales'!M468:M1466, 'Raw Data Sales'!H468:H1466, LEFT(A468, FIND(" ",A468)-1), 'Raw Data Sales'!I468:I1466, MID(A468, FIND(" ",A468)+1, 100))</f>
        <v>65</v>
      </c>
      <c r="F468" s="6">
        <f>SUMIFS('Raw Data Sales'!N468:N1466, 'Raw Data Sales'!H468:H1466, LEFT(A468, FIND(" ",A468)-1), 'Raw Data Sales'!I468:I1466, MID(A468, FIND(" ",A468)+1, 100))</f>
        <v>5874.4</v>
      </c>
    </row>
    <row r="469">
      <c r="A469" s="6" t="str">
        <f>IFERROR(__xludf.DUMMYFUNCTION("UNIQUE('Raw Data Sales'!H469:H1467 &amp; "" "" &amp; 'Raw Data Sales'!I469:I1467)"),"Daune Tassel")</f>
        <v>Daune Tassel</v>
      </c>
      <c r="B469" s="6" t="str">
        <f>IFERROR(__xludf.DUMMYFUNCTION("""COMPUTED_VALUE"""),"dtasselcz@live.com")</f>
        <v>dtasselcz@live.com</v>
      </c>
      <c r="C469" s="6" t="str">
        <f>IFERROR(__xludf.DUMMYFUNCTION("""COMPUTED_VALUE"""),"China")</f>
        <v>China</v>
      </c>
      <c r="D469" s="6">
        <f>COUNTIFS('Raw Data Sales'!H469:H1467, LEFT(A469, FIND(" ",A469)-1), 'Raw Data Sales'!I469:I1467, MID(A469, FIND(" ",A469)+1, 100))</f>
        <v>1</v>
      </c>
      <c r="E469" s="6">
        <f>SUMIFS('Raw Data Sales'!M469:M1467, 'Raw Data Sales'!H469:H1467, LEFT(A469, FIND(" ",A469)-1), 'Raw Data Sales'!I469:I1467, MID(A469, FIND(" ",A469)+1, 100))</f>
        <v>86</v>
      </c>
      <c r="F469" s="6">
        <f>SUMIFS('Raw Data Sales'!N469:N1467, 'Raw Data Sales'!H469:H1467, LEFT(A469, FIND(" ",A469)-1), 'Raw Data Sales'!I469:I1467, MID(A469, FIND(" ",A469)+1, 100))</f>
        <v>7092.27</v>
      </c>
    </row>
    <row r="470">
      <c r="A470" s="6" t="str">
        <f>IFERROR(__xludf.DUMMYFUNCTION("UNIQUE('Raw Data Sales'!H470:H1468 &amp; "" "" &amp; 'Raw Data Sales'!I470:I1468)"),"Sly Di Pietro")</f>
        <v>Sly Di Pietro</v>
      </c>
      <c r="B470" s="6" t="str">
        <f>IFERROR(__xludf.DUMMYFUNCTION("""COMPUTED_VALUE"""),"sdipietrod0@posterous.com")</f>
        <v>sdipietrod0@posterous.com</v>
      </c>
      <c r="C470" s="6" t="str">
        <f>IFERROR(__xludf.DUMMYFUNCTION("""COMPUTED_VALUE"""),"Colombia")</f>
        <v>Colombia</v>
      </c>
      <c r="D470" s="6">
        <f>COUNTIFS('Raw Data Sales'!H470:H1468, LEFT(A470, FIND(" ",A470)-1), 'Raw Data Sales'!I470:I1468, MID(A470, FIND(" ",A470)+1, 100))</f>
        <v>1</v>
      </c>
      <c r="E470" s="6">
        <f>SUMIFS('Raw Data Sales'!M470:M1468, 'Raw Data Sales'!H470:H1468, LEFT(A470, FIND(" ",A470)-1), 'Raw Data Sales'!I470:I1468, MID(A470, FIND(" ",A470)+1, 100))</f>
        <v>18</v>
      </c>
      <c r="F470" s="6">
        <f>SUMIFS('Raw Data Sales'!N470:N1468, 'Raw Data Sales'!H470:H1468, LEFT(A470, FIND(" ",A470)-1), 'Raw Data Sales'!I470:I1468, MID(A470, FIND(" ",A470)+1, 100))</f>
        <v>7531.36</v>
      </c>
    </row>
    <row r="471">
      <c r="A471" s="6" t="str">
        <f>IFERROR(__xludf.DUMMYFUNCTION("UNIQUE('Raw Data Sales'!H471:H1469 &amp; "" "" &amp; 'Raw Data Sales'!I471:I1469)"),"Wendall Twinbrow")</f>
        <v>Wendall Twinbrow</v>
      </c>
      <c r="B471" s="6" t="str">
        <f>IFERROR(__xludf.DUMMYFUNCTION("""COMPUTED_VALUE"""),"wtwinbrowd1@yahoo.com")</f>
        <v>wtwinbrowd1@yahoo.com</v>
      </c>
      <c r="C471" s="6" t="str">
        <f>IFERROR(__xludf.DUMMYFUNCTION("""COMPUTED_VALUE"""),"Russia")</f>
        <v>Russia</v>
      </c>
      <c r="D471" s="6">
        <f>COUNTIFS('Raw Data Sales'!H471:H1469, LEFT(A471, FIND(" ",A471)-1), 'Raw Data Sales'!I471:I1469, MID(A471, FIND(" ",A471)+1, 100))</f>
        <v>1</v>
      </c>
      <c r="E471" s="6">
        <f>SUMIFS('Raw Data Sales'!M471:M1469, 'Raw Data Sales'!H471:H1469, LEFT(A471, FIND(" ",A471)-1), 'Raw Data Sales'!I471:I1469, MID(A471, FIND(" ",A471)+1, 100))</f>
        <v>37</v>
      </c>
      <c r="F471" s="6">
        <f>SUMIFS('Raw Data Sales'!N471:N1469, 'Raw Data Sales'!H471:H1469, LEFT(A471, FIND(" ",A471)-1), 'Raw Data Sales'!I471:I1469, MID(A471, FIND(" ",A471)+1, 100))</f>
        <v>6037.8</v>
      </c>
    </row>
    <row r="472">
      <c r="A472" s="6" t="str">
        <f>IFERROR(__xludf.DUMMYFUNCTION("UNIQUE('Raw Data Sales'!H472:H1470 &amp; "" "" &amp; 'Raw Data Sales'!I472:I1470)"),"Collen Totton")</f>
        <v>Collen Totton</v>
      </c>
      <c r="B472" s="6" t="str">
        <f>IFERROR(__xludf.DUMMYFUNCTION("""COMPUTED_VALUE"""),"ctottond2@spiegel.de")</f>
        <v>ctottond2@spiegel.de</v>
      </c>
      <c r="C472" s="6" t="str">
        <f>IFERROR(__xludf.DUMMYFUNCTION("""COMPUTED_VALUE"""),"Sweden")</f>
        <v>Sweden</v>
      </c>
      <c r="D472" s="6">
        <f>COUNTIFS('Raw Data Sales'!H472:H1470, LEFT(A472, FIND(" ",A472)-1), 'Raw Data Sales'!I472:I1470, MID(A472, FIND(" ",A472)+1, 100))</f>
        <v>1</v>
      </c>
      <c r="E472" s="6">
        <f>SUMIFS('Raw Data Sales'!M472:M1470, 'Raw Data Sales'!H472:H1470, LEFT(A472, FIND(" ",A472)-1), 'Raw Data Sales'!I472:I1470, MID(A472, FIND(" ",A472)+1, 100))</f>
        <v>70</v>
      </c>
      <c r="F472" s="6">
        <f>SUMIFS('Raw Data Sales'!N472:N1470, 'Raw Data Sales'!H472:H1470, LEFT(A472, FIND(" ",A472)-1), 'Raw Data Sales'!I472:I1470, MID(A472, FIND(" ",A472)+1, 100))</f>
        <v>8894.3</v>
      </c>
    </row>
    <row r="473">
      <c r="A473" s="6" t="str">
        <f>IFERROR(__xludf.DUMMYFUNCTION("UNIQUE('Raw Data Sales'!H473:H1471 &amp; "" "" &amp; 'Raw Data Sales'!I473:I1471)"),"Chandra Mariolle")</f>
        <v>Chandra Mariolle</v>
      </c>
      <c r="B473" s="6" t="str">
        <f>IFERROR(__xludf.DUMMYFUNCTION("""COMPUTED_VALUE"""),"cmariolled3@marketwatch.com")</f>
        <v>cmariolled3@marketwatch.com</v>
      </c>
      <c r="C473" s="6" t="str">
        <f>IFERROR(__xludf.DUMMYFUNCTION("""COMPUTED_VALUE"""),"Peru")</f>
        <v>Peru</v>
      </c>
      <c r="D473" s="6">
        <f>COUNTIFS('Raw Data Sales'!H473:H1471, LEFT(A473, FIND(" ",A473)-1), 'Raw Data Sales'!I473:I1471, MID(A473, FIND(" ",A473)+1, 100))</f>
        <v>1</v>
      </c>
      <c r="E473" s="6">
        <f>SUMIFS('Raw Data Sales'!M473:M1471, 'Raw Data Sales'!H473:H1471, LEFT(A473, FIND(" ",A473)-1), 'Raw Data Sales'!I473:I1471, MID(A473, FIND(" ",A473)+1, 100))</f>
        <v>78</v>
      </c>
      <c r="F473" s="6">
        <f>SUMIFS('Raw Data Sales'!N473:N1471, 'Raw Data Sales'!H473:H1471, LEFT(A473, FIND(" ",A473)-1), 'Raw Data Sales'!I473:I1471, MID(A473, FIND(" ",A473)+1, 100))</f>
        <v>614.94</v>
      </c>
    </row>
    <row r="474">
      <c r="A474" s="6" t="str">
        <f>IFERROR(__xludf.DUMMYFUNCTION("UNIQUE('Raw Data Sales'!H474:H1472 &amp; "" "" &amp; 'Raw Data Sales'!I474:I1472)"),"Eldridge Searchwell")</f>
        <v>Eldridge Searchwell</v>
      </c>
      <c r="B474" s="6" t="str">
        <f>IFERROR(__xludf.DUMMYFUNCTION("""COMPUTED_VALUE"""),"esearchwelld4@acquirethisname.com")</f>
        <v>esearchwelld4@acquirethisname.com</v>
      </c>
      <c r="C474" s="6" t="str">
        <f>IFERROR(__xludf.DUMMYFUNCTION("""COMPUTED_VALUE"""),"Nicaragua")</f>
        <v>Nicaragua</v>
      </c>
      <c r="D474" s="6">
        <f>COUNTIFS('Raw Data Sales'!H474:H1472, LEFT(A474, FIND(" ",A474)-1), 'Raw Data Sales'!I474:I1472, MID(A474, FIND(" ",A474)+1, 100))</f>
        <v>1</v>
      </c>
      <c r="E474" s="6">
        <f>SUMIFS('Raw Data Sales'!M474:M1472, 'Raw Data Sales'!H474:H1472, LEFT(A474, FIND(" ",A474)-1), 'Raw Data Sales'!I474:I1472, MID(A474, FIND(" ",A474)+1, 100))</f>
        <v>45</v>
      </c>
      <c r="F474" s="6">
        <f>SUMIFS('Raw Data Sales'!N474:N1472, 'Raw Data Sales'!H474:H1472, LEFT(A474, FIND(" ",A474)-1), 'Raw Data Sales'!I474:I1472, MID(A474, FIND(" ",A474)+1, 100))</f>
        <v>9881.61</v>
      </c>
    </row>
    <row r="475">
      <c r="A475" s="6" t="str">
        <f>IFERROR(__xludf.DUMMYFUNCTION("UNIQUE('Raw Data Sales'!H475:H1473 &amp; "" "" &amp; 'Raw Data Sales'!I475:I1473)"),"Iain Kenion")</f>
        <v>Iain Kenion</v>
      </c>
      <c r="B475" s="6" t="str">
        <f>IFERROR(__xludf.DUMMYFUNCTION("""COMPUTED_VALUE"""),"ikeniond5@dailymotion.com")</f>
        <v>ikeniond5@dailymotion.com</v>
      </c>
      <c r="C475" s="6" t="str">
        <f>IFERROR(__xludf.DUMMYFUNCTION("""COMPUTED_VALUE"""),"China")</f>
        <v>China</v>
      </c>
      <c r="D475" s="6">
        <f>COUNTIFS('Raw Data Sales'!H475:H1473, LEFT(A475, FIND(" ",A475)-1), 'Raw Data Sales'!I475:I1473, MID(A475, FIND(" ",A475)+1, 100))</f>
        <v>1</v>
      </c>
      <c r="E475" s="6">
        <f>SUMIFS('Raw Data Sales'!M475:M1473, 'Raw Data Sales'!H475:H1473, LEFT(A475, FIND(" ",A475)-1), 'Raw Data Sales'!I475:I1473, MID(A475, FIND(" ",A475)+1, 100))</f>
        <v>76</v>
      </c>
      <c r="F475" s="6">
        <f>SUMIFS('Raw Data Sales'!N475:N1473, 'Raw Data Sales'!H475:H1473, LEFT(A475, FIND(" ",A475)-1), 'Raw Data Sales'!I475:I1473, MID(A475, FIND(" ",A475)+1, 100))</f>
        <v>3976.62</v>
      </c>
    </row>
    <row r="476">
      <c r="A476" s="6" t="str">
        <f>IFERROR(__xludf.DUMMYFUNCTION("UNIQUE('Raw Data Sales'!H476:H1474 &amp; "" "" &amp; 'Raw Data Sales'!I476:I1474)"),"Darryl Newlove")</f>
        <v>Darryl Newlove</v>
      </c>
      <c r="B476" s="6" t="str">
        <f>IFERROR(__xludf.DUMMYFUNCTION("""COMPUTED_VALUE"""),"dnewloved6@mapquest.com")</f>
        <v>dnewloved6@mapquest.com</v>
      </c>
      <c r="C476" s="6" t="str">
        <f>IFERROR(__xludf.DUMMYFUNCTION("""COMPUTED_VALUE"""),"Czech Republic")</f>
        <v>Czech Republic</v>
      </c>
      <c r="D476" s="6">
        <f>COUNTIFS('Raw Data Sales'!H476:H1474, LEFT(A476, FIND(" ",A476)-1), 'Raw Data Sales'!I476:I1474, MID(A476, FIND(" ",A476)+1, 100))</f>
        <v>1</v>
      </c>
      <c r="E476" s="6">
        <f>SUMIFS('Raw Data Sales'!M476:M1474, 'Raw Data Sales'!H476:H1474, LEFT(A476, FIND(" ",A476)-1), 'Raw Data Sales'!I476:I1474, MID(A476, FIND(" ",A476)+1, 100))</f>
        <v>58</v>
      </c>
      <c r="F476" s="6">
        <f>SUMIFS('Raw Data Sales'!N476:N1474, 'Raw Data Sales'!H476:H1474, LEFT(A476, FIND(" ",A476)-1), 'Raw Data Sales'!I476:I1474, MID(A476, FIND(" ",A476)+1, 100))</f>
        <v>6771.16</v>
      </c>
    </row>
    <row r="477">
      <c r="A477" s="6" t="str">
        <f>IFERROR(__xludf.DUMMYFUNCTION("UNIQUE('Raw Data Sales'!H477:H1475 &amp; "" "" &amp; 'Raw Data Sales'!I477:I1475)"),"Raina MacCosty")</f>
        <v>Raina MacCosty</v>
      </c>
      <c r="B477" s="6" t="str">
        <f>IFERROR(__xludf.DUMMYFUNCTION("""COMPUTED_VALUE"""),"rmaccostyd7@ox.ac.uk")</f>
        <v>rmaccostyd7@ox.ac.uk</v>
      </c>
      <c r="C477" s="6" t="str">
        <f>IFERROR(__xludf.DUMMYFUNCTION("""COMPUTED_VALUE"""),"Indonesia")</f>
        <v>Indonesia</v>
      </c>
      <c r="D477" s="6">
        <f>COUNTIFS('Raw Data Sales'!H477:H1475, LEFT(A477, FIND(" ",A477)-1), 'Raw Data Sales'!I477:I1475, MID(A477, FIND(" ",A477)+1, 100))</f>
        <v>1</v>
      </c>
      <c r="E477" s="6">
        <f>SUMIFS('Raw Data Sales'!M477:M1475, 'Raw Data Sales'!H477:H1475, LEFT(A477, FIND(" ",A477)-1), 'Raw Data Sales'!I477:I1475, MID(A477, FIND(" ",A477)+1, 100))</f>
        <v>23</v>
      </c>
      <c r="F477" s="6">
        <f>SUMIFS('Raw Data Sales'!N477:N1475, 'Raw Data Sales'!H477:H1475, LEFT(A477, FIND(" ",A477)-1), 'Raw Data Sales'!I477:I1475, MID(A477, FIND(" ",A477)+1, 100))</f>
        <v>7915.93</v>
      </c>
    </row>
    <row r="478">
      <c r="A478" s="6" t="str">
        <f>IFERROR(__xludf.DUMMYFUNCTION("UNIQUE('Raw Data Sales'!H478:H1476 &amp; "" "" &amp; 'Raw Data Sales'!I478:I1476)"),"Catha Murden")</f>
        <v>Catha Murden</v>
      </c>
      <c r="B478" s="6" t="str">
        <f>IFERROR(__xludf.DUMMYFUNCTION("""COMPUTED_VALUE"""),"cmurdend8@nytimes.com")</f>
        <v>cmurdend8@nytimes.com</v>
      </c>
      <c r="C478" s="6" t="str">
        <f>IFERROR(__xludf.DUMMYFUNCTION("""COMPUTED_VALUE"""),"China")</f>
        <v>China</v>
      </c>
      <c r="D478" s="6">
        <f>COUNTIFS('Raw Data Sales'!H478:H1476, LEFT(A478, FIND(" ",A478)-1), 'Raw Data Sales'!I478:I1476, MID(A478, FIND(" ",A478)+1, 100))</f>
        <v>1</v>
      </c>
      <c r="E478" s="6">
        <f>SUMIFS('Raw Data Sales'!M478:M1476, 'Raw Data Sales'!H478:H1476, LEFT(A478, FIND(" ",A478)-1), 'Raw Data Sales'!I478:I1476, MID(A478, FIND(" ",A478)+1, 100))</f>
        <v>54</v>
      </c>
      <c r="F478" s="6">
        <f>SUMIFS('Raw Data Sales'!N478:N1476, 'Raw Data Sales'!H478:H1476, LEFT(A478, FIND(" ",A478)-1), 'Raw Data Sales'!I478:I1476, MID(A478, FIND(" ",A478)+1, 100))</f>
        <v>6720.67</v>
      </c>
    </row>
    <row r="479">
      <c r="A479" s="6" t="str">
        <f>IFERROR(__xludf.DUMMYFUNCTION("UNIQUE('Raw Data Sales'!H479:H1477 &amp; "" "" &amp; 'Raw Data Sales'!I479:I1477)"),"Ted Broseman")</f>
        <v>Ted Broseman</v>
      </c>
      <c r="B479" s="6" t="str">
        <f>IFERROR(__xludf.DUMMYFUNCTION("""COMPUTED_VALUE"""),"tbrosemand9@uol.com.br")</f>
        <v>tbrosemand9@uol.com.br</v>
      </c>
      <c r="C479" s="6" t="str">
        <f>IFERROR(__xludf.DUMMYFUNCTION("""COMPUTED_VALUE"""),"Brazil")</f>
        <v>Brazil</v>
      </c>
      <c r="D479" s="6">
        <f>COUNTIFS('Raw Data Sales'!H479:H1477, LEFT(A479, FIND(" ",A479)-1), 'Raw Data Sales'!I479:I1477, MID(A479, FIND(" ",A479)+1, 100))</f>
        <v>1</v>
      </c>
      <c r="E479" s="6">
        <f>SUMIFS('Raw Data Sales'!M479:M1477, 'Raw Data Sales'!H479:H1477, LEFT(A479, FIND(" ",A479)-1), 'Raw Data Sales'!I479:I1477, MID(A479, FIND(" ",A479)+1, 100))</f>
        <v>23</v>
      </c>
      <c r="F479" s="6">
        <f>SUMIFS('Raw Data Sales'!N479:N1477, 'Raw Data Sales'!H479:H1477, LEFT(A479, FIND(" ",A479)-1), 'Raw Data Sales'!I479:I1477, MID(A479, FIND(" ",A479)+1, 100))</f>
        <v>6162.78</v>
      </c>
    </row>
    <row r="480">
      <c r="A480" s="6" t="str">
        <f>IFERROR(__xludf.DUMMYFUNCTION("UNIQUE('Raw Data Sales'!H480:H1478 &amp; "" "" &amp; 'Raw Data Sales'!I480:I1478)"),"Shanda Gerson")</f>
        <v>Shanda Gerson</v>
      </c>
      <c r="B480" s="6" t="str">
        <f>IFERROR(__xludf.DUMMYFUNCTION("""COMPUTED_VALUE"""),"sgersonda@cdc.gov")</f>
        <v>sgersonda@cdc.gov</v>
      </c>
      <c r="C480" s="6" t="str">
        <f>IFERROR(__xludf.DUMMYFUNCTION("""COMPUTED_VALUE"""),"Ukraine")</f>
        <v>Ukraine</v>
      </c>
      <c r="D480" s="6">
        <f>COUNTIFS('Raw Data Sales'!H480:H1478, LEFT(A480, FIND(" ",A480)-1), 'Raw Data Sales'!I480:I1478, MID(A480, FIND(" ",A480)+1, 100))</f>
        <v>1</v>
      </c>
      <c r="E480" s="6">
        <f>SUMIFS('Raw Data Sales'!M480:M1478, 'Raw Data Sales'!H480:H1478, LEFT(A480, FIND(" ",A480)-1), 'Raw Data Sales'!I480:I1478, MID(A480, FIND(" ",A480)+1, 100))</f>
        <v>13</v>
      </c>
      <c r="F480" s="6">
        <f>SUMIFS('Raw Data Sales'!N480:N1478, 'Raw Data Sales'!H480:H1478, LEFT(A480, FIND(" ",A480)-1), 'Raw Data Sales'!I480:I1478, MID(A480, FIND(" ",A480)+1, 100))</f>
        <v>6587.86</v>
      </c>
    </row>
    <row r="481">
      <c r="A481" s="6" t="str">
        <f>IFERROR(__xludf.DUMMYFUNCTION("UNIQUE('Raw Data Sales'!H481:H1479 &amp; "" "" &amp; 'Raw Data Sales'!I481:I1479)"),"Ozzy Normanville")</f>
        <v>Ozzy Normanville</v>
      </c>
      <c r="B481" s="6" t="str">
        <f>IFERROR(__xludf.DUMMYFUNCTION("""COMPUTED_VALUE"""),"onormanvilledb@liveinternet.ru")</f>
        <v>onormanvilledb@liveinternet.ru</v>
      </c>
      <c r="C481" s="6" t="str">
        <f>IFERROR(__xludf.DUMMYFUNCTION("""COMPUTED_VALUE"""),"Zambia")</f>
        <v>Zambia</v>
      </c>
      <c r="D481" s="6">
        <f>COUNTIFS('Raw Data Sales'!H481:H1479, LEFT(A481, FIND(" ",A481)-1), 'Raw Data Sales'!I481:I1479, MID(A481, FIND(" ",A481)+1, 100))</f>
        <v>1</v>
      </c>
      <c r="E481" s="6">
        <f>SUMIFS('Raw Data Sales'!M481:M1479, 'Raw Data Sales'!H481:H1479, LEFT(A481, FIND(" ",A481)-1), 'Raw Data Sales'!I481:I1479, MID(A481, FIND(" ",A481)+1, 100))</f>
        <v>93</v>
      </c>
      <c r="F481" s="6">
        <f>SUMIFS('Raw Data Sales'!N481:N1479, 'Raw Data Sales'!H481:H1479, LEFT(A481, FIND(" ",A481)-1), 'Raw Data Sales'!I481:I1479, MID(A481, FIND(" ",A481)+1, 100))</f>
        <v>5311.46</v>
      </c>
    </row>
    <row r="482">
      <c r="A482" s="6" t="str">
        <f>IFERROR(__xludf.DUMMYFUNCTION("UNIQUE('Raw Data Sales'!H482:H1480 &amp; "" "" &amp; 'Raw Data Sales'!I482:I1480)"),"Jourdan Marriot")</f>
        <v>Jourdan Marriot</v>
      </c>
      <c r="B482" s="6" t="str">
        <f>IFERROR(__xludf.DUMMYFUNCTION("""COMPUTED_VALUE"""),"jmarriotdc@seattletimes.com")</f>
        <v>jmarriotdc@seattletimes.com</v>
      </c>
      <c r="C482" s="6" t="str">
        <f>IFERROR(__xludf.DUMMYFUNCTION("""COMPUTED_VALUE"""),"France")</f>
        <v>France</v>
      </c>
      <c r="D482" s="6">
        <f>COUNTIFS('Raw Data Sales'!H482:H1480, LEFT(A482, FIND(" ",A482)-1), 'Raw Data Sales'!I482:I1480, MID(A482, FIND(" ",A482)+1, 100))</f>
        <v>1</v>
      </c>
      <c r="E482" s="6">
        <f>SUMIFS('Raw Data Sales'!M482:M1480, 'Raw Data Sales'!H482:H1480, LEFT(A482, FIND(" ",A482)-1), 'Raw Data Sales'!I482:I1480, MID(A482, FIND(" ",A482)+1, 100))</f>
        <v>44</v>
      </c>
      <c r="F482" s="6">
        <f>SUMIFS('Raw Data Sales'!N482:N1480, 'Raw Data Sales'!H482:H1480, LEFT(A482, FIND(" ",A482)-1), 'Raw Data Sales'!I482:I1480, MID(A482, FIND(" ",A482)+1, 100))</f>
        <v>2455.42</v>
      </c>
    </row>
    <row r="483">
      <c r="A483" s="6" t="str">
        <f>IFERROR(__xludf.DUMMYFUNCTION("UNIQUE('Raw Data Sales'!H483:H1481 &amp; "" "" &amp; 'Raw Data Sales'!I483:I1481)"),"Nedi Yeskin")</f>
        <v>Nedi Yeskin</v>
      </c>
      <c r="B483" s="6" t="str">
        <f>IFERROR(__xludf.DUMMYFUNCTION("""COMPUTED_VALUE"""),"nyeskindd@list-manage.com")</f>
        <v>nyeskindd@list-manage.com</v>
      </c>
      <c r="C483" s="6" t="str">
        <f>IFERROR(__xludf.DUMMYFUNCTION("""COMPUTED_VALUE"""),"Indonesia")</f>
        <v>Indonesia</v>
      </c>
      <c r="D483" s="6">
        <f>COUNTIFS('Raw Data Sales'!H483:H1481, LEFT(A483, FIND(" ",A483)-1), 'Raw Data Sales'!I483:I1481, MID(A483, FIND(" ",A483)+1, 100))</f>
        <v>1</v>
      </c>
      <c r="E483" s="6">
        <f>SUMIFS('Raw Data Sales'!M483:M1481, 'Raw Data Sales'!H483:H1481, LEFT(A483, FIND(" ",A483)-1), 'Raw Data Sales'!I483:I1481, MID(A483, FIND(" ",A483)+1, 100))</f>
        <v>10</v>
      </c>
      <c r="F483" s="6">
        <f>SUMIFS('Raw Data Sales'!N483:N1481, 'Raw Data Sales'!H483:H1481, LEFT(A483, FIND(" ",A483)-1), 'Raw Data Sales'!I483:I1481, MID(A483, FIND(" ",A483)+1, 100))</f>
        <v>4616.71</v>
      </c>
    </row>
    <row r="484">
      <c r="A484" s="6" t="str">
        <f>IFERROR(__xludf.DUMMYFUNCTION("UNIQUE('Raw Data Sales'!H484:H1482 &amp; "" "" &amp; 'Raw Data Sales'!I484:I1482)"),"Arlen Girke")</f>
        <v>Arlen Girke</v>
      </c>
      <c r="B484" s="6" t="str">
        <f>IFERROR(__xludf.DUMMYFUNCTION("""COMPUTED_VALUE"""),"agirkede@typepad.com")</f>
        <v>agirkede@typepad.com</v>
      </c>
      <c r="C484" s="6" t="str">
        <f>IFERROR(__xludf.DUMMYFUNCTION("""COMPUTED_VALUE"""),"Russia")</f>
        <v>Russia</v>
      </c>
      <c r="D484" s="6">
        <f>COUNTIFS('Raw Data Sales'!H484:H1482, LEFT(A484, FIND(" ",A484)-1), 'Raw Data Sales'!I484:I1482, MID(A484, FIND(" ",A484)+1, 100))</f>
        <v>1</v>
      </c>
      <c r="E484" s="6">
        <f>SUMIFS('Raw Data Sales'!M484:M1482, 'Raw Data Sales'!H484:H1482, LEFT(A484, FIND(" ",A484)-1), 'Raw Data Sales'!I484:I1482, MID(A484, FIND(" ",A484)+1, 100))</f>
        <v>82</v>
      </c>
      <c r="F484" s="6">
        <f>SUMIFS('Raw Data Sales'!N484:N1482, 'Raw Data Sales'!H484:H1482, LEFT(A484, FIND(" ",A484)-1), 'Raw Data Sales'!I484:I1482, MID(A484, FIND(" ",A484)+1, 100))</f>
        <v>1608.36</v>
      </c>
    </row>
    <row r="485">
      <c r="A485" s="6" t="str">
        <f>IFERROR(__xludf.DUMMYFUNCTION("UNIQUE('Raw Data Sales'!H485:H1483 &amp; "" "" &amp; 'Raw Data Sales'!I485:I1483)"),"Giralda Grevile")</f>
        <v>Giralda Grevile</v>
      </c>
      <c r="B485" s="6" t="str">
        <f>IFERROR(__xludf.DUMMYFUNCTION("""COMPUTED_VALUE"""),"ggreviledf@jiathis.com")</f>
        <v>ggreviledf@jiathis.com</v>
      </c>
      <c r="C485" s="6" t="str">
        <f>IFERROR(__xludf.DUMMYFUNCTION("""COMPUTED_VALUE"""),"Indonesia")</f>
        <v>Indonesia</v>
      </c>
      <c r="D485" s="6">
        <f>COUNTIFS('Raw Data Sales'!H485:H1483, LEFT(A485, FIND(" ",A485)-1), 'Raw Data Sales'!I485:I1483, MID(A485, FIND(" ",A485)+1, 100))</f>
        <v>1</v>
      </c>
      <c r="E485" s="6">
        <f>SUMIFS('Raw Data Sales'!M485:M1483, 'Raw Data Sales'!H485:H1483, LEFT(A485, FIND(" ",A485)-1), 'Raw Data Sales'!I485:I1483, MID(A485, FIND(" ",A485)+1, 100))</f>
        <v>51</v>
      </c>
      <c r="F485" s="6">
        <f>SUMIFS('Raw Data Sales'!N485:N1483, 'Raw Data Sales'!H485:H1483, LEFT(A485, FIND(" ",A485)-1), 'Raw Data Sales'!I485:I1483, MID(A485, FIND(" ",A485)+1, 100))</f>
        <v>5412.12</v>
      </c>
    </row>
    <row r="486">
      <c r="A486" s="6" t="str">
        <f>IFERROR(__xludf.DUMMYFUNCTION("UNIQUE('Raw Data Sales'!H486:H1484 &amp; "" "" &amp; 'Raw Data Sales'!I486:I1484)"),"Marina Meeny")</f>
        <v>Marina Meeny</v>
      </c>
      <c r="B486" s="6" t="str">
        <f>IFERROR(__xludf.DUMMYFUNCTION("""COMPUTED_VALUE"""),"mmeenydg@deliciousdays.com")</f>
        <v>mmeenydg@deliciousdays.com</v>
      </c>
      <c r="C486" s="6" t="str">
        <f>IFERROR(__xludf.DUMMYFUNCTION("""COMPUTED_VALUE"""),"China")</f>
        <v>China</v>
      </c>
      <c r="D486" s="6">
        <f>COUNTIFS('Raw Data Sales'!H486:H1484, LEFT(A486, FIND(" ",A486)-1), 'Raw Data Sales'!I486:I1484, MID(A486, FIND(" ",A486)+1, 100))</f>
        <v>1</v>
      </c>
      <c r="E486" s="6">
        <f>SUMIFS('Raw Data Sales'!M486:M1484, 'Raw Data Sales'!H486:H1484, LEFT(A486, FIND(" ",A486)-1), 'Raw Data Sales'!I486:I1484, MID(A486, FIND(" ",A486)+1, 100))</f>
        <v>42</v>
      </c>
      <c r="F486" s="6">
        <f>SUMIFS('Raw Data Sales'!N486:N1484, 'Raw Data Sales'!H486:H1484, LEFT(A486, FIND(" ",A486)-1), 'Raw Data Sales'!I486:I1484, MID(A486, FIND(" ",A486)+1, 100))</f>
        <v>945.21</v>
      </c>
    </row>
    <row r="487">
      <c r="A487" s="6" t="str">
        <f>IFERROR(__xludf.DUMMYFUNCTION("UNIQUE('Raw Data Sales'!H487:H1485 &amp; "" "" &amp; 'Raw Data Sales'!I487:I1485)"),"Bram Hrinchenko")</f>
        <v>Bram Hrinchenko</v>
      </c>
      <c r="B487" s="6" t="str">
        <f>IFERROR(__xludf.DUMMYFUNCTION("""COMPUTED_VALUE"""),"bhrinchenkodh@mapquest.com")</f>
        <v>bhrinchenkodh@mapquest.com</v>
      </c>
      <c r="C487" s="6" t="str">
        <f>IFERROR(__xludf.DUMMYFUNCTION("""COMPUTED_VALUE"""),"Portugal")</f>
        <v>Portugal</v>
      </c>
      <c r="D487" s="6">
        <f>COUNTIFS('Raw Data Sales'!H487:H1485, LEFT(A487, FIND(" ",A487)-1), 'Raw Data Sales'!I487:I1485, MID(A487, FIND(" ",A487)+1, 100))</f>
        <v>1</v>
      </c>
      <c r="E487" s="6">
        <f>SUMIFS('Raw Data Sales'!M487:M1485, 'Raw Data Sales'!H487:H1485, LEFT(A487, FIND(" ",A487)-1), 'Raw Data Sales'!I487:I1485, MID(A487, FIND(" ",A487)+1, 100))</f>
        <v>91</v>
      </c>
      <c r="F487" s="6">
        <f>SUMIFS('Raw Data Sales'!N487:N1485, 'Raw Data Sales'!H487:H1485, LEFT(A487, FIND(" ",A487)-1), 'Raw Data Sales'!I487:I1485, MID(A487, FIND(" ",A487)+1, 100))</f>
        <v>8100.07</v>
      </c>
    </row>
    <row r="488">
      <c r="A488" s="6" t="str">
        <f>IFERROR(__xludf.DUMMYFUNCTION("UNIQUE('Raw Data Sales'!H488:H1486 &amp; "" "" &amp; 'Raw Data Sales'!I488:I1486)"),"Kerry Liddon")</f>
        <v>Kerry Liddon</v>
      </c>
      <c r="B488" s="6" t="str">
        <f>IFERROR(__xludf.DUMMYFUNCTION("""COMPUTED_VALUE"""),"kliddondi@jalbum.net")</f>
        <v>kliddondi@jalbum.net</v>
      </c>
      <c r="C488" s="6" t="str">
        <f>IFERROR(__xludf.DUMMYFUNCTION("""COMPUTED_VALUE"""),"Indonesia")</f>
        <v>Indonesia</v>
      </c>
      <c r="D488" s="6">
        <f>COUNTIFS('Raw Data Sales'!H488:H1486, LEFT(A488, FIND(" ",A488)-1), 'Raw Data Sales'!I488:I1486, MID(A488, FIND(" ",A488)+1, 100))</f>
        <v>1</v>
      </c>
      <c r="E488" s="6">
        <f>SUMIFS('Raw Data Sales'!M488:M1486, 'Raw Data Sales'!H488:H1486, LEFT(A488, FIND(" ",A488)-1), 'Raw Data Sales'!I488:I1486, MID(A488, FIND(" ",A488)+1, 100))</f>
        <v>62</v>
      </c>
      <c r="F488" s="6">
        <f>SUMIFS('Raw Data Sales'!N488:N1486, 'Raw Data Sales'!H488:H1486, LEFT(A488, FIND(" ",A488)-1), 'Raw Data Sales'!I488:I1486, MID(A488, FIND(" ",A488)+1, 100))</f>
        <v>8116.81</v>
      </c>
    </row>
    <row r="489">
      <c r="A489" s="6" t="str">
        <f>IFERROR(__xludf.DUMMYFUNCTION("UNIQUE('Raw Data Sales'!H489:H1487 &amp; "" "" &amp; 'Raw Data Sales'!I489:I1487)"),"Elmo Bromet")</f>
        <v>Elmo Bromet</v>
      </c>
      <c r="B489" s="6" t="str">
        <f>IFERROR(__xludf.DUMMYFUNCTION("""COMPUTED_VALUE"""),"ebrometdj@wired.com")</f>
        <v>ebrometdj@wired.com</v>
      </c>
      <c r="C489" s="6" t="str">
        <f>IFERROR(__xludf.DUMMYFUNCTION("""COMPUTED_VALUE"""),"China")</f>
        <v>China</v>
      </c>
      <c r="D489" s="6">
        <f>COUNTIFS('Raw Data Sales'!H489:H1487, LEFT(A489, FIND(" ",A489)-1), 'Raw Data Sales'!I489:I1487, MID(A489, FIND(" ",A489)+1, 100))</f>
        <v>1</v>
      </c>
      <c r="E489" s="6">
        <f>SUMIFS('Raw Data Sales'!M489:M1487, 'Raw Data Sales'!H489:H1487, LEFT(A489, FIND(" ",A489)-1), 'Raw Data Sales'!I489:I1487, MID(A489, FIND(" ",A489)+1, 100))</f>
        <v>25</v>
      </c>
      <c r="F489" s="6">
        <f>SUMIFS('Raw Data Sales'!N489:N1487, 'Raw Data Sales'!H489:H1487, LEFT(A489, FIND(" ",A489)-1), 'Raw Data Sales'!I489:I1487, MID(A489, FIND(" ",A489)+1, 100))</f>
        <v>6386.09</v>
      </c>
    </row>
    <row r="490">
      <c r="A490" s="6" t="str">
        <f>IFERROR(__xludf.DUMMYFUNCTION("UNIQUE('Raw Data Sales'!H490:H1488 &amp; "" "" &amp; 'Raw Data Sales'!I490:I1488)"),"Sebastiano Juggings")</f>
        <v>Sebastiano Juggings</v>
      </c>
      <c r="B490" s="6" t="str">
        <f>IFERROR(__xludf.DUMMYFUNCTION("""COMPUTED_VALUE"""),"sjuggingsdk@psu.edu")</f>
        <v>sjuggingsdk@psu.edu</v>
      </c>
      <c r="C490" s="6" t="str">
        <f>IFERROR(__xludf.DUMMYFUNCTION("""COMPUTED_VALUE"""),"Zambia")</f>
        <v>Zambia</v>
      </c>
      <c r="D490" s="6">
        <f>COUNTIFS('Raw Data Sales'!H490:H1488, LEFT(A490, FIND(" ",A490)-1), 'Raw Data Sales'!I490:I1488, MID(A490, FIND(" ",A490)+1, 100))</f>
        <v>1</v>
      </c>
      <c r="E490" s="6">
        <f>SUMIFS('Raw Data Sales'!M490:M1488, 'Raw Data Sales'!H490:H1488, LEFT(A490, FIND(" ",A490)-1), 'Raw Data Sales'!I490:I1488, MID(A490, FIND(" ",A490)+1, 100))</f>
        <v>60</v>
      </c>
      <c r="F490" s="6">
        <f>SUMIFS('Raw Data Sales'!N490:N1488, 'Raw Data Sales'!H490:H1488, LEFT(A490, FIND(" ",A490)-1), 'Raw Data Sales'!I490:I1488, MID(A490, FIND(" ",A490)+1, 100))</f>
        <v>3188.26</v>
      </c>
    </row>
    <row r="491">
      <c r="A491" s="6" t="str">
        <f>IFERROR(__xludf.DUMMYFUNCTION("UNIQUE('Raw Data Sales'!H491:H1489 &amp; "" "" &amp; 'Raw Data Sales'!I491:I1489)"),"Jeanie Ridolfi")</f>
        <v>Jeanie Ridolfi</v>
      </c>
      <c r="B491" s="6" t="str">
        <f>IFERROR(__xludf.DUMMYFUNCTION("""COMPUTED_VALUE"""),"jridolfidl@instagram.com")</f>
        <v>jridolfidl@instagram.com</v>
      </c>
      <c r="C491" s="6" t="str">
        <f>IFERROR(__xludf.DUMMYFUNCTION("""COMPUTED_VALUE"""),"Paraguay")</f>
        <v>Paraguay</v>
      </c>
      <c r="D491" s="6">
        <f>COUNTIFS('Raw Data Sales'!H491:H1489, LEFT(A491, FIND(" ",A491)-1), 'Raw Data Sales'!I491:I1489, MID(A491, FIND(" ",A491)+1, 100))</f>
        <v>1</v>
      </c>
      <c r="E491" s="6">
        <f>SUMIFS('Raw Data Sales'!M491:M1489, 'Raw Data Sales'!H491:H1489, LEFT(A491, FIND(" ",A491)-1), 'Raw Data Sales'!I491:I1489, MID(A491, FIND(" ",A491)+1, 100))</f>
        <v>7</v>
      </c>
      <c r="F491" s="6">
        <f>SUMIFS('Raw Data Sales'!N491:N1489, 'Raw Data Sales'!H491:H1489, LEFT(A491, FIND(" ",A491)-1), 'Raw Data Sales'!I491:I1489, MID(A491, FIND(" ",A491)+1, 100))</f>
        <v>6152.96</v>
      </c>
    </row>
    <row r="492">
      <c r="A492" s="6" t="str">
        <f>IFERROR(__xludf.DUMMYFUNCTION("UNIQUE('Raw Data Sales'!H492:H1490 &amp; "" "" &amp; 'Raw Data Sales'!I492:I1490)"),"Batholomew Whytock")</f>
        <v>Batholomew Whytock</v>
      </c>
      <c r="B492" s="6" t="str">
        <f>IFERROR(__xludf.DUMMYFUNCTION("""COMPUTED_VALUE"""),"bwhytockdm@boston.com")</f>
        <v>bwhytockdm@boston.com</v>
      </c>
      <c r="C492" s="6" t="str">
        <f>IFERROR(__xludf.DUMMYFUNCTION("""COMPUTED_VALUE"""),"Brazil")</f>
        <v>Brazil</v>
      </c>
      <c r="D492" s="6">
        <f>COUNTIFS('Raw Data Sales'!H492:H1490, LEFT(A492, FIND(" ",A492)-1), 'Raw Data Sales'!I492:I1490, MID(A492, FIND(" ",A492)+1, 100))</f>
        <v>1</v>
      </c>
      <c r="E492" s="6">
        <f>SUMIFS('Raw Data Sales'!M492:M1490, 'Raw Data Sales'!H492:H1490, LEFT(A492, FIND(" ",A492)-1), 'Raw Data Sales'!I492:I1490, MID(A492, FIND(" ",A492)+1, 100))</f>
        <v>43</v>
      </c>
      <c r="F492" s="6">
        <f>SUMIFS('Raw Data Sales'!N492:N1490, 'Raw Data Sales'!H492:H1490, LEFT(A492, FIND(" ",A492)-1), 'Raw Data Sales'!I492:I1490, MID(A492, FIND(" ",A492)+1, 100))</f>
        <v>1367.95</v>
      </c>
    </row>
    <row r="493">
      <c r="A493" s="6" t="str">
        <f>IFERROR(__xludf.DUMMYFUNCTION("UNIQUE('Raw Data Sales'!H493:H1491 &amp; "" "" &amp; 'Raw Data Sales'!I493:I1491)"),"Maurizia Cheson")</f>
        <v>Maurizia Cheson</v>
      </c>
      <c r="B493" s="6" t="str">
        <f>IFERROR(__xludf.DUMMYFUNCTION("""COMPUTED_VALUE"""),"mchesondn@nsw.gov.au")</f>
        <v>mchesondn@nsw.gov.au</v>
      </c>
      <c r="C493" s="6" t="str">
        <f>IFERROR(__xludf.DUMMYFUNCTION("""COMPUTED_VALUE"""),"Ivory Coast")</f>
        <v>Ivory Coast</v>
      </c>
      <c r="D493" s="6">
        <f>COUNTIFS('Raw Data Sales'!H493:H1491, LEFT(A493, FIND(" ",A493)-1), 'Raw Data Sales'!I493:I1491, MID(A493, FIND(" ",A493)+1, 100))</f>
        <v>1</v>
      </c>
      <c r="E493" s="6">
        <f>SUMIFS('Raw Data Sales'!M493:M1491, 'Raw Data Sales'!H493:H1491, LEFT(A493, FIND(" ",A493)-1), 'Raw Data Sales'!I493:I1491, MID(A493, FIND(" ",A493)+1, 100))</f>
        <v>66</v>
      </c>
      <c r="F493" s="6">
        <f>SUMIFS('Raw Data Sales'!N493:N1491, 'Raw Data Sales'!H493:H1491, LEFT(A493, FIND(" ",A493)-1), 'Raw Data Sales'!I493:I1491, MID(A493, FIND(" ",A493)+1, 100))</f>
        <v>5950.65</v>
      </c>
    </row>
    <row r="494">
      <c r="A494" s="6" t="str">
        <f>IFERROR(__xludf.DUMMYFUNCTION("UNIQUE('Raw Data Sales'!H494:H1492 &amp; "" "" &amp; 'Raw Data Sales'!I494:I1492)"),"Ernaline Priddey")</f>
        <v>Ernaline Priddey</v>
      </c>
      <c r="B494" s="6" t="str">
        <f>IFERROR(__xludf.DUMMYFUNCTION("""COMPUTED_VALUE"""),"epriddeydo@va.gov")</f>
        <v>epriddeydo@va.gov</v>
      </c>
      <c r="C494" s="6" t="str">
        <f>IFERROR(__xludf.DUMMYFUNCTION("""COMPUTED_VALUE"""),"Palestinian Territory")</f>
        <v>Palestinian Territory</v>
      </c>
      <c r="D494" s="6">
        <f>COUNTIFS('Raw Data Sales'!H494:H1492, LEFT(A494, FIND(" ",A494)-1), 'Raw Data Sales'!I494:I1492, MID(A494, FIND(" ",A494)+1, 100))</f>
        <v>1</v>
      </c>
      <c r="E494" s="6">
        <f>SUMIFS('Raw Data Sales'!M494:M1492, 'Raw Data Sales'!H494:H1492, LEFT(A494, FIND(" ",A494)-1), 'Raw Data Sales'!I494:I1492, MID(A494, FIND(" ",A494)+1, 100))</f>
        <v>29</v>
      </c>
      <c r="F494" s="6">
        <f>SUMIFS('Raw Data Sales'!N494:N1492, 'Raw Data Sales'!H494:H1492, LEFT(A494, FIND(" ",A494)-1), 'Raw Data Sales'!I494:I1492, MID(A494, FIND(" ",A494)+1, 100))</f>
        <v>9605.63</v>
      </c>
    </row>
    <row r="495">
      <c r="A495" s="6" t="str">
        <f>IFERROR(__xludf.DUMMYFUNCTION("UNIQUE('Raw Data Sales'!H495:H1493 &amp; "" "" &amp; 'Raw Data Sales'!I495:I1493)"),"Lucius Felkin")</f>
        <v>Lucius Felkin</v>
      </c>
      <c r="B495" s="6" t="str">
        <f>IFERROR(__xludf.DUMMYFUNCTION("""COMPUTED_VALUE"""),"lfelkindp@printfriendly.com")</f>
        <v>lfelkindp@printfriendly.com</v>
      </c>
      <c r="C495" s="6" t="str">
        <f>IFERROR(__xludf.DUMMYFUNCTION("""COMPUTED_VALUE"""),"Brazil")</f>
        <v>Brazil</v>
      </c>
      <c r="D495" s="6">
        <f>COUNTIFS('Raw Data Sales'!H495:H1493, LEFT(A495, FIND(" ",A495)-1), 'Raw Data Sales'!I495:I1493, MID(A495, FIND(" ",A495)+1, 100))</f>
        <v>1</v>
      </c>
      <c r="E495" s="6">
        <f>SUMIFS('Raw Data Sales'!M495:M1493, 'Raw Data Sales'!H495:H1493, LEFT(A495, FIND(" ",A495)-1), 'Raw Data Sales'!I495:I1493, MID(A495, FIND(" ",A495)+1, 100))</f>
        <v>49</v>
      </c>
      <c r="F495" s="6">
        <f>SUMIFS('Raw Data Sales'!N495:N1493, 'Raw Data Sales'!H495:H1493, LEFT(A495, FIND(" ",A495)-1), 'Raw Data Sales'!I495:I1493, MID(A495, FIND(" ",A495)+1, 100))</f>
        <v>8913.41</v>
      </c>
    </row>
    <row r="496">
      <c r="A496" s="6" t="str">
        <f>IFERROR(__xludf.DUMMYFUNCTION("UNIQUE('Raw Data Sales'!H496:H1494 &amp; "" "" &amp; 'Raw Data Sales'!I496:I1494)"),"Meagan Everit")</f>
        <v>Meagan Everit</v>
      </c>
      <c r="B496" s="6" t="str">
        <f>IFERROR(__xludf.DUMMYFUNCTION("""COMPUTED_VALUE"""),"meveritdq@dagondesign.com")</f>
        <v>meveritdq@dagondesign.com</v>
      </c>
      <c r="C496" s="6" t="str">
        <f>IFERROR(__xludf.DUMMYFUNCTION("""COMPUTED_VALUE"""),"Indonesia")</f>
        <v>Indonesia</v>
      </c>
      <c r="D496" s="6">
        <f>COUNTIFS('Raw Data Sales'!H496:H1494, LEFT(A496, FIND(" ",A496)-1), 'Raw Data Sales'!I496:I1494, MID(A496, FIND(" ",A496)+1, 100))</f>
        <v>1</v>
      </c>
      <c r="E496" s="6">
        <f>SUMIFS('Raw Data Sales'!M496:M1494, 'Raw Data Sales'!H496:H1494, LEFT(A496, FIND(" ",A496)-1), 'Raw Data Sales'!I496:I1494, MID(A496, FIND(" ",A496)+1, 100))</f>
        <v>62</v>
      </c>
      <c r="F496" s="6">
        <f>SUMIFS('Raw Data Sales'!N496:N1494, 'Raw Data Sales'!H496:H1494, LEFT(A496, FIND(" ",A496)-1), 'Raw Data Sales'!I496:I1494, MID(A496, FIND(" ",A496)+1, 100))</f>
        <v>3663.15</v>
      </c>
    </row>
    <row r="497">
      <c r="A497" s="6" t="str">
        <f>IFERROR(__xludf.DUMMYFUNCTION("UNIQUE('Raw Data Sales'!H497:H1495 &amp; "" "" &amp; 'Raw Data Sales'!I497:I1495)"),"Othilie Savory")</f>
        <v>Othilie Savory</v>
      </c>
      <c r="B497" s="6" t="str">
        <f>IFERROR(__xludf.DUMMYFUNCTION("""COMPUTED_VALUE"""),"osavorydr@ed.gov")</f>
        <v>osavorydr@ed.gov</v>
      </c>
      <c r="C497" s="6" t="str">
        <f>IFERROR(__xludf.DUMMYFUNCTION("""COMPUTED_VALUE"""),"Peru")</f>
        <v>Peru</v>
      </c>
      <c r="D497" s="6">
        <f>COUNTIFS('Raw Data Sales'!H497:H1495, LEFT(A497, FIND(" ",A497)-1), 'Raw Data Sales'!I497:I1495, MID(A497, FIND(" ",A497)+1, 100))</f>
        <v>1</v>
      </c>
      <c r="E497" s="6">
        <f>SUMIFS('Raw Data Sales'!M497:M1495, 'Raw Data Sales'!H497:H1495, LEFT(A497, FIND(" ",A497)-1), 'Raw Data Sales'!I497:I1495, MID(A497, FIND(" ",A497)+1, 100))</f>
        <v>100</v>
      </c>
      <c r="F497" s="6">
        <f>SUMIFS('Raw Data Sales'!N497:N1495, 'Raw Data Sales'!H497:H1495, LEFT(A497, FIND(" ",A497)-1), 'Raw Data Sales'!I497:I1495, MID(A497, FIND(" ",A497)+1, 100))</f>
        <v>2033.97</v>
      </c>
    </row>
    <row r="498">
      <c r="A498" s="6" t="str">
        <f>IFERROR(__xludf.DUMMYFUNCTION("UNIQUE('Raw Data Sales'!H498:H1496 &amp; "" "" &amp; 'Raw Data Sales'!I498:I1496)"),"Rodney Hancox")</f>
        <v>Rodney Hancox</v>
      </c>
      <c r="B498" s="6" t="str">
        <f>IFERROR(__xludf.DUMMYFUNCTION("""COMPUTED_VALUE"""),"rhancoxds@noaa.gov")</f>
        <v>rhancoxds@noaa.gov</v>
      </c>
      <c r="C498" s="6" t="str">
        <f>IFERROR(__xludf.DUMMYFUNCTION("""COMPUTED_VALUE"""),"Libya")</f>
        <v>Libya</v>
      </c>
      <c r="D498" s="6">
        <f>COUNTIFS('Raw Data Sales'!H498:H1496, LEFT(A498, FIND(" ",A498)-1), 'Raw Data Sales'!I498:I1496, MID(A498, FIND(" ",A498)+1, 100))</f>
        <v>1</v>
      </c>
      <c r="E498" s="6">
        <f>SUMIFS('Raw Data Sales'!M498:M1496, 'Raw Data Sales'!H498:H1496, LEFT(A498, FIND(" ",A498)-1), 'Raw Data Sales'!I498:I1496, MID(A498, FIND(" ",A498)+1, 100))</f>
        <v>72</v>
      </c>
      <c r="F498" s="6">
        <f>SUMIFS('Raw Data Sales'!N498:N1496, 'Raw Data Sales'!H498:H1496, LEFT(A498, FIND(" ",A498)-1), 'Raw Data Sales'!I498:I1496, MID(A498, FIND(" ",A498)+1, 100))</f>
        <v>8836.44</v>
      </c>
    </row>
    <row r="499">
      <c r="A499" s="6" t="str">
        <f>IFERROR(__xludf.DUMMYFUNCTION("UNIQUE('Raw Data Sales'!H499:H1497 &amp; "" "" &amp; 'Raw Data Sales'!I499:I1497)"),"Siffre Coldman")</f>
        <v>Siffre Coldman</v>
      </c>
      <c r="B499" s="6" t="str">
        <f>IFERROR(__xludf.DUMMYFUNCTION("""COMPUTED_VALUE"""),"scoldmandt@craigslist.org")</f>
        <v>scoldmandt@craigslist.org</v>
      </c>
      <c r="C499" s="6" t="str">
        <f>IFERROR(__xludf.DUMMYFUNCTION("""COMPUTED_VALUE"""),"Thailand")</f>
        <v>Thailand</v>
      </c>
      <c r="D499" s="6">
        <f>COUNTIFS('Raw Data Sales'!H499:H1497, LEFT(A499, FIND(" ",A499)-1), 'Raw Data Sales'!I499:I1497, MID(A499, FIND(" ",A499)+1, 100))</f>
        <v>1</v>
      </c>
      <c r="E499" s="6">
        <f>SUMIFS('Raw Data Sales'!M499:M1497, 'Raw Data Sales'!H499:H1497, LEFT(A499, FIND(" ",A499)-1), 'Raw Data Sales'!I499:I1497, MID(A499, FIND(" ",A499)+1, 100))</f>
        <v>87</v>
      </c>
      <c r="F499" s="6">
        <f>SUMIFS('Raw Data Sales'!N499:N1497, 'Raw Data Sales'!H499:H1497, LEFT(A499, FIND(" ",A499)-1), 'Raw Data Sales'!I499:I1497, MID(A499, FIND(" ",A499)+1, 100))</f>
        <v>6666.96</v>
      </c>
    </row>
    <row r="500">
      <c r="A500" s="6" t="str">
        <f>IFERROR(__xludf.DUMMYFUNCTION("UNIQUE('Raw Data Sales'!H500:H1498 &amp; "" "" &amp; 'Raw Data Sales'!I500:I1498)"),"Had Mansel")</f>
        <v>Had Mansel</v>
      </c>
      <c r="B500" s="6" t="str">
        <f>IFERROR(__xludf.DUMMYFUNCTION("""COMPUTED_VALUE"""),"hmanseldu@theatlantic.com")</f>
        <v>hmanseldu@theatlantic.com</v>
      </c>
      <c r="C500" s="6" t="str">
        <f>IFERROR(__xludf.DUMMYFUNCTION("""COMPUTED_VALUE"""),"Russia")</f>
        <v>Russia</v>
      </c>
      <c r="D500" s="6">
        <f>COUNTIFS('Raw Data Sales'!H500:H1498, LEFT(A500, FIND(" ",A500)-1), 'Raw Data Sales'!I500:I1498, MID(A500, FIND(" ",A500)+1, 100))</f>
        <v>1</v>
      </c>
      <c r="E500" s="6">
        <f>SUMIFS('Raw Data Sales'!M500:M1498, 'Raw Data Sales'!H500:H1498, LEFT(A500, FIND(" ",A500)-1), 'Raw Data Sales'!I500:I1498, MID(A500, FIND(" ",A500)+1, 100))</f>
        <v>33</v>
      </c>
      <c r="F500" s="6">
        <f>SUMIFS('Raw Data Sales'!N500:N1498, 'Raw Data Sales'!H500:H1498, LEFT(A500, FIND(" ",A500)-1), 'Raw Data Sales'!I500:I1498, MID(A500, FIND(" ",A500)+1, 100))</f>
        <v>1771.75</v>
      </c>
    </row>
    <row r="501">
      <c r="A501" s="6" t="str">
        <f>IFERROR(__xludf.DUMMYFUNCTION("UNIQUE('Raw Data Sales'!H501:H1499 &amp; "" "" &amp; 'Raw Data Sales'!I501:I1499)"),"Mareah Halgarth")</f>
        <v>Mareah Halgarth</v>
      </c>
      <c r="B501" s="6" t="str">
        <f>IFERROR(__xludf.DUMMYFUNCTION("""COMPUTED_VALUE"""),"mhalgarthdv@t.co")</f>
        <v>mhalgarthdv@t.co</v>
      </c>
      <c r="C501" s="6" t="str">
        <f>IFERROR(__xludf.DUMMYFUNCTION("""COMPUTED_VALUE"""),"Philippines")</f>
        <v>Philippines</v>
      </c>
      <c r="D501" s="6">
        <f>COUNTIFS('Raw Data Sales'!H501:H1499, LEFT(A501, FIND(" ",A501)-1), 'Raw Data Sales'!I501:I1499, MID(A501, FIND(" ",A501)+1, 100))</f>
        <v>1</v>
      </c>
      <c r="E501" s="6">
        <f>SUMIFS('Raw Data Sales'!M501:M1499, 'Raw Data Sales'!H501:H1499, LEFT(A501, FIND(" ",A501)-1), 'Raw Data Sales'!I501:I1499, MID(A501, FIND(" ",A501)+1, 100))</f>
        <v>51</v>
      </c>
      <c r="F501" s="6">
        <f>SUMIFS('Raw Data Sales'!N501:N1499, 'Raw Data Sales'!H501:H1499, LEFT(A501, FIND(" ",A501)-1), 'Raw Data Sales'!I501:I1499, MID(A501, FIND(" ",A501)+1, 100))</f>
        <v>3359.77</v>
      </c>
    </row>
    <row r="502">
      <c r="A502" s="6" t="str">
        <f>IFERROR(__xludf.DUMMYFUNCTION("UNIQUE('Raw Data Sales'!H502:H1500 &amp; "" "" &amp; 'Raw Data Sales'!I502:I1500)"),"Josefina Pods")</f>
        <v>Josefina Pods</v>
      </c>
      <c r="B502" s="6" t="str">
        <f>IFERROR(__xludf.DUMMYFUNCTION("""COMPUTED_VALUE"""),"jpodsdw@dailymotion.com")</f>
        <v>jpodsdw@dailymotion.com</v>
      </c>
      <c r="C502" s="6" t="str">
        <f>IFERROR(__xludf.DUMMYFUNCTION("""COMPUTED_VALUE"""),"Canada")</f>
        <v>Canada</v>
      </c>
      <c r="D502" s="6">
        <f>COUNTIFS('Raw Data Sales'!H502:H1500, LEFT(A502, FIND(" ",A502)-1), 'Raw Data Sales'!I502:I1500, MID(A502, FIND(" ",A502)+1, 100))</f>
        <v>1</v>
      </c>
      <c r="E502" s="6">
        <f>SUMIFS('Raw Data Sales'!M502:M1500, 'Raw Data Sales'!H502:H1500, LEFT(A502, FIND(" ",A502)-1), 'Raw Data Sales'!I502:I1500, MID(A502, FIND(" ",A502)+1, 100))</f>
        <v>95</v>
      </c>
      <c r="F502" s="6">
        <f>SUMIFS('Raw Data Sales'!N502:N1500, 'Raw Data Sales'!H502:H1500, LEFT(A502, FIND(" ",A502)-1), 'Raw Data Sales'!I502:I1500, MID(A502, FIND(" ",A502)+1, 100))</f>
        <v>4322.41</v>
      </c>
    </row>
    <row r="503">
      <c r="A503" s="6" t="str">
        <f>IFERROR(__xludf.DUMMYFUNCTION("UNIQUE('Raw Data Sales'!H503:H1501 &amp; "" "" &amp; 'Raw Data Sales'!I503:I1501)"),"Nick Banasik")</f>
        <v>Nick Banasik</v>
      </c>
      <c r="B503" s="6" t="str">
        <f>IFERROR(__xludf.DUMMYFUNCTION("""COMPUTED_VALUE"""),"nbanasikdx@tumblr.com")</f>
        <v>nbanasikdx@tumblr.com</v>
      </c>
      <c r="C503" s="6" t="str">
        <f>IFERROR(__xludf.DUMMYFUNCTION("""COMPUTED_VALUE"""),"France")</f>
        <v>France</v>
      </c>
      <c r="D503" s="6">
        <f>COUNTIFS('Raw Data Sales'!H503:H1501, LEFT(A503, FIND(" ",A503)-1), 'Raw Data Sales'!I503:I1501, MID(A503, FIND(" ",A503)+1, 100))</f>
        <v>1</v>
      </c>
      <c r="E503" s="6">
        <f>SUMIFS('Raw Data Sales'!M503:M1501, 'Raw Data Sales'!H503:H1501, LEFT(A503, FIND(" ",A503)-1), 'Raw Data Sales'!I503:I1501, MID(A503, FIND(" ",A503)+1, 100))</f>
        <v>83</v>
      </c>
      <c r="F503" s="6">
        <f>SUMIFS('Raw Data Sales'!N503:N1501, 'Raw Data Sales'!H503:H1501, LEFT(A503, FIND(" ",A503)-1), 'Raw Data Sales'!I503:I1501, MID(A503, FIND(" ",A503)+1, 100))</f>
        <v>1931.48</v>
      </c>
    </row>
    <row r="504">
      <c r="A504" s="6" t="str">
        <f>IFERROR(__xludf.DUMMYFUNCTION("UNIQUE('Raw Data Sales'!H504:H1502 &amp; "" "" &amp; 'Raw Data Sales'!I504:I1502)"),"Liv Milmore")</f>
        <v>Liv Milmore</v>
      </c>
      <c r="B504" s="6" t="str">
        <f>IFERROR(__xludf.DUMMYFUNCTION("""COMPUTED_VALUE"""),"lmilmoredy@ucoz.ru")</f>
        <v>lmilmoredy@ucoz.ru</v>
      </c>
      <c r="C504" s="6" t="str">
        <f>IFERROR(__xludf.DUMMYFUNCTION("""COMPUTED_VALUE"""),"Mongolia")</f>
        <v>Mongolia</v>
      </c>
      <c r="D504" s="6">
        <f>COUNTIFS('Raw Data Sales'!H504:H1502, LEFT(A504, FIND(" ",A504)-1), 'Raw Data Sales'!I504:I1502, MID(A504, FIND(" ",A504)+1, 100))</f>
        <v>1</v>
      </c>
      <c r="E504" s="6">
        <f>SUMIFS('Raw Data Sales'!M504:M1502, 'Raw Data Sales'!H504:H1502, LEFT(A504, FIND(" ",A504)-1), 'Raw Data Sales'!I504:I1502, MID(A504, FIND(" ",A504)+1, 100))</f>
        <v>24</v>
      </c>
      <c r="F504" s="6">
        <f>SUMIFS('Raw Data Sales'!N504:N1502, 'Raw Data Sales'!H504:H1502, LEFT(A504, FIND(" ",A504)-1), 'Raw Data Sales'!I504:I1502, MID(A504, FIND(" ",A504)+1, 100))</f>
        <v>9654.73</v>
      </c>
    </row>
    <row r="505">
      <c r="A505" s="6" t="str">
        <f>IFERROR(__xludf.DUMMYFUNCTION("UNIQUE('Raw Data Sales'!H505:H1503 &amp; "" "" &amp; 'Raw Data Sales'!I505:I1503)"),"Packston Gorringe")</f>
        <v>Packston Gorringe</v>
      </c>
      <c r="B505" s="6" t="str">
        <f>IFERROR(__xludf.DUMMYFUNCTION("""COMPUTED_VALUE"""),"pgorringedz@vistaprint.com")</f>
        <v>pgorringedz@vistaprint.com</v>
      </c>
      <c r="C505" s="6" t="str">
        <f>IFERROR(__xludf.DUMMYFUNCTION("""COMPUTED_VALUE"""),"China")</f>
        <v>China</v>
      </c>
      <c r="D505" s="6">
        <f>COUNTIFS('Raw Data Sales'!H505:H1503, LEFT(A505, FIND(" ",A505)-1), 'Raw Data Sales'!I505:I1503, MID(A505, FIND(" ",A505)+1, 100))</f>
        <v>1</v>
      </c>
      <c r="E505" s="6">
        <f>SUMIFS('Raw Data Sales'!M505:M1503, 'Raw Data Sales'!H505:H1503, LEFT(A505, FIND(" ",A505)-1), 'Raw Data Sales'!I505:I1503, MID(A505, FIND(" ",A505)+1, 100))</f>
        <v>66</v>
      </c>
      <c r="F505" s="6">
        <f>SUMIFS('Raw Data Sales'!N505:N1503, 'Raw Data Sales'!H505:H1503, LEFT(A505, FIND(" ",A505)-1), 'Raw Data Sales'!I505:I1503, MID(A505, FIND(" ",A505)+1, 100))</f>
        <v>9146.71</v>
      </c>
    </row>
    <row r="506">
      <c r="A506" s="6" t="str">
        <f>IFERROR(__xludf.DUMMYFUNCTION("UNIQUE('Raw Data Sales'!H506:H1504 &amp; "" "" &amp; 'Raw Data Sales'!I506:I1504)"),"Loren Form")</f>
        <v>Loren Form</v>
      </c>
      <c r="B506" s="6" t="str">
        <f>IFERROR(__xludf.DUMMYFUNCTION("""COMPUTED_VALUE"""),"lforme0@mapquest.com")</f>
        <v>lforme0@mapquest.com</v>
      </c>
      <c r="C506" s="6" t="str">
        <f>IFERROR(__xludf.DUMMYFUNCTION("""COMPUTED_VALUE"""),"Serbia")</f>
        <v>Serbia</v>
      </c>
      <c r="D506" s="6">
        <f>COUNTIFS('Raw Data Sales'!H506:H1504, LEFT(A506, FIND(" ",A506)-1), 'Raw Data Sales'!I506:I1504, MID(A506, FIND(" ",A506)+1, 100))</f>
        <v>1</v>
      </c>
      <c r="E506" s="6">
        <f>SUMIFS('Raw Data Sales'!M506:M1504, 'Raw Data Sales'!H506:H1504, LEFT(A506, FIND(" ",A506)-1), 'Raw Data Sales'!I506:I1504, MID(A506, FIND(" ",A506)+1, 100))</f>
        <v>2</v>
      </c>
      <c r="F506" s="6">
        <f>SUMIFS('Raw Data Sales'!N506:N1504, 'Raw Data Sales'!H506:H1504, LEFT(A506, FIND(" ",A506)-1), 'Raw Data Sales'!I506:I1504, MID(A506, FIND(" ",A506)+1, 100))</f>
        <v>893.11</v>
      </c>
    </row>
    <row r="507">
      <c r="A507" s="6" t="str">
        <f>IFERROR(__xludf.DUMMYFUNCTION("UNIQUE('Raw Data Sales'!H507:H1505 &amp; "" "" &amp; 'Raw Data Sales'!I507:I1505)"),"Rhett Doman")</f>
        <v>Rhett Doman</v>
      </c>
      <c r="B507" s="6" t="str">
        <f>IFERROR(__xludf.DUMMYFUNCTION("""COMPUTED_VALUE"""),"rdomane1@hao123.com")</f>
        <v>rdomane1@hao123.com</v>
      </c>
      <c r="C507" s="6" t="str">
        <f>IFERROR(__xludf.DUMMYFUNCTION("""COMPUTED_VALUE"""),"Brazil")</f>
        <v>Brazil</v>
      </c>
      <c r="D507" s="6">
        <f>COUNTIFS('Raw Data Sales'!H507:H1505, LEFT(A507, FIND(" ",A507)-1), 'Raw Data Sales'!I507:I1505, MID(A507, FIND(" ",A507)+1, 100))</f>
        <v>1</v>
      </c>
      <c r="E507" s="6">
        <f>SUMIFS('Raw Data Sales'!M507:M1505, 'Raw Data Sales'!H507:H1505, LEFT(A507, FIND(" ",A507)-1), 'Raw Data Sales'!I507:I1505, MID(A507, FIND(" ",A507)+1, 100))</f>
        <v>5</v>
      </c>
      <c r="F507" s="6">
        <f>SUMIFS('Raw Data Sales'!N507:N1505, 'Raw Data Sales'!H507:H1505, LEFT(A507, FIND(" ",A507)-1), 'Raw Data Sales'!I507:I1505, MID(A507, FIND(" ",A507)+1, 100))</f>
        <v>3080.63</v>
      </c>
    </row>
    <row r="508">
      <c r="A508" s="6" t="str">
        <f>IFERROR(__xludf.DUMMYFUNCTION("UNIQUE('Raw Data Sales'!H508:H1506 &amp; "" "" &amp; 'Raw Data Sales'!I508:I1506)"),"Eadith Jackman")</f>
        <v>Eadith Jackman</v>
      </c>
      <c r="B508" s="6" t="str">
        <f>IFERROR(__xludf.DUMMYFUNCTION("""COMPUTED_VALUE"""),"ejackmane2@angelfire.com")</f>
        <v>ejackmane2@angelfire.com</v>
      </c>
      <c r="C508" s="6" t="str">
        <f>IFERROR(__xludf.DUMMYFUNCTION("""COMPUTED_VALUE"""),"China")</f>
        <v>China</v>
      </c>
      <c r="D508" s="6">
        <f>COUNTIFS('Raw Data Sales'!H508:H1506, LEFT(A508, FIND(" ",A508)-1), 'Raw Data Sales'!I508:I1506, MID(A508, FIND(" ",A508)+1, 100))</f>
        <v>1</v>
      </c>
      <c r="E508" s="6">
        <f>SUMIFS('Raw Data Sales'!M508:M1506, 'Raw Data Sales'!H508:H1506, LEFT(A508, FIND(" ",A508)-1), 'Raw Data Sales'!I508:I1506, MID(A508, FIND(" ",A508)+1, 100))</f>
        <v>93</v>
      </c>
      <c r="F508" s="6">
        <f>SUMIFS('Raw Data Sales'!N508:N1506, 'Raw Data Sales'!H508:H1506, LEFT(A508, FIND(" ",A508)-1), 'Raw Data Sales'!I508:I1506, MID(A508, FIND(" ",A508)+1, 100))</f>
        <v>8422.24</v>
      </c>
    </row>
    <row r="509">
      <c r="A509" s="6" t="str">
        <f>IFERROR(__xludf.DUMMYFUNCTION("UNIQUE('Raw Data Sales'!H509:H1507 &amp; "" "" &amp; 'Raw Data Sales'!I509:I1507)"),"Letizia Valerius")</f>
        <v>Letizia Valerius</v>
      </c>
      <c r="B509" s="6" t="str">
        <f>IFERROR(__xludf.DUMMYFUNCTION("""COMPUTED_VALUE"""),"lvaleriuse3@ow.ly")</f>
        <v>lvaleriuse3@ow.ly</v>
      </c>
      <c r="C509" s="6" t="str">
        <f>IFERROR(__xludf.DUMMYFUNCTION("""COMPUTED_VALUE"""),"Mexico")</f>
        <v>Mexico</v>
      </c>
      <c r="D509" s="6">
        <f>COUNTIFS('Raw Data Sales'!H509:H1507, LEFT(A509, FIND(" ",A509)-1), 'Raw Data Sales'!I509:I1507, MID(A509, FIND(" ",A509)+1, 100))</f>
        <v>1</v>
      </c>
      <c r="E509" s="6">
        <f>SUMIFS('Raw Data Sales'!M509:M1507, 'Raw Data Sales'!H509:H1507, LEFT(A509, FIND(" ",A509)-1), 'Raw Data Sales'!I509:I1507, MID(A509, FIND(" ",A509)+1, 100))</f>
        <v>81</v>
      </c>
      <c r="F509" s="6">
        <f>SUMIFS('Raw Data Sales'!N509:N1507, 'Raw Data Sales'!H509:H1507, LEFT(A509, FIND(" ",A509)-1), 'Raw Data Sales'!I509:I1507, MID(A509, FIND(" ",A509)+1, 100))</f>
        <v>5446.05</v>
      </c>
    </row>
    <row r="510">
      <c r="A510" s="6" t="str">
        <f>IFERROR(__xludf.DUMMYFUNCTION("UNIQUE('Raw Data Sales'!H510:H1508 &amp; "" "" &amp; 'Raw Data Sales'!I510:I1508)"),"Maxy Eakly")</f>
        <v>Maxy Eakly</v>
      </c>
      <c r="B510" s="6" t="str">
        <f>IFERROR(__xludf.DUMMYFUNCTION("""COMPUTED_VALUE"""),"meaklye4@blogger.com")</f>
        <v>meaklye4@blogger.com</v>
      </c>
      <c r="C510" s="6" t="str">
        <f>IFERROR(__xludf.DUMMYFUNCTION("""COMPUTED_VALUE"""),"Poland")</f>
        <v>Poland</v>
      </c>
      <c r="D510" s="6">
        <f>COUNTIFS('Raw Data Sales'!H510:H1508, LEFT(A510, FIND(" ",A510)-1), 'Raw Data Sales'!I510:I1508, MID(A510, FIND(" ",A510)+1, 100))</f>
        <v>1</v>
      </c>
      <c r="E510" s="6">
        <f>SUMIFS('Raw Data Sales'!M510:M1508, 'Raw Data Sales'!H510:H1508, LEFT(A510, FIND(" ",A510)-1), 'Raw Data Sales'!I510:I1508, MID(A510, FIND(" ",A510)+1, 100))</f>
        <v>75</v>
      </c>
      <c r="F510" s="6">
        <f>SUMIFS('Raw Data Sales'!N510:N1508, 'Raw Data Sales'!H510:H1508, LEFT(A510, FIND(" ",A510)-1), 'Raw Data Sales'!I510:I1508, MID(A510, FIND(" ",A510)+1, 100))</f>
        <v>1446.95</v>
      </c>
    </row>
    <row r="511">
      <c r="A511" s="6" t="str">
        <f>IFERROR(__xludf.DUMMYFUNCTION("UNIQUE('Raw Data Sales'!H511:H1509 &amp; "" "" &amp; 'Raw Data Sales'!I511:I1509)"),"Levy Cowthart")</f>
        <v>Levy Cowthart</v>
      </c>
      <c r="B511" s="6" t="str">
        <f>IFERROR(__xludf.DUMMYFUNCTION("""COMPUTED_VALUE"""),"lcowtharte5@4shared.com")</f>
        <v>lcowtharte5@4shared.com</v>
      </c>
      <c r="C511" s="6" t="str">
        <f>IFERROR(__xludf.DUMMYFUNCTION("""COMPUTED_VALUE"""),"France")</f>
        <v>France</v>
      </c>
      <c r="D511" s="6">
        <f>COUNTIFS('Raw Data Sales'!H511:H1509, LEFT(A511, FIND(" ",A511)-1), 'Raw Data Sales'!I511:I1509, MID(A511, FIND(" ",A511)+1, 100))</f>
        <v>1</v>
      </c>
      <c r="E511" s="6">
        <f>SUMIFS('Raw Data Sales'!M511:M1509, 'Raw Data Sales'!H511:H1509, LEFT(A511, FIND(" ",A511)-1), 'Raw Data Sales'!I511:I1509, MID(A511, FIND(" ",A511)+1, 100))</f>
        <v>89</v>
      </c>
      <c r="F511" s="6">
        <f>SUMIFS('Raw Data Sales'!N511:N1509, 'Raw Data Sales'!H511:H1509, LEFT(A511, FIND(" ",A511)-1), 'Raw Data Sales'!I511:I1509, MID(A511, FIND(" ",A511)+1, 100))</f>
        <v>6881.97</v>
      </c>
    </row>
    <row r="512">
      <c r="A512" s="6" t="str">
        <f>IFERROR(__xludf.DUMMYFUNCTION("UNIQUE('Raw Data Sales'!H512:H1510 &amp; "" "" &amp; 'Raw Data Sales'!I512:I1510)"),"Brittani Erickssen")</f>
        <v>Brittani Erickssen</v>
      </c>
      <c r="B512" s="6" t="str">
        <f>IFERROR(__xludf.DUMMYFUNCTION("""COMPUTED_VALUE"""),"berickssene6@trellian.com")</f>
        <v>berickssene6@trellian.com</v>
      </c>
      <c r="C512" s="6" t="str">
        <f>IFERROR(__xludf.DUMMYFUNCTION("""COMPUTED_VALUE"""),"China")</f>
        <v>China</v>
      </c>
      <c r="D512" s="6">
        <f>COUNTIFS('Raw Data Sales'!H512:H1510, LEFT(A512, FIND(" ",A512)-1), 'Raw Data Sales'!I512:I1510, MID(A512, FIND(" ",A512)+1, 100))</f>
        <v>1</v>
      </c>
      <c r="E512" s="6">
        <f>SUMIFS('Raw Data Sales'!M512:M1510, 'Raw Data Sales'!H512:H1510, LEFT(A512, FIND(" ",A512)-1), 'Raw Data Sales'!I512:I1510, MID(A512, FIND(" ",A512)+1, 100))</f>
        <v>6</v>
      </c>
      <c r="F512" s="6">
        <f>SUMIFS('Raw Data Sales'!N512:N1510, 'Raw Data Sales'!H512:H1510, LEFT(A512, FIND(" ",A512)-1), 'Raw Data Sales'!I512:I1510, MID(A512, FIND(" ",A512)+1, 100))</f>
        <v>2827.05</v>
      </c>
    </row>
    <row r="513">
      <c r="A513" s="6" t="str">
        <f>IFERROR(__xludf.DUMMYFUNCTION("UNIQUE('Raw Data Sales'!H513:H1511 &amp; "" "" &amp; 'Raw Data Sales'!I513:I1511)"),"Lynne Moring")</f>
        <v>Lynne Moring</v>
      </c>
      <c r="B513" s="6" t="str">
        <f>IFERROR(__xludf.DUMMYFUNCTION("""COMPUTED_VALUE"""),"lmoringe7@moonfruit.com")</f>
        <v>lmoringe7@moonfruit.com</v>
      </c>
      <c r="C513" s="6" t="str">
        <f>IFERROR(__xludf.DUMMYFUNCTION("""COMPUTED_VALUE"""),"Morocco")</f>
        <v>Morocco</v>
      </c>
      <c r="D513" s="6">
        <f>COUNTIFS('Raw Data Sales'!H513:H1511, LEFT(A513, FIND(" ",A513)-1), 'Raw Data Sales'!I513:I1511, MID(A513, FIND(" ",A513)+1, 100))</f>
        <v>1</v>
      </c>
      <c r="E513" s="6">
        <f>SUMIFS('Raw Data Sales'!M513:M1511, 'Raw Data Sales'!H513:H1511, LEFT(A513, FIND(" ",A513)-1), 'Raw Data Sales'!I513:I1511, MID(A513, FIND(" ",A513)+1, 100))</f>
        <v>10</v>
      </c>
      <c r="F513" s="6">
        <f>SUMIFS('Raw Data Sales'!N513:N1511, 'Raw Data Sales'!H513:H1511, LEFT(A513, FIND(" ",A513)-1), 'Raw Data Sales'!I513:I1511, MID(A513, FIND(" ",A513)+1, 100))</f>
        <v>2568.94</v>
      </c>
    </row>
    <row r="514">
      <c r="A514" s="6" t="str">
        <f>IFERROR(__xludf.DUMMYFUNCTION("UNIQUE('Raw Data Sales'!H514:H1512 &amp; "" "" &amp; 'Raw Data Sales'!I514:I1512)"),"Christal Lorman")</f>
        <v>Christal Lorman</v>
      </c>
      <c r="B514" s="6" t="str">
        <f>IFERROR(__xludf.DUMMYFUNCTION("""COMPUTED_VALUE"""),"clormane8@home.pl")</f>
        <v>clormane8@home.pl</v>
      </c>
      <c r="C514" s="6" t="str">
        <f>IFERROR(__xludf.DUMMYFUNCTION("""COMPUTED_VALUE"""),"Cyprus")</f>
        <v>Cyprus</v>
      </c>
      <c r="D514" s="6">
        <f>COUNTIFS('Raw Data Sales'!H514:H1512, LEFT(A514, FIND(" ",A514)-1), 'Raw Data Sales'!I514:I1512, MID(A514, FIND(" ",A514)+1, 100))</f>
        <v>1</v>
      </c>
      <c r="E514" s="6">
        <f>SUMIFS('Raw Data Sales'!M514:M1512, 'Raw Data Sales'!H514:H1512, LEFT(A514, FIND(" ",A514)-1), 'Raw Data Sales'!I514:I1512, MID(A514, FIND(" ",A514)+1, 100))</f>
        <v>25</v>
      </c>
      <c r="F514" s="6">
        <f>SUMIFS('Raw Data Sales'!N514:N1512, 'Raw Data Sales'!H514:H1512, LEFT(A514, FIND(" ",A514)-1), 'Raw Data Sales'!I514:I1512, MID(A514, FIND(" ",A514)+1, 100))</f>
        <v>6688.85</v>
      </c>
    </row>
    <row r="515">
      <c r="A515" s="6" t="str">
        <f>IFERROR(__xludf.DUMMYFUNCTION("UNIQUE('Raw Data Sales'!H515:H1513 &amp; "" "" &amp; 'Raw Data Sales'!I515:I1513)"),"Ellynn Staning")</f>
        <v>Ellynn Staning</v>
      </c>
      <c r="B515" s="6" t="str">
        <f>IFERROR(__xludf.DUMMYFUNCTION("""COMPUTED_VALUE"""),"estaninge9@privacy.gov.au")</f>
        <v>estaninge9@privacy.gov.au</v>
      </c>
      <c r="C515" s="6" t="str">
        <f>IFERROR(__xludf.DUMMYFUNCTION("""COMPUTED_VALUE"""),"China")</f>
        <v>China</v>
      </c>
      <c r="D515" s="6">
        <f>COUNTIFS('Raw Data Sales'!H515:H1513, LEFT(A515, FIND(" ",A515)-1), 'Raw Data Sales'!I515:I1513, MID(A515, FIND(" ",A515)+1, 100))</f>
        <v>1</v>
      </c>
      <c r="E515" s="6">
        <f>SUMIFS('Raw Data Sales'!M515:M1513, 'Raw Data Sales'!H515:H1513, LEFT(A515, FIND(" ",A515)-1), 'Raw Data Sales'!I515:I1513, MID(A515, FIND(" ",A515)+1, 100))</f>
        <v>79</v>
      </c>
      <c r="F515" s="6">
        <f>SUMIFS('Raw Data Sales'!N515:N1513, 'Raw Data Sales'!H515:H1513, LEFT(A515, FIND(" ",A515)-1), 'Raw Data Sales'!I515:I1513, MID(A515, FIND(" ",A515)+1, 100))</f>
        <v>29.31</v>
      </c>
    </row>
    <row r="516">
      <c r="A516" s="6" t="str">
        <f>IFERROR(__xludf.DUMMYFUNCTION("UNIQUE('Raw Data Sales'!H516:H1514 &amp; "" "" &amp; 'Raw Data Sales'!I516:I1514)"),"Timmy Sackey")</f>
        <v>Timmy Sackey</v>
      </c>
      <c r="B516" s="6" t="str">
        <f>IFERROR(__xludf.DUMMYFUNCTION("""COMPUTED_VALUE"""),"tsackeyea@slate.com")</f>
        <v>tsackeyea@slate.com</v>
      </c>
      <c r="C516" s="6" t="str">
        <f>IFERROR(__xludf.DUMMYFUNCTION("""COMPUTED_VALUE"""),"Indonesia")</f>
        <v>Indonesia</v>
      </c>
      <c r="D516" s="6">
        <f>COUNTIFS('Raw Data Sales'!H516:H1514, LEFT(A516, FIND(" ",A516)-1), 'Raw Data Sales'!I516:I1514, MID(A516, FIND(" ",A516)+1, 100))</f>
        <v>1</v>
      </c>
      <c r="E516" s="6">
        <f>SUMIFS('Raw Data Sales'!M516:M1514, 'Raw Data Sales'!H516:H1514, LEFT(A516, FIND(" ",A516)-1), 'Raw Data Sales'!I516:I1514, MID(A516, FIND(" ",A516)+1, 100))</f>
        <v>100</v>
      </c>
      <c r="F516" s="6">
        <f>SUMIFS('Raw Data Sales'!N516:N1514, 'Raw Data Sales'!H516:H1514, LEFT(A516, FIND(" ",A516)-1), 'Raw Data Sales'!I516:I1514, MID(A516, FIND(" ",A516)+1, 100))</f>
        <v>4720.58</v>
      </c>
    </row>
    <row r="517">
      <c r="A517" s="6" t="str">
        <f>IFERROR(__xludf.DUMMYFUNCTION("UNIQUE('Raw Data Sales'!H517:H1515 &amp; "" "" &amp; 'Raw Data Sales'!I517:I1515)"),"Nikita Coghill")</f>
        <v>Nikita Coghill</v>
      </c>
      <c r="B517" s="6" t="str">
        <f>IFERROR(__xludf.DUMMYFUNCTION("""COMPUTED_VALUE"""),"ncoghilleb@shinystat.com")</f>
        <v>ncoghilleb@shinystat.com</v>
      </c>
      <c r="C517" s="6" t="str">
        <f>IFERROR(__xludf.DUMMYFUNCTION("""COMPUTED_VALUE"""),"Czech Republic")</f>
        <v>Czech Republic</v>
      </c>
      <c r="D517" s="6">
        <f>COUNTIFS('Raw Data Sales'!H517:H1515, LEFT(A517, FIND(" ",A517)-1), 'Raw Data Sales'!I517:I1515, MID(A517, FIND(" ",A517)+1, 100))</f>
        <v>1</v>
      </c>
      <c r="E517" s="6">
        <f>SUMIFS('Raw Data Sales'!M517:M1515, 'Raw Data Sales'!H517:H1515, LEFT(A517, FIND(" ",A517)-1), 'Raw Data Sales'!I517:I1515, MID(A517, FIND(" ",A517)+1, 100))</f>
        <v>83</v>
      </c>
      <c r="F517" s="6">
        <f>SUMIFS('Raw Data Sales'!N517:N1515, 'Raw Data Sales'!H517:H1515, LEFT(A517, FIND(" ",A517)-1), 'Raw Data Sales'!I517:I1515, MID(A517, FIND(" ",A517)+1, 100))</f>
        <v>319.62</v>
      </c>
    </row>
    <row r="518">
      <c r="A518" s="6" t="str">
        <f>IFERROR(__xludf.DUMMYFUNCTION("UNIQUE('Raw Data Sales'!H518:H1516 &amp; "" "" &amp; 'Raw Data Sales'!I518:I1516)"),"Jefferson Whiskin")</f>
        <v>Jefferson Whiskin</v>
      </c>
      <c r="B518" s="6" t="str">
        <f>IFERROR(__xludf.DUMMYFUNCTION("""COMPUTED_VALUE"""),"jwhiskinec@umich.edu")</f>
        <v>jwhiskinec@umich.edu</v>
      </c>
      <c r="C518" s="6" t="str">
        <f>IFERROR(__xludf.DUMMYFUNCTION("""COMPUTED_VALUE"""),"China")</f>
        <v>China</v>
      </c>
      <c r="D518" s="6">
        <f>COUNTIFS('Raw Data Sales'!H518:H1516, LEFT(A518, FIND(" ",A518)-1), 'Raw Data Sales'!I518:I1516, MID(A518, FIND(" ",A518)+1, 100))</f>
        <v>1</v>
      </c>
      <c r="E518" s="6">
        <f>SUMIFS('Raw Data Sales'!M518:M1516, 'Raw Data Sales'!H518:H1516, LEFT(A518, FIND(" ",A518)-1), 'Raw Data Sales'!I518:I1516, MID(A518, FIND(" ",A518)+1, 100))</f>
        <v>53</v>
      </c>
      <c r="F518" s="6">
        <f>SUMIFS('Raw Data Sales'!N518:N1516, 'Raw Data Sales'!H518:H1516, LEFT(A518, FIND(" ",A518)-1), 'Raw Data Sales'!I518:I1516, MID(A518, FIND(" ",A518)+1, 100))</f>
        <v>8098</v>
      </c>
    </row>
    <row r="519">
      <c r="A519" s="6" t="str">
        <f>IFERROR(__xludf.DUMMYFUNCTION("UNIQUE('Raw Data Sales'!H519:H1517 &amp; "" "" &amp; 'Raw Data Sales'!I519:I1517)"),"Ermanno Bould")</f>
        <v>Ermanno Bould</v>
      </c>
      <c r="B519" s="6" t="str">
        <f>IFERROR(__xludf.DUMMYFUNCTION("""COMPUTED_VALUE"""),"eboulded@ft.com")</f>
        <v>eboulded@ft.com</v>
      </c>
      <c r="C519" s="6" t="str">
        <f>IFERROR(__xludf.DUMMYFUNCTION("""COMPUTED_VALUE"""),"Argentina")</f>
        <v>Argentina</v>
      </c>
      <c r="D519" s="6">
        <f>COUNTIFS('Raw Data Sales'!H519:H1517, LEFT(A519, FIND(" ",A519)-1), 'Raw Data Sales'!I519:I1517, MID(A519, FIND(" ",A519)+1, 100))</f>
        <v>1</v>
      </c>
      <c r="E519" s="6">
        <f>SUMIFS('Raw Data Sales'!M519:M1517, 'Raw Data Sales'!H519:H1517, LEFT(A519, FIND(" ",A519)-1), 'Raw Data Sales'!I519:I1517, MID(A519, FIND(" ",A519)+1, 100))</f>
        <v>92</v>
      </c>
      <c r="F519" s="6">
        <f>SUMIFS('Raw Data Sales'!N519:N1517, 'Raw Data Sales'!H519:H1517, LEFT(A519, FIND(" ",A519)-1), 'Raw Data Sales'!I519:I1517, MID(A519, FIND(" ",A519)+1, 100))</f>
        <v>2868.33</v>
      </c>
    </row>
    <row r="520">
      <c r="A520" s="6" t="str">
        <f>IFERROR(__xludf.DUMMYFUNCTION("UNIQUE('Raw Data Sales'!H520:H1518 &amp; "" "" &amp; 'Raw Data Sales'!I520:I1518)"),"Jerrie Corde")</f>
        <v>Jerrie Corde</v>
      </c>
      <c r="B520" s="6" t="str">
        <f>IFERROR(__xludf.DUMMYFUNCTION("""COMPUTED_VALUE"""),"jcordeee@php.net")</f>
        <v>jcordeee@php.net</v>
      </c>
      <c r="C520" s="6" t="str">
        <f>IFERROR(__xludf.DUMMYFUNCTION("""COMPUTED_VALUE"""),"Sweden")</f>
        <v>Sweden</v>
      </c>
      <c r="D520" s="6">
        <f>COUNTIFS('Raw Data Sales'!H520:H1518, LEFT(A520, FIND(" ",A520)-1), 'Raw Data Sales'!I520:I1518, MID(A520, FIND(" ",A520)+1, 100))</f>
        <v>1</v>
      </c>
      <c r="E520" s="6">
        <f>SUMIFS('Raw Data Sales'!M520:M1518, 'Raw Data Sales'!H520:H1518, LEFT(A520, FIND(" ",A520)-1), 'Raw Data Sales'!I520:I1518, MID(A520, FIND(" ",A520)+1, 100))</f>
        <v>84</v>
      </c>
      <c r="F520" s="6">
        <f>SUMIFS('Raw Data Sales'!N520:N1518, 'Raw Data Sales'!H520:H1518, LEFT(A520, FIND(" ",A520)-1), 'Raw Data Sales'!I520:I1518, MID(A520, FIND(" ",A520)+1, 100))</f>
        <v>1317.65</v>
      </c>
    </row>
    <row r="521">
      <c r="A521" s="6" t="str">
        <f>IFERROR(__xludf.DUMMYFUNCTION("UNIQUE('Raw Data Sales'!H521:H1519 &amp; "" "" &amp; 'Raw Data Sales'!I521:I1519)"),"Kelcey Winchurch")</f>
        <v>Kelcey Winchurch</v>
      </c>
      <c r="B521" s="6" t="str">
        <f>IFERROR(__xludf.DUMMYFUNCTION("""COMPUTED_VALUE"""),"kwinchurchef@unc.edu")</f>
        <v>kwinchurchef@unc.edu</v>
      </c>
      <c r="C521" s="6" t="str">
        <f>IFERROR(__xludf.DUMMYFUNCTION("""COMPUTED_VALUE"""),"Peru")</f>
        <v>Peru</v>
      </c>
      <c r="D521" s="6">
        <f>COUNTIFS('Raw Data Sales'!H521:H1519, LEFT(A521, FIND(" ",A521)-1), 'Raw Data Sales'!I521:I1519, MID(A521, FIND(" ",A521)+1, 100))</f>
        <v>1</v>
      </c>
      <c r="E521" s="6">
        <f>SUMIFS('Raw Data Sales'!M521:M1519, 'Raw Data Sales'!H521:H1519, LEFT(A521, FIND(" ",A521)-1), 'Raw Data Sales'!I521:I1519, MID(A521, FIND(" ",A521)+1, 100))</f>
        <v>53</v>
      </c>
      <c r="F521" s="6">
        <f>SUMIFS('Raw Data Sales'!N521:N1519, 'Raw Data Sales'!H521:H1519, LEFT(A521, FIND(" ",A521)-1), 'Raw Data Sales'!I521:I1519, MID(A521, FIND(" ",A521)+1, 100))</f>
        <v>5476.38</v>
      </c>
    </row>
    <row r="522">
      <c r="A522" s="6" t="str">
        <f>IFERROR(__xludf.DUMMYFUNCTION("UNIQUE('Raw Data Sales'!H522:H1520 &amp; "" "" &amp; 'Raw Data Sales'!I522:I1520)"),"Janela Tuther")</f>
        <v>Janela Tuther</v>
      </c>
      <c r="B522" s="6" t="str">
        <f>IFERROR(__xludf.DUMMYFUNCTION("""COMPUTED_VALUE"""),"jtuthereg@reuters.com")</f>
        <v>jtuthereg@reuters.com</v>
      </c>
      <c r="C522" s="6" t="str">
        <f>IFERROR(__xludf.DUMMYFUNCTION("""COMPUTED_VALUE"""),"Peru")</f>
        <v>Peru</v>
      </c>
      <c r="D522" s="6">
        <f>COUNTIFS('Raw Data Sales'!H522:H1520, LEFT(A522, FIND(" ",A522)-1), 'Raw Data Sales'!I522:I1520, MID(A522, FIND(" ",A522)+1, 100))</f>
        <v>1</v>
      </c>
      <c r="E522" s="6">
        <f>SUMIFS('Raw Data Sales'!M522:M1520, 'Raw Data Sales'!H522:H1520, LEFT(A522, FIND(" ",A522)-1), 'Raw Data Sales'!I522:I1520, MID(A522, FIND(" ",A522)+1, 100))</f>
        <v>54</v>
      </c>
      <c r="F522" s="6">
        <f>SUMIFS('Raw Data Sales'!N522:N1520, 'Raw Data Sales'!H522:H1520, LEFT(A522, FIND(" ",A522)-1), 'Raw Data Sales'!I522:I1520, MID(A522, FIND(" ",A522)+1, 100))</f>
        <v>9628.42</v>
      </c>
    </row>
    <row r="523">
      <c r="A523" s="6" t="str">
        <f>IFERROR(__xludf.DUMMYFUNCTION("UNIQUE('Raw Data Sales'!H523:H1521 &amp; "" "" &amp; 'Raw Data Sales'!I523:I1521)"),"Prescott Counsell")</f>
        <v>Prescott Counsell</v>
      </c>
      <c r="B523" s="6" t="str">
        <f>IFERROR(__xludf.DUMMYFUNCTION("""COMPUTED_VALUE"""),"pcounselleh@xrea.com")</f>
        <v>pcounselleh@xrea.com</v>
      </c>
      <c r="C523" s="6" t="str">
        <f>IFERROR(__xludf.DUMMYFUNCTION("""COMPUTED_VALUE"""),"Thailand")</f>
        <v>Thailand</v>
      </c>
      <c r="D523" s="6">
        <f>COUNTIFS('Raw Data Sales'!H523:H1521, LEFT(A523, FIND(" ",A523)-1), 'Raw Data Sales'!I523:I1521, MID(A523, FIND(" ",A523)+1, 100))</f>
        <v>1</v>
      </c>
      <c r="E523" s="6">
        <f>SUMIFS('Raw Data Sales'!M523:M1521, 'Raw Data Sales'!H523:H1521, LEFT(A523, FIND(" ",A523)-1), 'Raw Data Sales'!I523:I1521, MID(A523, FIND(" ",A523)+1, 100))</f>
        <v>30</v>
      </c>
      <c r="F523" s="6">
        <f>SUMIFS('Raw Data Sales'!N523:N1521, 'Raw Data Sales'!H523:H1521, LEFT(A523, FIND(" ",A523)-1), 'Raw Data Sales'!I523:I1521, MID(A523, FIND(" ",A523)+1, 100))</f>
        <v>6822.01</v>
      </c>
    </row>
    <row r="524">
      <c r="A524" s="6" t="str">
        <f>IFERROR(__xludf.DUMMYFUNCTION("UNIQUE('Raw Data Sales'!H524:H1522 &amp; "" "" &amp; 'Raw Data Sales'!I524:I1522)"),"Sacha Earie")</f>
        <v>Sacha Earie</v>
      </c>
      <c r="B524" s="6" t="str">
        <f>IFERROR(__xludf.DUMMYFUNCTION("""COMPUTED_VALUE"""),"searieei@google.ca")</f>
        <v>searieei@google.ca</v>
      </c>
      <c r="C524" s="6" t="str">
        <f>IFERROR(__xludf.DUMMYFUNCTION("""COMPUTED_VALUE"""),"Morocco")</f>
        <v>Morocco</v>
      </c>
      <c r="D524" s="6">
        <f>COUNTIFS('Raw Data Sales'!H524:H1522, LEFT(A524, FIND(" ",A524)-1), 'Raw Data Sales'!I524:I1522, MID(A524, FIND(" ",A524)+1, 100))</f>
        <v>1</v>
      </c>
      <c r="E524" s="6">
        <f>SUMIFS('Raw Data Sales'!M524:M1522, 'Raw Data Sales'!H524:H1522, LEFT(A524, FIND(" ",A524)-1), 'Raw Data Sales'!I524:I1522, MID(A524, FIND(" ",A524)+1, 100))</f>
        <v>85</v>
      </c>
      <c r="F524" s="6">
        <f>SUMIFS('Raw Data Sales'!N524:N1522, 'Raw Data Sales'!H524:H1522, LEFT(A524, FIND(" ",A524)-1), 'Raw Data Sales'!I524:I1522, MID(A524, FIND(" ",A524)+1, 100))</f>
        <v>9089.4</v>
      </c>
    </row>
    <row r="525">
      <c r="A525" s="6" t="str">
        <f>IFERROR(__xludf.DUMMYFUNCTION("UNIQUE('Raw Data Sales'!H525:H1523 &amp; "" "" &amp; 'Raw Data Sales'!I525:I1523)"),"Evanne Haddock")</f>
        <v>Evanne Haddock</v>
      </c>
      <c r="B525" s="6" t="str">
        <f>IFERROR(__xludf.DUMMYFUNCTION("""COMPUTED_VALUE"""),"ehaddockej@istockphoto.com")</f>
        <v>ehaddockej@istockphoto.com</v>
      </c>
      <c r="C525" s="6" t="str">
        <f>IFERROR(__xludf.DUMMYFUNCTION("""COMPUTED_VALUE"""),"Argentina")</f>
        <v>Argentina</v>
      </c>
      <c r="D525" s="6">
        <f>COUNTIFS('Raw Data Sales'!H525:H1523, LEFT(A525, FIND(" ",A525)-1), 'Raw Data Sales'!I525:I1523, MID(A525, FIND(" ",A525)+1, 100))</f>
        <v>1</v>
      </c>
      <c r="E525" s="6">
        <f>SUMIFS('Raw Data Sales'!M525:M1523, 'Raw Data Sales'!H525:H1523, LEFT(A525, FIND(" ",A525)-1), 'Raw Data Sales'!I525:I1523, MID(A525, FIND(" ",A525)+1, 100))</f>
        <v>100</v>
      </c>
      <c r="F525" s="6">
        <f>SUMIFS('Raw Data Sales'!N525:N1523, 'Raw Data Sales'!H525:H1523, LEFT(A525, FIND(" ",A525)-1), 'Raw Data Sales'!I525:I1523, MID(A525, FIND(" ",A525)+1, 100))</f>
        <v>5270.47</v>
      </c>
    </row>
    <row r="526">
      <c r="A526" s="6" t="str">
        <f>IFERROR(__xludf.DUMMYFUNCTION("UNIQUE('Raw Data Sales'!H526:H1524 &amp; "" "" &amp; 'Raw Data Sales'!I526:I1524)"),"Mahmud Ronchi")</f>
        <v>Mahmud Ronchi</v>
      </c>
      <c r="B526" s="6" t="str">
        <f>IFERROR(__xludf.DUMMYFUNCTION("""COMPUTED_VALUE"""),"mronchiek@omniture.com")</f>
        <v>mronchiek@omniture.com</v>
      </c>
      <c r="C526" s="6" t="str">
        <f>IFERROR(__xludf.DUMMYFUNCTION("""COMPUTED_VALUE"""),"Brazil")</f>
        <v>Brazil</v>
      </c>
      <c r="D526" s="6">
        <f>COUNTIFS('Raw Data Sales'!H526:H1524, LEFT(A526, FIND(" ",A526)-1), 'Raw Data Sales'!I526:I1524, MID(A526, FIND(" ",A526)+1, 100))</f>
        <v>1</v>
      </c>
      <c r="E526" s="6">
        <f>SUMIFS('Raw Data Sales'!M526:M1524, 'Raw Data Sales'!H526:H1524, LEFT(A526, FIND(" ",A526)-1), 'Raw Data Sales'!I526:I1524, MID(A526, FIND(" ",A526)+1, 100))</f>
        <v>67</v>
      </c>
      <c r="F526" s="6">
        <f>SUMIFS('Raw Data Sales'!N526:N1524, 'Raw Data Sales'!H526:H1524, LEFT(A526, FIND(" ",A526)-1), 'Raw Data Sales'!I526:I1524, MID(A526, FIND(" ",A526)+1, 100))</f>
        <v>2170.3</v>
      </c>
    </row>
    <row r="527">
      <c r="A527" s="6" t="str">
        <f>IFERROR(__xludf.DUMMYFUNCTION("UNIQUE('Raw Data Sales'!H527:H1525 &amp; "" "" &amp; 'Raw Data Sales'!I527:I1525)"),"Inness Middleditch")</f>
        <v>Inness Middleditch</v>
      </c>
      <c r="B527" s="6" t="str">
        <f>IFERROR(__xludf.DUMMYFUNCTION("""COMPUTED_VALUE"""),"imiddleditchel@paginegialle.it")</f>
        <v>imiddleditchel@paginegialle.it</v>
      </c>
      <c r="C527" s="6" t="str">
        <f>IFERROR(__xludf.DUMMYFUNCTION("""COMPUTED_VALUE"""),"Nepal")</f>
        <v>Nepal</v>
      </c>
      <c r="D527" s="6">
        <f>COUNTIFS('Raw Data Sales'!H527:H1525, LEFT(A527, FIND(" ",A527)-1), 'Raw Data Sales'!I527:I1525, MID(A527, FIND(" ",A527)+1, 100))</f>
        <v>1</v>
      </c>
      <c r="E527" s="6">
        <f>SUMIFS('Raw Data Sales'!M527:M1525, 'Raw Data Sales'!H527:H1525, LEFT(A527, FIND(" ",A527)-1), 'Raw Data Sales'!I527:I1525, MID(A527, FIND(" ",A527)+1, 100))</f>
        <v>66</v>
      </c>
      <c r="F527" s="6">
        <f>SUMIFS('Raw Data Sales'!N527:N1525, 'Raw Data Sales'!H527:H1525, LEFT(A527, FIND(" ",A527)-1), 'Raw Data Sales'!I527:I1525, MID(A527, FIND(" ",A527)+1, 100))</f>
        <v>4202.71</v>
      </c>
    </row>
    <row r="528">
      <c r="A528" s="6" t="str">
        <f>IFERROR(__xludf.DUMMYFUNCTION("UNIQUE('Raw Data Sales'!H528:H1526 &amp; "" "" &amp; 'Raw Data Sales'!I528:I1526)"),"Hedvige Daudray")</f>
        <v>Hedvige Daudray</v>
      </c>
      <c r="B528" s="6" t="str">
        <f>IFERROR(__xludf.DUMMYFUNCTION("""COMPUTED_VALUE"""),"hdaudrayem@e-recht24.de")</f>
        <v>hdaudrayem@e-recht24.de</v>
      </c>
      <c r="C528" s="6" t="str">
        <f>IFERROR(__xludf.DUMMYFUNCTION("""COMPUTED_VALUE"""),"Indonesia")</f>
        <v>Indonesia</v>
      </c>
      <c r="D528" s="6">
        <f>COUNTIFS('Raw Data Sales'!H528:H1526, LEFT(A528, FIND(" ",A528)-1), 'Raw Data Sales'!I528:I1526, MID(A528, FIND(" ",A528)+1, 100))</f>
        <v>1</v>
      </c>
      <c r="E528" s="6">
        <f>SUMIFS('Raw Data Sales'!M528:M1526, 'Raw Data Sales'!H528:H1526, LEFT(A528, FIND(" ",A528)-1), 'Raw Data Sales'!I528:I1526, MID(A528, FIND(" ",A528)+1, 100))</f>
        <v>18</v>
      </c>
      <c r="F528" s="6">
        <f>SUMIFS('Raw Data Sales'!N528:N1526, 'Raw Data Sales'!H528:H1526, LEFT(A528, FIND(" ",A528)-1), 'Raw Data Sales'!I528:I1526, MID(A528, FIND(" ",A528)+1, 100))</f>
        <v>3577.99</v>
      </c>
    </row>
    <row r="529">
      <c r="A529" s="6" t="str">
        <f>IFERROR(__xludf.DUMMYFUNCTION("UNIQUE('Raw Data Sales'!H529:H1527 &amp; "" "" &amp; 'Raw Data Sales'!I529:I1527)"),"Cornie Di Filippo")</f>
        <v>Cornie Di Filippo</v>
      </c>
      <c r="B529" s="6" t="str">
        <f>IFERROR(__xludf.DUMMYFUNCTION("""COMPUTED_VALUE"""),"cdifilippoen@wired.com")</f>
        <v>cdifilippoen@wired.com</v>
      </c>
      <c r="C529" s="6" t="str">
        <f>IFERROR(__xludf.DUMMYFUNCTION("""COMPUTED_VALUE"""),"Malaysia")</f>
        <v>Malaysia</v>
      </c>
      <c r="D529" s="6">
        <f>COUNTIFS('Raw Data Sales'!H529:H1527, LEFT(A529, FIND(" ",A529)-1), 'Raw Data Sales'!I529:I1527, MID(A529, FIND(" ",A529)+1, 100))</f>
        <v>1</v>
      </c>
      <c r="E529" s="6">
        <f>SUMIFS('Raw Data Sales'!M529:M1527, 'Raw Data Sales'!H529:H1527, LEFT(A529, FIND(" ",A529)-1), 'Raw Data Sales'!I529:I1527, MID(A529, FIND(" ",A529)+1, 100))</f>
        <v>72</v>
      </c>
      <c r="F529" s="6">
        <f>SUMIFS('Raw Data Sales'!N529:N1527, 'Raw Data Sales'!H529:H1527, LEFT(A529, FIND(" ",A529)-1), 'Raw Data Sales'!I529:I1527, MID(A529, FIND(" ",A529)+1, 100))</f>
        <v>6762.5</v>
      </c>
    </row>
    <row r="530">
      <c r="A530" s="6" t="str">
        <f>IFERROR(__xludf.DUMMYFUNCTION("UNIQUE('Raw Data Sales'!H530:H1528 &amp; "" "" &amp; 'Raw Data Sales'!I530:I1528)"),"Fredelia Conant")</f>
        <v>Fredelia Conant</v>
      </c>
      <c r="B530" s="6" t="str">
        <f>IFERROR(__xludf.DUMMYFUNCTION("""COMPUTED_VALUE"""),"fconanteo@gizmodo.com")</f>
        <v>fconanteo@gizmodo.com</v>
      </c>
      <c r="C530" s="6" t="str">
        <f>IFERROR(__xludf.DUMMYFUNCTION("""COMPUTED_VALUE"""),"China")</f>
        <v>China</v>
      </c>
      <c r="D530" s="6">
        <f>COUNTIFS('Raw Data Sales'!H530:H1528, LEFT(A530, FIND(" ",A530)-1), 'Raw Data Sales'!I530:I1528, MID(A530, FIND(" ",A530)+1, 100))</f>
        <v>1</v>
      </c>
      <c r="E530" s="6">
        <f>SUMIFS('Raw Data Sales'!M530:M1528, 'Raw Data Sales'!H530:H1528, LEFT(A530, FIND(" ",A530)-1), 'Raw Data Sales'!I530:I1528, MID(A530, FIND(" ",A530)+1, 100))</f>
        <v>53</v>
      </c>
      <c r="F530" s="6">
        <f>SUMIFS('Raw Data Sales'!N530:N1528, 'Raw Data Sales'!H530:H1528, LEFT(A530, FIND(" ",A530)-1), 'Raw Data Sales'!I530:I1528, MID(A530, FIND(" ",A530)+1, 100))</f>
        <v>6300.19</v>
      </c>
    </row>
    <row r="531">
      <c r="A531" s="6" t="str">
        <f>IFERROR(__xludf.DUMMYFUNCTION("UNIQUE('Raw Data Sales'!H531:H1529 &amp; "" "" &amp; 'Raw Data Sales'!I531:I1529)"),"Maure Cockin")</f>
        <v>Maure Cockin</v>
      </c>
      <c r="B531" s="6" t="str">
        <f>IFERROR(__xludf.DUMMYFUNCTION("""COMPUTED_VALUE"""),"mcockinep@photobucket.com")</f>
        <v>mcockinep@photobucket.com</v>
      </c>
      <c r="C531" s="6" t="str">
        <f>IFERROR(__xludf.DUMMYFUNCTION("""COMPUTED_VALUE"""),"China")</f>
        <v>China</v>
      </c>
      <c r="D531" s="6">
        <f>COUNTIFS('Raw Data Sales'!H531:H1529, LEFT(A531, FIND(" ",A531)-1), 'Raw Data Sales'!I531:I1529, MID(A531, FIND(" ",A531)+1, 100))</f>
        <v>1</v>
      </c>
      <c r="E531" s="6">
        <f>SUMIFS('Raw Data Sales'!M531:M1529, 'Raw Data Sales'!H531:H1529, LEFT(A531, FIND(" ",A531)-1), 'Raw Data Sales'!I531:I1529, MID(A531, FIND(" ",A531)+1, 100))</f>
        <v>86</v>
      </c>
      <c r="F531" s="6">
        <f>SUMIFS('Raw Data Sales'!N531:N1529, 'Raw Data Sales'!H531:H1529, LEFT(A531, FIND(" ",A531)-1), 'Raw Data Sales'!I531:I1529, MID(A531, FIND(" ",A531)+1, 100))</f>
        <v>7000.09</v>
      </c>
    </row>
    <row r="532">
      <c r="A532" s="6" t="str">
        <f>IFERROR(__xludf.DUMMYFUNCTION("UNIQUE('Raw Data Sales'!H532:H1530 &amp; "" "" &amp; 'Raw Data Sales'!I532:I1530)"),"Trula Whitwell")</f>
        <v>Trula Whitwell</v>
      </c>
      <c r="B532" s="6" t="str">
        <f>IFERROR(__xludf.DUMMYFUNCTION("""COMPUTED_VALUE"""),"twhitwelleq@cdc.gov")</f>
        <v>twhitwelleq@cdc.gov</v>
      </c>
      <c r="C532" s="6" t="str">
        <f>IFERROR(__xludf.DUMMYFUNCTION("""COMPUTED_VALUE"""),"China")</f>
        <v>China</v>
      </c>
      <c r="D532" s="6">
        <f>COUNTIFS('Raw Data Sales'!H532:H1530, LEFT(A532, FIND(" ",A532)-1), 'Raw Data Sales'!I532:I1530, MID(A532, FIND(" ",A532)+1, 100))</f>
        <v>1</v>
      </c>
      <c r="E532" s="6">
        <f>SUMIFS('Raw Data Sales'!M532:M1530, 'Raw Data Sales'!H532:H1530, LEFT(A532, FIND(" ",A532)-1), 'Raw Data Sales'!I532:I1530, MID(A532, FIND(" ",A532)+1, 100))</f>
        <v>63</v>
      </c>
      <c r="F532" s="6">
        <f>SUMIFS('Raw Data Sales'!N532:N1530, 'Raw Data Sales'!H532:H1530, LEFT(A532, FIND(" ",A532)-1), 'Raw Data Sales'!I532:I1530, MID(A532, FIND(" ",A532)+1, 100))</f>
        <v>751.32</v>
      </c>
    </row>
    <row r="533">
      <c r="A533" s="6" t="str">
        <f>IFERROR(__xludf.DUMMYFUNCTION("UNIQUE('Raw Data Sales'!H533:H1531 &amp; "" "" &amp; 'Raw Data Sales'!I533:I1531)"),"Jeni Foskett")</f>
        <v>Jeni Foskett</v>
      </c>
      <c r="B533" s="6" t="str">
        <f>IFERROR(__xludf.DUMMYFUNCTION("""COMPUTED_VALUE"""),"jfosketter@digg.com")</f>
        <v>jfosketter@digg.com</v>
      </c>
      <c r="C533" s="6" t="str">
        <f>IFERROR(__xludf.DUMMYFUNCTION("""COMPUTED_VALUE"""),"Nicaragua")</f>
        <v>Nicaragua</v>
      </c>
      <c r="D533" s="6">
        <f>COUNTIFS('Raw Data Sales'!H533:H1531, LEFT(A533, FIND(" ",A533)-1), 'Raw Data Sales'!I533:I1531, MID(A533, FIND(" ",A533)+1, 100))</f>
        <v>1</v>
      </c>
      <c r="E533" s="6">
        <f>SUMIFS('Raw Data Sales'!M533:M1531, 'Raw Data Sales'!H533:H1531, LEFT(A533, FIND(" ",A533)-1), 'Raw Data Sales'!I533:I1531, MID(A533, FIND(" ",A533)+1, 100))</f>
        <v>71</v>
      </c>
      <c r="F533" s="6">
        <f>SUMIFS('Raw Data Sales'!N533:N1531, 'Raw Data Sales'!H533:H1531, LEFT(A533, FIND(" ",A533)-1), 'Raw Data Sales'!I533:I1531, MID(A533, FIND(" ",A533)+1, 100))</f>
        <v>6252.49</v>
      </c>
    </row>
    <row r="534">
      <c r="A534" s="6" t="str">
        <f>IFERROR(__xludf.DUMMYFUNCTION("UNIQUE('Raw Data Sales'!H534:H1532 &amp; "" "" &amp; 'Raw Data Sales'!I534:I1532)"),"Frederich Juett")</f>
        <v>Frederich Juett</v>
      </c>
      <c r="B534" s="6" t="str">
        <f>IFERROR(__xludf.DUMMYFUNCTION("""COMPUTED_VALUE"""),"fjuettes@indiatimes.com")</f>
        <v>fjuettes@indiatimes.com</v>
      </c>
      <c r="C534" s="6" t="str">
        <f>IFERROR(__xludf.DUMMYFUNCTION("""COMPUTED_VALUE"""),"Portugal")</f>
        <v>Portugal</v>
      </c>
      <c r="D534" s="6">
        <f>COUNTIFS('Raw Data Sales'!H534:H1532, LEFT(A534, FIND(" ",A534)-1), 'Raw Data Sales'!I534:I1532, MID(A534, FIND(" ",A534)+1, 100))</f>
        <v>1</v>
      </c>
      <c r="E534" s="6">
        <f>SUMIFS('Raw Data Sales'!M534:M1532, 'Raw Data Sales'!H534:H1532, LEFT(A534, FIND(" ",A534)-1), 'Raw Data Sales'!I534:I1532, MID(A534, FIND(" ",A534)+1, 100))</f>
        <v>93</v>
      </c>
      <c r="F534" s="6">
        <f>SUMIFS('Raw Data Sales'!N534:N1532, 'Raw Data Sales'!H534:H1532, LEFT(A534, FIND(" ",A534)-1), 'Raw Data Sales'!I534:I1532, MID(A534, FIND(" ",A534)+1, 100))</f>
        <v>5183.16</v>
      </c>
    </row>
    <row r="535">
      <c r="A535" s="6" t="str">
        <f>IFERROR(__xludf.DUMMYFUNCTION("UNIQUE('Raw Data Sales'!H535:H1533 &amp; "" "" &amp; 'Raw Data Sales'!I535:I1533)"),"Waite Blakeney")</f>
        <v>Waite Blakeney</v>
      </c>
      <c r="B535" s="6" t="str">
        <f>IFERROR(__xludf.DUMMYFUNCTION("""COMPUTED_VALUE"""),"wblakeneyet@patch.com")</f>
        <v>wblakeneyet@patch.com</v>
      </c>
      <c r="C535" s="6" t="str">
        <f>IFERROR(__xludf.DUMMYFUNCTION("""COMPUTED_VALUE"""),"Rwanda")</f>
        <v>Rwanda</v>
      </c>
      <c r="D535" s="6">
        <f>COUNTIFS('Raw Data Sales'!H535:H1533, LEFT(A535, FIND(" ",A535)-1), 'Raw Data Sales'!I535:I1533, MID(A535, FIND(" ",A535)+1, 100))</f>
        <v>1</v>
      </c>
      <c r="E535" s="6">
        <f>SUMIFS('Raw Data Sales'!M535:M1533, 'Raw Data Sales'!H535:H1533, LEFT(A535, FIND(" ",A535)-1), 'Raw Data Sales'!I535:I1533, MID(A535, FIND(" ",A535)+1, 100))</f>
        <v>25</v>
      </c>
      <c r="F535" s="6">
        <f>SUMIFS('Raw Data Sales'!N535:N1533, 'Raw Data Sales'!H535:H1533, LEFT(A535, FIND(" ",A535)-1), 'Raw Data Sales'!I535:I1533, MID(A535, FIND(" ",A535)+1, 100))</f>
        <v>7020.26</v>
      </c>
    </row>
    <row r="536">
      <c r="A536" s="6" t="str">
        <f>IFERROR(__xludf.DUMMYFUNCTION("UNIQUE('Raw Data Sales'!H536:H1534 &amp; "" "" &amp; 'Raw Data Sales'!I536:I1534)"),"Friedrick Vanni")</f>
        <v>Friedrick Vanni</v>
      </c>
      <c r="B536" s="6" t="str">
        <f>IFERROR(__xludf.DUMMYFUNCTION("""COMPUTED_VALUE"""),"fvannieu@deviantart.com")</f>
        <v>fvannieu@deviantart.com</v>
      </c>
      <c r="C536" s="6" t="str">
        <f>IFERROR(__xludf.DUMMYFUNCTION("""COMPUTED_VALUE"""),"Portugal")</f>
        <v>Portugal</v>
      </c>
      <c r="D536" s="6">
        <f>COUNTIFS('Raw Data Sales'!H536:H1534, LEFT(A536, FIND(" ",A536)-1), 'Raw Data Sales'!I536:I1534, MID(A536, FIND(" ",A536)+1, 100))</f>
        <v>1</v>
      </c>
      <c r="E536" s="6">
        <f>SUMIFS('Raw Data Sales'!M536:M1534, 'Raw Data Sales'!H536:H1534, LEFT(A536, FIND(" ",A536)-1), 'Raw Data Sales'!I536:I1534, MID(A536, FIND(" ",A536)+1, 100))</f>
        <v>97</v>
      </c>
      <c r="F536" s="6">
        <f>SUMIFS('Raw Data Sales'!N536:N1534, 'Raw Data Sales'!H536:H1534, LEFT(A536, FIND(" ",A536)-1), 'Raw Data Sales'!I536:I1534, MID(A536, FIND(" ",A536)+1, 100))</f>
        <v>1561.11</v>
      </c>
    </row>
    <row r="537">
      <c r="A537" s="6" t="str">
        <f>IFERROR(__xludf.DUMMYFUNCTION("UNIQUE('Raw Data Sales'!H537:H1535 &amp; "" "" &amp; 'Raw Data Sales'!I537:I1535)"),"Timothy Ciabatteri")</f>
        <v>Timothy Ciabatteri</v>
      </c>
      <c r="B537" s="6" t="str">
        <f>IFERROR(__xludf.DUMMYFUNCTION("""COMPUTED_VALUE"""),"tciabatteriev@elegantthemes.com")</f>
        <v>tciabatteriev@elegantthemes.com</v>
      </c>
      <c r="C537" s="6" t="str">
        <f>IFERROR(__xludf.DUMMYFUNCTION("""COMPUTED_VALUE"""),"Brazil")</f>
        <v>Brazil</v>
      </c>
      <c r="D537" s="6">
        <f>COUNTIFS('Raw Data Sales'!H537:H1535, LEFT(A537, FIND(" ",A537)-1), 'Raw Data Sales'!I537:I1535, MID(A537, FIND(" ",A537)+1, 100))</f>
        <v>1</v>
      </c>
      <c r="E537" s="6">
        <f>SUMIFS('Raw Data Sales'!M537:M1535, 'Raw Data Sales'!H537:H1535, LEFT(A537, FIND(" ",A537)-1), 'Raw Data Sales'!I537:I1535, MID(A537, FIND(" ",A537)+1, 100))</f>
        <v>28</v>
      </c>
      <c r="F537" s="6">
        <f>SUMIFS('Raw Data Sales'!N537:N1535, 'Raw Data Sales'!H537:H1535, LEFT(A537, FIND(" ",A537)-1), 'Raw Data Sales'!I537:I1535, MID(A537, FIND(" ",A537)+1, 100))</f>
        <v>3176.95</v>
      </c>
    </row>
    <row r="538">
      <c r="A538" s="6" t="str">
        <f>IFERROR(__xludf.DUMMYFUNCTION("UNIQUE('Raw Data Sales'!H538:H1536 &amp; "" "" &amp; 'Raw Data Sales'!I538:I1536)"),"Remington Lavery")</f>
        <v>Remington Lavery</v>
      </c>
      <c r="B538" s="6" t="str">
        <f>IFERROR(__xludf.DUMMYFUNCTION("""COMPUTED_VALUE"""),"rlaveryew@bluehost.com")</f>
        <v>rlaveryew@bluehost.com</v>
      </c>
      <c r="C538" s="6" t="str">
        <f>IFERROR(__xludf.DUMMYFUNCTION("""COMPUTED_VALUE"""),"Kazakhstan")</f>
        <v>Kazakhstan</v>
      </c>
      <c r="D538" s="6">
        <f>COUNTIFS('Raw Data Sales'!H538:H1536, LEFT(A538, FIND(" ",A538)-1), 'Raw Data Sales'!I538:I1536, MID(A538, FIND(" ",A538)+1, 100))</f>
        <v>1</v>
      </c>
      <c r="E538" s="6">
        <f>SUMIFS('Raw Data Sales'!M538:M1536, 'Raw Data Sales'!H538:H1536, LEFT(A538, FIND(" ",A538)-1), 'Raw Data Sales'!I538:I1536, MID(A538, FIND(" ",A538)+1, 100))</f>
        <v>99</v>
      </c>
      <c r="F538" s="6">
        <f>SUMIFS('Raw Data Sales'!N538:N1536, 'Raw Data Sales'!H538:H1536, LEFT(A538, FIND(" ",A538)-1), 'Raw Data Sales'!I538:I1536, MID(A538, FIND(" ",A538)+1, 100))</f>
        <v>6180.28</v>
      </c>
    </row>
    <row r="539">
      <c r="A539" s="6" t="str">
        <f>IFERROR(__xludf.DUMMYFUNCTION("UNIQUE('Raw Data Sales'!H539:H1537 &amp; "" "" &amp; 'Raw Data Sales'!I539:I1537)"),"Muffin Lear")</f>
        <v>Muffin Lear</v>
      </c>
      <c r="B539" s="6" t="str">
        <f>IFERROR(__xludf.DUMMYFUNCTION("""COMPUTED_VALUE"""),"mlearex@google.com")</f>
        <v>mlearex@google.com</v>
      </c>
      <c r="C539" s="6" t="str">
        <f>IFERROR(__xludf.DUMMYFUNCTION("""COMPUTED_VALUE"""),"Poland")</f>
        <v>Poland</v>
      </c>
      <c r="D539" s="6">
        <f>COUNTIFS('Raw Data Sales'!H539:H1537, LEFT(A539, FIND(" ",A539)-1), 'Raw Data Sales'!I539:I1537, MID(A539, FIND(" ",A539)+1, 100))</f>
        <v>1</v>
      </c>
      <c r="E539" s="6">
        <f>SUMIFS('Raw Data Sales'!M539:M1537, 'Raw Data Sales'!H539:H1537, LEFT(A539, FIND(" ",A539)-1), 'Raw Data Sales'!I539:I1537, MID(A539, FIND(" ",A539)+1, 100))</f>
        <v>25</v>
      </c>
      <c r="F539" s="6">
        <f>SUMIFS('Raw Data Sales'!N539:N1537, 'Raw Data Sales'!H539:H1537, LEFT(A539, FIND(" ",A539)-1), 'Raw Data Sales'!I539:I1537, MID(A539, FIND(" ",A539)+1, 100))</f>
        <v>3750.26</v>
      </c>
    </row>
    <row r="540">
      <c r="A540" s="6" t="str">
        <f>IFERROR(__xludf.DUMMYFUNCTION("UNIQUE('Raw Data Sales'!H540:H1538 &amp; "" "" &amp; 'Raw Data Sales'!I540:I1538)"),"Kat Michal")</f>
        <v>Kat Michal</v>
      </c>
      <c r="B540" s="6" t="str">
        <f>IFERROR(__xludf.DUMMYFUNCTION("""COMPUTED_VALUE"""),"kmichaley@hibu.com")</f>
        <v>kmichaley@hibu.com</v>
      </c>
      <c r="C540" s="6" t="str">
        <f>IFERROR(__xludf.DUMMYFUNCTION("""COMPUTED_VALUE"""),"China")</f>
        <v>China</v>
      </c>
      <c r="D540" s="6">
        <f>COUNTIFS('Raw Data Sales'!H540:H1538, LEFT(A540, FIND(" ",A540)-1), 'Raw Data Sales'!I540:I1538, MID(A540, FIND(" ",A540)+1, 100))</f>
        <v>1</v>
      </c>
      <c r="E540" s="6">
        <f>SUMIFS('Raw Data Sales'!M540:M1538, 'Raw Data Sales'!H540:H1538, LEFT(A540, FIND(" ",A540)-1), 'Raw Data Sales'!I540:I1538, MID(A540, FIND(" ",A540)+1, 100))</f>
        <v>97</v>
      </c>
      <c r="F540" s="6">
        <f>SUMIFS('Raw Data Sales'!N540:N1538, 'Raw Data Sales'!H540:H1538, LEFT(A540, FIND(" ",A540)-1), 'Raw Data Sales'!I540:I1538, MID(A540, FIND(" ",A540)+1, 100))</f>
        <v>4456.41</v>
      </c>
    </row>
    <row r="541">
      <c r="A541" s="6" t="str">
        <f>IFERROR(__xludf.DUMMYFUNCTION("UNIQUE('Raw Data Sales'!H541:H1539 &amp; "" "" &amp; 'Raw Data Sales'!I541:I1539)"),"Barny Scanlan")</f>
        <v>Barny Scanlan</v>
      </c>
      <c r="B541" s="6" t="str">
        <f>IFERROR(__xludf.DUMMYFUNCTION("""COMPUTED_VALUE"""),"bscanlanez@flickr.com")</f>
        <v>bscanlanez@flickr.com</v>
      </c>
      <c r="C541" s="6" t="str">
        <f>IFERROR(__xludf.DUMMYFUNCTION("""COMPUTED_VALUE"""),"Kyrgyzstan")</f>
        <v>Kyrgyzstan</v>
      </c>
      <c r="D541" s="6">
        <f>COUNTIFS('Raw Data Sales'!H541:H1539, LEFT(A541, FIND(" ",A541)-1), 'Raw Data Sales'!I541:I1539, MID(A541, FIND(" ",A541)+1, 100))</f>
        <v>1</v>
      </c>
      <c r="E541" s="6">
        <f>SUMIFS('Raw Data Sales'!M541:M1539, 'Raw Data Sales'!H541:H1539, LEFT(A541, FIND(" ",A541)-1), 'Raw Data Sales'!I541:I1539, MID(A541, FIND(" ",A541)+1, 100))</f>
        <v>50</v>
      </c>
      <c r="F541" s="6">
        <f>SUMIFS('Raw Data Sales'!N541:N1539, 'Raw Data Sales'!H541:H1539, LEFT(A541, FIND(" ",A541)-1), 'Raw Data Sales'!I541:I1539, MID(A541, FIND(" ",A541)+1, 100))</f>
        <v>1525.62</v>
      </c>
    </row>
    <row r="542">
      <c r="A542" s="6" t="str">
        <f>IFERROR(__xludf.DUMMYFUNCTION("UNIQUE('Raw Data Sales'!H542:H1540 &amp; "" "" &amp; 'Raw Data Sales'!I542:I1540)"),"Hyatt Cirlos")</f>
        <v>Hyatt Cirlos</v>
      </c>
      <c r="B542" s="6" t="str">
        <f>IFERROR(__xludf.DUMMYFUNCTION("""COMPUTED_VALUE"""),"hcirlosf0@soup.io")</f>
        <v>hcirlosf0@soup.io</v>
      </c>
      <c r="C542" s="6" t="str">
        <f>IFERROR(__xludf.DUMMYFUNCTION("""COMPUTED_VALUE"""),"Bosnia and Herzegovina")</f>
        <v>Bosnia and Herzegovina</v>
      </c>
      <c r="D542" s="6">
        <f>COUNTIFS('Raw Data Sales'!H542:H1540, LEFT(A542, FIND(" ",A542)-1), 'Raw Data Sales'!I542:I1540, MID(A542, FIND(" ",A542)+1, 100))</f>
        <v>1</v>
      </c>
      <c r="E542" s="6">
        <f>SUMIFS('Raw Data Sales'!M542:M1540, 'Raw Data Sales'!H542:H1540, LEFT(A542, FIND(" ",A542)-1), 'Raw Data Sales'!I542:I1540, MID(A542, FIND(" ",A542)+1, 100))</f>
        <v>30</v>
      </c>
      <c r="F542" s="6">
        <f>SUMIFS('Raw Data Sales'!N542:N1540, 'Raw Data Sales'!H542:H1540, LEFT(A542, FIND(" ",A542)-1), 'Raw Data Sales'!I542:I1540, MID(A542, FIND(" ",A542)+1, 100))</f>
        <v>6562.89</v>
      </c>
    </row>
    <row r="543">
      <c r="A543" s="6" t="str">
        <f>IFERROR(__xludf.DUMMYFUNCTION("UNIQUE('Raw Data Sales'!H543:H1541 &amp; "" "" &amp; 'Raw Data Sales'!I543:I1541)"),"Alejoa Marchant")</f>
        <v>Alejoa Marchant</v>
      </c>
      <c r="B543" s="6" t="str">
        <f>IFERROR(__xludf.DUMMYFUNCTION("""COMPUTED_VALUE"""),"amarchantf1@soup.io")</f>
        <v>amarchantf1@soup.io</v>
      </c>
      <c r="C543" s="6" t="str">
        <f>IFERROR(__xludf.DUMMYFUNCTION("""COMPUTED_VALUE"""),"Indonesia")</f>
        <v>Indonesia</v>
      </c>
      <c r="D543" s="6">
        <f>COUNTIFS('Raw Data Sales'!H543:H1541, LEFT(A543, FIND(" ",A543)-1), 'Raw Data Sales'!I543:I1541, MID(A543, FIND(" ",A543)+1, 100))</f>
        <v>1</v>
      </c>
      <c r="E543" s="6">
        <f>SUMIFS('Raw Data Sales'!M543:M1541, 'Raw Data Sales'!H543:H1541, LEFT(A543, FIND(" ",A543)-1), 'Raw Data Sales'!I543:I1541, MID(A543, FIND(" ",A543)+1, 100))</f>
        <v>83</v>
      </c>
      <c r="F543" s="6">
        <f>SUMIFS('Raw Data Sales'!N543:N1541, 'Raw Data Sales'!H543:H1541, LEFT(A543, FIND(" ",A543)-1), 'Raw Data Sales'!I543:I1541, MID(A543, FIND(" ",A543)+1, 100))</f>
        <v>6894.24</v>
      </c>
    </row>
    <row r="544">
      <c r="A544" s="6" t="str">
        <f>IFERROR(__xludf.DUMMYFUNCTION("UNIQUE('Raw Data Sales'!H544:H1542 &amp; "" "" &amp; 'Raw Data Sales'!I544:I1542)"),"Ilaire Ellick")</f>
        <v>Ilaire Ellick</v>
      </c>
      <c r="B544" s="6" t="str">
        <f>IFERROR(__xludf.DUMMYFUNCTION("""COMPUTED_VALUE"""),"iellickf2@sakura.ne.jp")</f>
        <v>iellickf2@sakura.ne.jp</v>
      </c>
      <c r="C544" s="6" t="str">
        <f>IFERROR(__xludf.DUMMYFUNCTION("""COMPUTED_VALUE"""),"Italy")</f>
        <v>Italy</v>
      </c>
      <c r="D544" s="6">
        <f>COUNTIFS('Raw Data Sales'!H544:H1542, LEFT(A544, FIND(" ",A544)-1), 'Raw Data Sales'!I544:I1542, MID(A544, FIND(" ",A544)+1, 100))</f>
        <v>1</v>
      </c>
      <c r="E544" s="6">
        <f>SUMIFS('Raw Data Sales'!M544:M1542, 'Raw Data Sales'!H544:H1542, LEFT(A544, FIND(" ",A544)-1), 'Raw Data Sales'!I544:I1542, MID(A544, FIND(" ",A544)+1, 100))</f>
        <v>77</v>
      </c>
      <c r="F544" s="6">
        <f>SUMIFS('Raw Data Sales'!N544:N1542, 'Raw Data Sales'!H544:H1542, LEFT(A544, FIND(" ",A544)-1), 'Raw Data Sales'!I544:I1542, MID(A544, FIND(" ",A544)+1, 100))</f>
        <v>9279.4</v>
      </c>
    </row>
    <row r="545">
      <c r="A545" s="6" t="str">
        <f>IFERROR(__xludf.DUMMYFUNCTION("UNIQUE('Raw Data Sales'!H545:H1543 &amp; "" "" &amp; 'Raw Data Sales'!I545:I1543)"),"Abigael Crocetti")</f>
        <v>Abigael Crocetti</v>
      </c>
      <c r="B545" s="6" t="str">
        <f>IFERROR(__xludf.DUMMYFUNCTION("""COMPUTED_VALUE"""),"acrocettif3@ftc.gov")</f>
        <v>acrocettif3@ftc.gov</v>
      </c>
      <c r="C545" s="6" t="str">
        <f>IFERROR(__xludf.DUMMYFUNCTION("""COMPUTED_VALUE"""),"Russia")</f>
        <v>Russia</v>
      </c>
      <c r="D545" s="6">
        <f>COUNTIFS('Raw Data Sales'!H545:H1543, LEFT(A545, FIND(" ",A545)-1), 'Raw Data Sales'!I545:I1543, MID(A545, FIND(" ",A545)+1, 100))</f>
        <v>1</v>
      </c>
      <c r="E545" s="6">
        <f>SUMIFS('Raw Data Sales'!M545:M1543, 'Raw Data Sales'!H545:H1543, LEFT(A545, FIND(" ",A545)-1), 'Raw Data Sales'!I545:I1543, MID(A545, FIND(" ",A545)+1, 100))</f>
        <v>65</v>
      </c>
      <c r="F545" s="6">
        <f>SUMIFS('Raw Data Sales'!N545:N1543, 'Raw Data Sales'!H545:H1543, LEFT(A545, FIND(" ",A545)-1), 'Raw Data Sales'!I545:I1543, MID(A545, FIND(" ",A545)+1, 100))</f>
        <v>630.34</v>
      </c>
    </row>
    <row r="546">
      <c r="A546" s="6" t="str">
        <f>IFERROR(__xludf.DUMMYFUNCTION("UNIQUE('Raw Data Sales'!H546:H1544 &amp; "" "" &amp; 'Raw Data Sales'!I546:I1544)"),"Derby Holbie")</f>
        <v>Derby Holbie</v>
      </c>
      <c r="B546" s="6" t="str">
        <f>IFERROR(__xludf.DUMMYFUNCTION("""COMPUTED_VALUE"""),"dholbief4@wsj.com")</f>
        <v>dholbief4@wsj.com</v>
      </c>
      <c r="C546" s="6" t="str">
        <f>IFERROR(__xludf.DUMMYFUNCTION("""COMPUTED_VALUE"""),"China")</f>
        <v>China</v>
      </c>
      <c r="D546" s="6">
        <f>COUNTIFS('Raw Data Sales'!H546:H1544, LEFT(A546, FIND(" ",A546)-1), 'Raw Data Sales'!I546:I1544, MID(A546, FIND(" ",A546)+1, 100))</f>
        <v>1</v>
      </c>
      <c r="E546" s="6">
        <f>SUMIFS('Raw Data Sales'!M546:M1544, 'Raw Data Sales'!H546:H1544, LEFT(A546, FIND(" ",A546)-1), 'Raw Data Sales'!I546:I1544, MID(A546, FIND(" ",A546)+1, 100))</f>
        <v>66</v>
      </c>
      <c r="F546" s="6">
        <f>SUMIFS('Raw Data Sales'!N546:N1544, 'Raw Data Sales'!H546:H1544, LEFT(A546, FIND(" ",A546)-1), 'Raw Data Sales'!I546:I1544, MID(A546, FIND(" ",A546)+1, 100))</f>
        <v>1328.16</v>
      </c>
    </row>
    <row r="547">
      <c r="A547" s="6" t="str">
        <f>IFERROR(__xludf.DUMMYFUNCTION("UNIQUE('Raw Data Sales'!H547:H1545 &amp; "" "" &amp; 'Raw Data Sales'!I547:I1545)"),"Igor Jeandin")</f>
        <v>Igor Jeandin</v>
      </c>
      <c r="B547" s="6" t="str">
        <f>IFERROR(__xludf.DUMMYFUNCTION("""COMPUTED_VALUE"""),"ijeandinf5@ed.gov")</f>
        <v>ijeandinf5@ed.gov</v>
      </c>
      <c r="C547" s="6" t="str">
        <f>IFERROR(__xludf.DUMMYFUNCTION("""COMPUTED_VALUE"""),"Pakistan")</f>
        <v>Pakistan</v>
      </c>
      <c r="D547" s="6">
        <f>COUNTIFS('Raw Data Sales'!H547:H1545, LEFT(A547, FIND(" ",A547)-1), 'Raw Data Sales'!I547:I1545, MID(A547, FIND(" ",A547)+1, 100))</f>
        <v>1</v>
      </c>
      <c r="E547" s="6">
        <f>SUMIFS('Raw Data Sales'!M547:M1545, 'Raw Data Sales'!H547:H1545, LEFT(A547, FIND(" ",A547)-1), 'Raw Data Sales'!I547:I1545, MID(A547, FIND(" ",A547)+1, 100))</f>
        <v>62</v>
      </c>
      <c r="F547" s="6">
        <f>SUMIFS('Raw Data Sales'!N547:N1545, 'Raw Data Sales'!H547:H1545, LEFT(A547, FIND(" ",A547)-1), 'Raw Data Sales'!I547:I1545, MID(A547, FIND(" ",A547)+1, 100))</f>
        <v>868.07</v>
      </c>
    </row>
    <row r="548">
      <c r="A548" s="6" t="str">
        <f>IFERROR(__xludf.DUMMYFUNCTION("UNIQUE('Raw Data Sales'!H548:H1546 &amp; "" "" &amp; 'Raw Data Sales'!I548:I1546)"),"Leandra Howley")</f>
        <v>Leandra Howley</v>
      </c>
      <c r="B548" s="6" t="str">
        <f>IFERROR(__xludf.DUMMYFUNCTION("""COMPUTED_VALUE"""),"lhowleyf6@japanpost.jp")</f>
        <v>lhowleyf6@japanpost.jp</v>
      </c>
      <c r="C548" s="6" t="str">
        <f>IFERROR(__xludf.DUMMYFUNCTION("""COMPUTED_VALUE"""),"Croatia")</f>
        <v>Croatia</v>
      </c>
      <c r="D548" s="6">
        <f>COUNTIFS('Raw Data Sales'!H548:H1546, LEFT(A548, FIND(" ",A548)-1), 'Raw Data Sales'!I548:I1546, MID(A548, FIND(" ",A548)+1, 100))</f>
        <v>1</v>
      </c>
      <c r="E548" s="6">
        <f>SUMIFS('Raw Data Sales'!M548:M1546, 'Raw Data Sales'!H548:H1546, LEFT(A548, FIND(" ",A548)-1), 'Raw Data Sales'!I548:I1546, MID(A548, FIND(" ",A548)+1, 100))</f>
        <v>45</v>
      </c>
      <c r="F548" s="6">
        <f>SUMIFS('Raw Data Sales'!N548:N1546, 'Raw Data Sales'!H548:H1546, LEFT(A548, FIND(" ",A548)-1), 'Raw Data Sales'!I548:I1546, MID(A548, FIND(" ",A548)+1, 100))</f>
        <v>1947.54</v>
      </c>
    </row>
    <row r="549">
      <c r="A549" s="6" t="str">
        <f>IFERROR(__xludf.DUMMYFUNCTION("UNIQUE('Raw Data Sales'!H549:H1547 &amp; "" "" &amp; 'Raw Data Sales'!I549:I1547)"),"Otho Drezzer")</f>
        <v>Otho Drezzer</v>
      </c>
      <c r="B549" s="6" t="str">
        <f>IFERROR(__xludf.DUMMYFUNCTION("""COMPUTED_VALUE"""),"odrezzerf7@de.vu")</f>
        <v>odrezzerf7@de.vu</v>
      </c>
      <c r="C549" s="6" t="str">
        <f>IFERROR(__xludf.DUMMYFUNCTION("""COMPUTED_VALUE"""),"Vietnam")</f>
        <v>Vietnam</v>
      </c>
      <c r="D549" s="6">
        <f>COUNTIFS('Raw Data Sales'!H549:H1547, LEFT(A549, FIND(" ",A549)-1), 'Raw Data Sales'!I549:I1547, MID(A549, FIND(" ",A549)+1, 100))</f>
        <v>1</v>
      </c>
      <c r="E549" s="6">
        <f>SUMIFS('Raw Data Sales'!M549:M1547, 'Raw Data Sales'!H549:H1547, LEFT(A549, FIND(" ",A549)-1), 'Raw Data Sales'!I549:I1547, MID(A549, FIND(" ",A549)+1, 100))</f>
        <v>15</v>
      </c>
      <c r="F549" s="6">
        <f>SUMIFS('Raw Data Sales'!N549:N1547, 'Raw Data Sales'!H549:H1547, LEFT(A549, FIND(" ",A549)-1), 'Raw Data Sales'!I549:I1547, MID(A549, FIND(" ",A549)+1, 100))</f>
        <v>5108.12</v>
      </c>
    </row>
    <row r="550">
      <c r="A550" s="6" t="str">
        <f>IFERROR(__xludf.DUMMYFUNCTION("UNIQUE('Raw Data Sales'!H550:H1548 &amp; "" "" &amp; 'Raw Data Sales'!I550:I1548)"),"My Gabriely")</f>
        <v>My Gabriely</v>
      </c>
      <c r="B550" s="6" t="str">
        <f>IFERROR(__xludf.DUMMYFUNCTION("""COMPUTED_VALUE"""),"mgabrielyf8@phoca.cz")</f>
        <v>mgabrielyf8@phoca.cz</v>
      </c>
      <c r="C550" s="6" t="str">
        <f>IFERROR(__xludf.DUMMYFUNCTION("""COMPUTED_VALUE"""),"Ukraine")</f>
        <v>Ukraine</v>
      </c>
      <c r="D550" s="6">
        <f>COUNTIFS('Raw Data Sales'!H550:H1548, LEFT(A550, FIND(" ",A550)-1), 'Raw Data Sales'!I550:I1548, MID(A550, FIND(" ",A550)+1, 100))</f>
        <v>1</v>
      </c>
      <c r="E550" s="6">
        <f>SUMIFS('Raw Data Sales'!M550:M1548, 'Raw Data Sales'!H550:H1548, LEFT(A550, FIND(" ",A550)-1), 'Raw Data Sales'!I550:I1548, MID(A550, FIND(" ",A550)+1, 100))</f>
        <v>23</v>
      </c>
      <c r="F550" s="6">
        <f>SUMIFS('Raw Data Sales'!N550:N1548, 'Raw Data Sales'!H550:H1548, LEFT(A550, FIND(" ",A550)-1), 'Raw Data Sales'!I550:I1548, MID(A550, FIND(" ",A550)+1, 100))</f>
        <v>7807.18</v>
      </c>
    </row>
    <row r="551">
      <c r="A551" s="6" t="str">
        <f>IFERROR(__xludf.DUMMYFUNCTION("UNIQUE('Raw Data Sales'!H551:H1549 &amp; "" "" &amp; 'Raw Data Sales'!I551:I1549)"),"Sophey Medlin")</f>
        <v>Sophey Medlin</v>
      </c>
      <c r="B551" s="6" t="str">
        <f>IFERROR(__xludf.DUMMYFUNCTION("""COMPUTED_VALUE"""),"smedlinf9@woothemes.com")</f>
        <v>smedlinf9@woothemes.com</v>
      </c>
      <c r="C551" s="6" t="str">
        <f>IFERROR(__xludf.DUMMYFUNCTION("""COMPUTED_VALUE"""),"Brazil")</f>
        <v>Brazil</v>
      </c>
      <c r="D551" s="6">
        <f>COUNTIFS('Raw Data Sales'!H551:H1549, LEFT(A551, FIND(" ",A551)-1), 'Raw Data Sales'!I551:I1549, MID(A551, FIND(" ",A551)+1, 100))</f>
        <v>1</v>
      </c>
      <c r="E551" s="6">
        <f>SUMIFS('Raw Data Sales'!M551:M1549, 'Raw Data Sales'!H551:H1549, LEFT(A551, FIND(" ",A551)-1), 'Raw Data Sales'!I551:I1549, MID(A551, FIND(" ",A551)+1, 100))</f>
        <v>26</v>
      </c>
      <c r="F551" s="6">
        <f>SUMIFS('Raw Data Sales'!N551:N1549, 'Raw Data Sales'!H551:H1549, LEFT(A551, FIND(" ",A551)-1), 'Raw Data Sales'!I551:I1549, MID(A551, FIND(" ",A551)+1, 100))</f>
        <v>5526.81</v>
      </c>
    </row>
    <row r="552">
      <c r="A552" s="6" t="str">
        <f>IFERROR(__xludf.DUMMYFUNCTION("UNIQUE('Raw Data Sales'!H552:H1550 &amp; "" "" &amp; 'Raw Data Sales'!I552:I1550)"),"Jerrine Upstell")</f>
        <v>Jerrine Upstell</v>
      </c>
      <c r="B552" s="6" t="str">
        <f>IFERROR(__xludf.DUMMYFUNCTION("""COMPUTED_VALUE"""),"jupstellfa@moonfruit.com")</f>
        <v>jupstellfa@moonfruit.com</v>
      </c>
      <c r="C552" s="6" t="str">
        <f>IFERROR(__xludf.DUMMYFUNCTION("""COMPUTED_VALUE"""),"China")</f>
        <v>China</v>
      </c>
      <c r="D552" s="6">
        <f>COUNTIFS('Raw Data Sales'!H552:H1550, LEFT(A552, FIND(" ",A552)-1), 'Raw Data Sales'!I552:I1550, MID(A552, FIND(" ",A552)+1, 100))</f>
        <v>1</v>
      </c>
      <c r="E552" s="6">
        <f>SUMIFS('Raw Data Sales'!M552:M1550, 'Raw Data Sales'!H552:H1550, LEFT(A552, FIND(" ",A552)-1), 'Raw Data Sales'!I552:I1550, MID(A552, FIND(" ",A552)+1, 100))</f>
        <v>86</v>
      </c>
      <c r="F552" s="6">
        <f>SUMIFS('Raw Data Sales'!N552:N1550, 'Raw Data Sales'!H552:H1550, LEFT(A552, FIND(" ",A552)-1), 'Raw Data Sales'!I552:I1550, MID(A552, FIND(" ",A552)+1, 100))</f>
        <v>8815.84</v>
      </c>
    </row>
    <row r="553">
      <c r="A553" s="6" t="str">
        <f>IFERROR(__xludf.DUMMYFUNCTION("UNIQUE('Raw Data Sales'!H553:H1551 &amp; "" "" &amp; 'Raw Data Sales'!I553:I1551)"),"Lizabeth Worral")</f>
        <v>Lizabeth Worral</v>
      </c>
      <c r="B553" s="6" t="str">
        <f>IFERROR(__xludf.DUMMYFUNCTION("""COMPUTED_VALUE"""),"lworralfb@imageshack.us")</f>
        <v>lworralfb@imageshack.us</v>
      </c>
      <c r="C553" s="6" t="str">
        <f>IFERROR(__xludf.DUMMYFUNCTION("""COMPUTED_VALUE"""),"Macedonia")</f>
        <v>Macedonia</v>
      </c>
      <c r="D553" s="6">
        <f>COUNTIFS('Raw Data Sales'!H553:H1551, LEFT(A553, FIND(" ",A553)-1), 'Raw Data Sales'!I553:I1551, MID(A553, FIND(" ",A553)+1, 100))</f>
        <v>1</v>
      </c>
      <c r="E553" s="6">
        <f>SUMIFS('Raw Data Sales'!M553:M1551, 'Raw Data Sales'!H553:H1551, LEFT(A553, FIND(" ",A553)-1), 'Raw Data Sales'!I553:I1551, MID(A553, FIND(" ",A553)+1, 100))</f>
        <v>27</v>
      </c>
      <c r="F553" s="6">
        <f>SUMIFS('Raw Data Sales'!N553:N1551, 'Raw Data Sales'!H553:H1551, LEFT(A553, FIND(" ",A553)-1), 'Raw Data Sales'!I553:I1551, MID(A553, FIND(" ",A553)+1, 100))</f>
        <v>3564.55</v>
      </c>
    </row>
    <row r="554">
      <c r="A554" s="6" t="str">
        <f>IFERROR(__xludf.DUMMYFUNCTION("UNIQUE('Raw Data Sales'!H554:H1552 &amp; "" "" &amp; 'Raw Data Sales'!I554:I1552)"),"Karalee Chichgar")</f>
        <v>Karalee Chichgar</v>
      </c>
      <c r="B554" s="6" t="str">
        <f>IFERROR(__xludf.DUMMYFUNCTION("""COMPUTED_VALUE"""),"kchichgarfc@hibu.com")</f>
        <v>kchichgarfc@hibu.com</v>
      </c>
      <c r="C554" s="6" t="str">
        <f>IFERROR(__xludf.DUMMYFUNCTION("""COMPUTED_VALUE"""),"Sweden")</f>
        <v>Sweden</v>
      </c>
      <c r="D554" s="6">
        <f>COUNTIFS('Raw Data Sales'!H554:H1552, LEFT(A554, FIND(" ",A554)-1), 'Raw Data Sales'!I554:I1552, MID(A554, FIND(" ",A554)+1, 100))</f>
        <v>1</v>
      </c>
      <c r="E554" s="6">
        <f>SUMIFS('Raw Data Sales'!M554:M1552, 'Raw Data Sales'!H554:H1552, LEFT(A554, FIND(" ",A554)-1), 'Raw Data Sales'!I554:I1552, MID(A554, FIND(" ",A554)+1, 100))</f>
        <v>96</v>
      </c>
      <c r="F554" s="6">
        <f>SUMIFS('Raw Data Sales'!N554:N1552, 'Raw Data Sales'!H554:H1552, LEFT(A554, FIND(" ",A554)-1), 'Raw Data Sales'!I554:I1552, MID(A554, FIND(" ",A554)+1, 100))</f>
        <v>6780.81</v>
      </c>
    </row>
    <row r="555">
      <c r="A555" s="6" t="str">
        <f>IFERROR(__xludf.DUMMYFUNCTION("UNIQUE('Raw Data Sales'!H555:H1553 &amp; "" "" &amp; 'Raw Data Sales'!I555:I1553)"),"Teriann Bewshire")</f>
        <v>Teriann Bewshire</v>
      </c>
      <c r="B555" s="6" t="str">
        <f>IFERROR(__xludf.DUMMYFUNCTION("""COMPUTED_VALUE"""),"tbewshirefd@mozilla.com")</f>
        <v>tbewshirefd@mozilla.com</v>
      </c>
      <c r="C555" s="6" t="str">
        <f>IFERROR(__xludf.DUMMYFUNCTION("""COMPUTED_VALUE"""),"Japan")</f>
        <v>Japan</v>
      </c>
      <c r="D555" s="6">
        <f>COUNTIFS('Raw Data Sales'!H555:H1553, LEFT(A555, FIND(" ",A555)-1), 'Raw Data Sales'!I555:I1553, MID(A555, FIND(" ",A555)+1, 100))</f>
        <v>1</v>
      </c>
      <c r="E555" s="6">
        <f>SUMIFS('Raw Data Sales'!M555:M1553, 'Raw Data Sales'!H555:H1553, LEFT(A555, FIND(" ",A555)-1), 'Raw Data Sales'!I555:I1553, MID(A555, FIND(" ",A555)+1, 100))</f>
        <v>64</v>
      </c>
      <c r="F555" s="6">
        <f>SUMIFS('Raw Data Sales'!N555:N1553, 'Raw Data Sales'!H555:H1553, LEFT(A555, FIND(" ",A555)-1), 'Raw Data Sales'!I555:I1553, MID(A555, FIND(" ",A555)+1, 100))</f>
        <v>7052.29</v>
      </c>
    </row>
    <row r="556">
      <c r="A556" s="6" t="str">
        <f>IFERROR(__xludf.DUMMYFUNCTION("UNIQUE('Raw Data Sales'!H556:H1554 &amp; "" "" &amp; 'Raw Data Sales'!I556:I1554)"),"Natassia Filipchikov")</f>
        <v>Natassia Filipchikov</v>
      </c>
      <c r="B556" s="6" t="str">
        <f>IFERROR(__xludf.DUMMYFUNCTION("""COMPUTED_VALUE"""),"nfilipchikovfe@wiley.com")</f>
        <v>nfilipchikovfe@wiley.com</v>
      </c>
      <c r="C556" s="6" t="str">
        <f>IFERROR(__xludf.DUMMYFUNCTION("""COMPUTED_VALUE"""),"Japan")</f>
        <v>Japan</v>
      </c>
      <c r="D556" s="6">
        <f>COUNTIFS('Raw Data Sales'!H556:H1554, LEFT(A556, FIND(" ",A556)-1), 'Raw Data Sales'!I556:I1554, MID(A556, FIND(" ",A556)+1, 100))</f>
        <v>1</v>
      </c>
      <c r="E556" s="6">
        <f>SUMIFS('Raw Data Sales'!M556:M1554, 'Raw Data Sales'!H556:H1554, LEFT(A556, FIND(" ",A556)-1), 'Raw Data Sales'!I556:I1554, MID(A556, FIND(" ",A556)+1, 100))</f>
        <v>14</v>
      </c>
      <c r="F556" s="6">
        <f>SUMIFS('Raw Data Sales'!N556:N1554, 'Raw Data Sales'!H556:H1554, LEFT(A556, FIND(" ",A556)-1), 'Raw Data Sales'!I556:I1554, MID(A556, FIND(" ",A556)+1, 100))</f>
        <v>1103.78</v>
      </c>
    </row>
    <row r="557">
      <c r="A557" s="6" t="str">
        <f>IFERROR(__xludf.DUMMYFUNCTION("UNIQUE('Raw Data Sales'!H557:H1555 &amp; "" "" &amp; 'Raw Data Sales'!I557:I1555)"),"Vivianne Fockes")</f>
        <v>Vivianne Fockes</v>
      </c>
      <c r="B557" s="6" t="str">
        <f>IFERROR(__xludf.DUMMYFUNCTION("""COMPUTED_VALUE"""),"vfockesff@meetup.com")</f>
        <v>vfockesff@meetup.com</v>
      </c>
      <c r="C557" s="6" t="str">
        <f>IFERROR(__xludf.DUMMYFUNCTION("""COMPUTED_VALUE"""),"China")</f>
        <v>China</v>
      </c>
      <c r="D557" s="6">
        <f>COUNTIFS('Raw Data Sales'!H557:H1555, LEFT(A557, FIND(" ",A557)-1), 'Raw Data Sales'!I557:I1555, MID(A557, FIND(" ",A557)+1, 100))</f>
        <v>1</v>
      </c>
      <c r="E557" s="6">
        <f>SUMIFS('Raw Data Sales'!M557:M1555, 'Raw Data Sales'!H557:H1555, LEFT(A557, FIND(" ",A557)-1), 'Raw Data Sales'!I557:I1555, MID(A557, FIND(" ",A557)+1, 100))</f>
        <v>87</v>
      </c>
      <c r="F557" s="6">
        <f>SUMIFS('Raw Data Sales'!N557:N1555, 'Raw Data Sales'!H557:H1555, LEFT(A557, FIND(" ",A557)-1), 'Raw Data Sales'!I557:I1555, MID(A557, FIND(" ",A557)+1, 100))</f>
        <v>8458.15</v>
      </c>
    </row>
    <row r="558">
      <c r="A558" s="6" t="str">
        <f>IFERROR(__xludf.DUMMYFUNCTION("UNIQUE('Raw Data Sales'!H558:H1556 &amp; "" "" &amp; 'Raw Data Sales'!I558:I1556)"),"Deck Shard")</f>
        <v>Deck Shard</v>
      </c>
      <c r="B558" s="6" t="str">
        <f>IFERROR(__xludf.DUMMYFUNCTION("""COMPUTED_VALUE"""),"dshardfg@cisco.com")</f>
        <v>dshardfg@cisco.com</v>
      </c>
      <c r="C558" s="6" t="str">
        <f>IFERROR(__xludf.DUMMYFUNCTION("""COMPUTED_VALUE"""),"Greece")</f>
        <v>Greece</v>
      </c>
      <c r="D558" s="6">
        <f>COUNTIFS('Raw Data Sales'!H558:H1556, LEFT(A558, FIND(" ",A558)-1), 'Raw Data Sales'!I558:I1556, MID(A558, FIND(" ",A558)+1, 100))</f>
        <v>1</v>
      </c>
      <c r="E558" s="6">
        <f>SUMIFS('Raw Data Sales'!M558:M1556, 'Raw Data Sales'!H558:H1556, LEFT(A558, FIND(" ",A558)-1), 'Raw Data Sales'!I558:I1556, MID(A558, FIND(" ",A558)+1, 100))</f>
        <v>66</v>
      </c>
      <c r="F558" s="6">
        <f>SUMIFS('Raw Data Sales'!N558:N1556, 'Raw Data Sales'!H558:H1556, LEFT(A558, FIND(" ",A558)-1), 'Raw Data Sales'!I558:I1556, MID(A558, FIND(" ",A558)+1, 100))</f>
        <v>1442.17</v>
      </c>
    </row>
    <row r="559">
      <c r="A559" s="6" t="str">
        <f>IFERROR(__xludf.DUMMYFUNCTION("UNIQUE('Raw Data Sales'!H559:H1557 &amp; "" "" &amp; 'Raw Data Sales'!I559:I1557)"),"Sidney Mayoh")</f>
        <v>Sidney Mayoh</v>
      </c>
      <c r="B559" s="6" t="str">
        <f>IFERROR(__xludf.DUMMYFUNCTION("""COMPUTED_VALUE"""),"smayohfh@goodreads.com")</f>
        <v>smayohfh@goodreads.com</v>
      </c>
      <c r="C559" s="6" t="str">
        <f>IFERROR(__xludf.DUMMYFUNCTION("""COMPUTED_VALUE"""),"Poland")</f>
        <v>Poland</v>
      </c>
      <c r="D559" s="6">
        <f>COUNTIFS('Raw Data Sales'!H559:H1557, LEFT(A559, FIND(" ",A559)-1), 'Raw Data Sales'!I559:I1557, MID(A559, FIND(" ",A559)+1, 100))</f>
        <v>1</v>
      </c>
      <c r="E559" s="6">
        <f>SUMIFS('Raw Data Sales'!M559:M1557, 'Raw Data Sales'!H559:H1557, LEFT(A559, FIND(" ",A559)-1), 'Raw Data Sales'!I559:I1557, MID(A559, FIND(" ",A559)+1, 100))</f>
        <v>29</v>
      </c>
      <c r="F559" s="6">
        <f>SUMIFS('Raw Data Sales'!N559:N1557, 'Raw Data Sales'!H559:H1557, LEFT(A559, FIND(" ",A559)-1), 'Raw Data Sales'!I559:I1557, MID(A559, FIND(" ",A559)+1, 100))</f>
        <v>1531.03</v>
      </c>
    </row>
    <row r="560">
      <c r="A560" s="6" t="str">
        <f>IFERROR(__xludf.DUMMYFUNCTION("UNIQUE('Raw Data Sales'!H560:H1558 &amp; "" "" &amp; 'Raw Data Sales'!I560:I1558)"),"Katherine Valiant")</f>
        <v>Katherine Valiant</v>
      </c>
      <c r="B560" s="6" t="str">
        <f>IFERROR(__xludf.DUMMYFUNCTION("""COMPUTED_VALUE"""),"kvaliantfi@si.edu")</f>
        <v>kvaliantfi@si.edu</v>
      </c>
      <c r="C560" s="6" t="str">
        <f>IFERROR(__xludf.DUMMYFUNCTION("""COMPUTED_VALUE"""),"China")</f>
        <v>China</v>
      </c>
      <c r="D560" s="6">
        <f>COUNTIFS('Raw Data Sales'!H560:H1558, LEFT(A560, FIND(" ",A560)-1), 'Raw Data Sales'!I560:I1558, MID(A560, FIND(" ",A560)+1, 100))</f>
        <v>1</v>
      </c>
      <c r="E560" s="6">
        <f>SUMIFS('Raw Data Sales'!M560:M1558, 'Raw Data Sales'!H560:H1558, LEFT(A560, FIND(" ",A560)-1), 'Raw Data Sales'!I560:I1558, MID(A560, FIND(" ",A560)+1, 100))</f>
        <v>96</v>
      </c>
      <c r="F560" s="6">
        <f>SUMIFS('Raw Data Sales'!N560:N1558, 'Raw Data Sales'!H560:H1558, LEFT(A560, FIND(" ",A560)-1), 'Raw Data Sales'!I560:I1558, MID(A560, FIND(" ",A560)+1, 100))</f>
        <v>7981.74</v>
      </c>
    </row>
    <row r="561">
      <c r="A561" s="6" t="str">
        <f>IFERROR(__xludf.DUMMYFUNCTION("UNIQUE('Raw Data Sales'!H561:H1559 &amp; "" "" &amp; 'Raw Data Sales'!I561:I1559)"),"Aggy Gledhall")</f>
        <v>Aggy Gledhall</v>
      </c>
      <c r="B561" s="6" t="str">
        <f>IFERROR(__xludf.DUMMYFUNCTION("""COMPUTED_VALUE"""),"agledhallfj@businesswire.com")</f>
        <v>agledhallfj@businesswire.com</v>
      </c>
      <c r="C561" s="6" t="str">
        <f>IFERROR(__xludf.DUMMYFUNCTION("""COMPUTED_VALUE"""),"Philippines")</f>
        <v>Philippines</v>
      </c>
      <c r="D561" s="6">
        <f>COUNTIFS('Raw Data Sales'!H561:H1559, LEFT(A561, FIND(" ",A561)-1), 'Raw Data Sales'!I561:I1559, MID(A561, FIND(" ",A561)+1, 100))</f>
        <v>1</v>
      </c>
      <c r="E561" s="6">
        <f>SUMIFS('Raw Data Sales'!M561:M1559, 'Raw Data Sales'!H561:H1559, LEFT(A561, FIND(" ",A561)-1), 'Raw Data Sales'!I561:I1559, MID(A561, FIND(" ",A561)+1, 100))</f>
        <v>79</v>
      </c>
      <c r="F561" s="6">
        <f>SUMIFS('Raw Data Sales'!N561:N1559, 'Raw Data Sales'!H561:H1559, LEFT(A561, FIND(" ",A561)-1), 'Raw Data Sales'!I561:I1559, MID(A561, FIND(" ",A561)+1, 100))</f>
        <v>8784.73</v>
      </c>
    </row>
    <row r="562">
      <c r="A562" s="6" t="str">
        <f>IFERROR(__xludf.DUMMYFUNCTION("UNIQUE('Raw Data Sales'!H562:H1560 &amp; "" "" &amp; 'Raw Data Sales'!I562:I1560)"),"Floris Banville")</f>
        <v>Floris Banville</v>
      </c>
      <c r="B562" s="6" t="str">
        <f>IFERROR(__xludf.DUMMYFUNCTION("""COMPUTED_VALUE"""),"fbanvillefk@blogs.com")</f>
        <v>fbanvillefk@blogs.com</v>
      </c>
      <c r="C562" s="6" t="str">
        <f>IFERROR(__xludf.DUMMYFUNCTION("""COMPUTED_VALUE"""),"China")</f>
        <v>China</v>
      </c>
      <c r="D562" s="6">
        <f>COUNTIFS('Raw Data Sales'!H562:H1560, LEFT(A562, FIND(" ",A562)-1), 'Raw Data Sales'!I562:I1560, MID(A562, FIND(" ",A562)+1, 100))</f>
        <v>1</v>
      </c>
      <c r="E562" s="6">
        <f>SUMIFS('Raw Data Sales'!M562:M1560, 'Raw Data Sales'!H562:H1560, LEFT(A562, FIND(" ",A562)-1), 'Raw Data Sales'!I562:I1560, MID(A562, FIND(" ",A562)+1, 100))</f>
        <v>45</v>
      </c>
      <c r="F562" s="6">
        <f>SUMIFS('Raw Data Sales'!N562:N1560, 'Raw Data Sales'!H562:H1560, LEFT(A562, FIND(" ",A562)-1), 'Raw Data Sales'!I562:I1560, MID(A562, FIND(" ",A562)+1, 100))</f>
        <v>6357.75</v>
      </c>
    </row>
    <row r="563">
      <c r="A563" s="6" t="str">
        <f>IFERROR(__xludf.DUMMYFUNCTION("UNIQUE('Raw Data Sales'!H563:H1561 &amp; "" "" &amp; 'Raw Data Sales'!I563:I1561)"),"Jodee Sprowle")</f>
        <v>Jodee Sprowle</v>
      </c>
      <c r="B563" s="6" t="str">
        <f>IFERROR(__xludf.DUMMYFUNCTION("""COMPUTED_VALUE"""),"jsprowlefl@mit.edu")</f>
        <v>jsprowlefl@mit.edu</v>
      </c>
      <c r="C563" s="6" t="str">
        <f>IFERROR(__xludf.DUMMYFUNCTION("""COMPUTED_VALUE"""),"Japan")</f>
        <v>Japan</v>
      </c>
      <c r="D563" s="6">
        <f>COUNTIFS('Raw Data Sales'!H563:H1561, LEFT(A563, FIND(" ",A563)-1), 'Raw Data Sales'!I563:I1561, MID(A563, FIND(" ",A563)+1, 100))</f>
        <v>1</v>
      </c>
      <c r="E563" s="6">
        <f>SUMIFS('Raw Data Sales'!M563:M1561, 'Raw Data Sales'!H563:H1561, LEFT(A563, FIND(" ",A563)-1), 'Raw Data Sales'!I563:I1561, MID(A563, FIND(" ",A563)+1, 100))</f>
        <v>15</v>
      </c>
      <c r="F563" s="6">
        <f>SUMIFS('Raw Data Sales'!N563:N1561, 'Raw Data Sales'!H563:H1561, LEFT(A563, FIND(" ",A563)-1), 'Raw Data Sales'!I563:I1561, MID(A563, FIND(" ",A563)+1, 100))</f>
        <v>3293.95</v>
      </c>
    </row>
    <row r="564">
      <c r="A564" s="6" t="str">
        <f>IFERROR(__xludf.DUMMYFUNCTION("UNIQUE('Raw Data Sales'!H564:H1562 &amp; "" "" &amp; 'Raw Data Sales'!I564:I1562)"),"Dane Brockhouse")</f>
        <v>Dane Brockhouse</v>
      </c>
      <c r="B564" s="6" t="str">
        <f>IFERROR(__xludf.DUMMYFUNCTION("""COMPUTED_VALUE"""),"dbrockhousefm@about.com")</f>
        <v>dbrockhousefm@about.com</v>
      </c>
      <c r="C564" s="6" t="str">
        <f>IFERROR(__xludf.DUMMYFUNCTION("""COMPUTED_VALUE"""),"Portugal")</f>
        <v>Portugal</v>
      </c>
      <c r="D564" s="6">
        <f>COUNTIFS('Raw Data Sales'!H564:H1562, LEFT(A564, FIND(" ",A564)-1), 'Raw Data Sales'!I564:I1562, MID(A564, FIND(" ",A564)+1, 100))</f>
        <v>1</v>
      </c>
      <c r="E564" s="6">
        <f>SUMIFS('Raw Data Sales'!M564:M1562, 'Raw Data Sales'!H564:H1562, LEFT(A564, FIND(" ",A564)-1), 'Raw Data Sales'!I564:I1562, MID(A564, FIND(" ",A564)+1, 100))</f>
        <v>25</v>
      </c>
      <c r="F564" s="6">
        <f>SUMIFS('Raw Data Sales'!N564:N1562, 'Raw Data Sales'!H564:H1562, LEFT(A564, FIND(" ",A564)-1), 'Raw Data Sales'!I564:I1562, MID(A564, FIND(" ",A564)+1, 100))</f>
        <v>2904.11</v>
      </c>
    </row>
    <row r="565">
      <c r="A565" s="6" t="str">
        <f>IFERROR(__xludf.DUMMYFUNCTION("UNIQUE('Raw Data Sales'!H565:H1563 &amp; "" "" &amp; 'Raw Data Sales'!I565:I1563)"),"Alastair Sam")</f>
        <v>Alastair Sam</v>
      </c>
      <c r="B565" s="6" t="str">
        <f>IFERROR(__xludf.DUMMYFUNCTION("""COMPUTED_VALUE"""),"asamfn@pinterest.com")</f>
        <v>asamfn@pinterest.com</v>
      </c>
      <c r="C565" s="6" t="str">
        <f>IFERROR(__xludf.DUMMYFUNCTION("""COMPUTED_VALUE"""),"China")</f>
        <v>China</v>
      </c>
      <c r="D565" s="6">
        <f>COUNTIFS('Raw Data Sales'!H565:H1563, LEFT(A565, FIND(" ",A565)-1), 'Raw Data Sales'!I565:I1563, MID(A565, FIND(" ",A565)+1, 100))</f>
        <v>1</v>
      </c>
      <c r="E565" s="6">
        <f>SUMIFS('Raw Data Sales'!M565:M1563, 'Raw Data Sales'!H565:H1563, LEFT(A565, FIND(" ",A565)-1), 'Raw Data Sales'!I565:I1563, MID(A565, FIND(" ",A565)+1, 100))</f>
        <v>66</v>
      </c>
      <c r="F565" s="6">
        <f>SUMIFS('Raw Data Sales'!N565:N1563, 'Raw Data Sales'!H565:H1563, LEFT(A565, FIND(" ",A565)-1), 'Raw Data Sales'!I565:I1563, MID(A565, FIND(" ",A565)+1, 100))</f>
        <v>9187.61</v>
      </c>
    </row>
    <row r="566">
      <c r="A566" s="6" t="str">
        <f>IFERROR(__xludf.DUMMYFUNCTION("UNIQUE('Raw Data Sales'!H566:H1564 &amp; "" "" &amp; 'Raw Data Sales'!I566:I1564)"),"Honey Pindell")</f>
        <v>Honey Pindell</v>
      </c>
      <c r="B566" s="6" t="str">
        <f>IFERROR(__xludf.DUMMYFUNCTION("""COMPUTED_VALUE"""),"hpindellfo@sourceforge.net")</f>
        <v>hpindellfo@sourceforge.net</v>
      </c>
      <c r="C566" s="6" t="str">
        <f>IFERROR(__xludf.DUMMYFUNCTION("""COMPUTED_VALUE"""),"Pakistan")</f>
        <v>Pakistan</v>
      </c>
      <c r="D566" s="6">
        <f>COUNTIFS('Raw Data Sales'!H566:H1564, LEFT(A566, FIND(" ",A566)-1), 'Raw Data Sales'!I566:I1564, MID(A566, FIND(" ",A566)+1, 100))</f>
        <v>1</v>
      </c>
      <c r="E566" s="6">
        <f>SUMIFS('Raw Data Sales'!M566:M1564, 'Raw Data Sales'!H566:H1564, LEFT(A566, FIND(" ",A566)-1), 'Raw Data Sales'!I566:I1564, MID(A566, FIND(" ",A566)+1, 100))</f>
        <v>22</v>
      </c>
      <c r="F566" s="6">
        <f>SUMIFS('Raw Data Sales'!N566:N1564, 'Raw Data Sales'!H566:H1564, LEFT(A566, FIND(" ",A566)-1), 'Raw Data Sales'!I566:I1564, MID(A566, FIND(" ",A566)+1, 100))</f>
        <v>4089.31</v>
      </c>
    </row>
    <row r="567">
      <c r="A567" s="6" t="str">
        <f>IFERROR(__xludf.DUMMYFUNCTION("UNIQUE('Raw Data Sales'!H567:H1565 &amp; "" "" &amp; 'Raw Data Sales'!I567:I1565)"),"Dwayne Slainey")</f>
        <v>Dwayne Slainey</v>
      </c>
      <c r="B567" s="6" t="str">
        <f>IFERROR(__xludf.DUMMYFUNCTION("""COMPUTED_VALUE"""),"dslaineyfp@behance.net")</f>
        <v>dslaineyfp@behance.net</v>
      </c>
      <c r="C567" s="6" t="str">
        <f>IFERROR(__xludf.DUMMYFUNCTION("""COMPUTED_VALUE"""),"Russia")</f>
        <v>Russia</v>
      </c>
      <c r="D567" s="6">
        <f>COUNTIFS('Raw Data Sales'!H567:H1565, LEFT(A567, FIND(" ",A567)-1), 'Raw Data Sales'!I567:I1565, MID(A567, FIND(" ",A567)+1, 100))</f>
        <v>1</v>
      </c>
      <c r="E567" s="6">
        <f>SUMIFS('Raw Data Sales'!M567:M1565, 'Raw Data Sales'!H567:H1565, LEFT(A567, FIND(" ",A567)-1), 'Raw Data Sales'!I567:I1565, MID(A567, FIND(" ",A567)+1, 100))</f>
        <v>10</v>
      </c>
      <c r="F567" s="6">
        <f>SUMIFS('Raw Data Sales'!N567:N1565, 'Raw Data Sales'!H567:H1565, LEFT(A567, FIND(" ",A567)-1), 'Raw Data Sales'!I567:I1565, MID(A567, FIND(" ",A567)+1, 100))</f>
        <v>9521.13</v>
      </c>
    </row>
    <row r="568">
      <c r="A568" s="6" t="str">
        <f>IFERROR(__xludf.DUMMYFUNCTION("UNIQUE('Raw Data Sales'!H568:H1566 &amp; "" "" &amp; 'Raw Data Sales'!I568:I1566)"),"Leandra Cawthery")</f>
        <v>Leandra Cawthery</v>
      </c>
      <c r="B568" s="6" t="str">
        <f>IFERROR(__xludf.DUMMYFUNCTION("""COMPUTED_VALUE"""),"lcawtheryfq@gnu.org")</f>
        <v>lcawtheryfq@gnu.org</v>
      </c>
      <c r="C568" s="6" t="str">
        <f>IFERROR(__xludf.DUMMYFUNCTION("""COMPUTED_VALUE"""),"Morocco")</f>
        <v>Morocco</v>
      </c>
      <c r="D568" s="6">
        <f>COUNTIFS('Raw Data Sales'!H568:H1566, LEFT(A568, FIND(" ",A568)-1), 'Raw Data Sales'!I568:I1566, MID(A568, FIND(" ",A568)+1, 100))</f>
        <v>1</v>
      </c>
      <c r="E568" s="6">
        <f>SUMIFS('Raw Data Sales'!M568:M1566, 'Raw Data Sales'!H568:H1566, LEFT(A568, FIND(" ",A568)-1), 'Raw Data Sales'!I568:I1566, MID(A568, FIND(" ",A568)+1, 100))</f>
        <v>85</v>
      </c>
      <c r="F568" s="6">
        <f>SUMIFS('Raw Data Sales'!N568:N1566, 'Raw Data Sales'!H568:H1566, LEFT(A568, FIND(" ",A568)-1), 'Raw Data Sales'!I568:I1566, MID(A568, FIND(" ",A568)+1, 100))</f>
        <v>4369.73</v>
      </c>
    </row>
    <row r="569">
      <c r="A569" s="6" t="str">
        <f>IFERROR(__xludf.DUMMYFUNCTION("UNIQUE('Raw Data Sales'!H569:H1567 &amp; "" "" &amp; 'Raw Data Sales'!I569:I1567)"),"Angelo Aslum")</f>
        <v>Angelo Aslum</v>
      </c>
      <c r="B569" s="6" t="str">
        <f>IFERROR(__xludf.DUMMYFUNCTION("""COMPUTED_VALUE"""),"aaslumfr@prweb.com")</f>
        <v>aaslumfr@prweb.com</v>
      </c>
      <c r="C569" s="6" t="str">
        <f>IFERROR(__xludf.DUMMYFUNCTION("""COMPUTED_VALUE"""),"Russia")</f>
        <v>Russia</v>
      </c>
      <c r="D569" s="6">
        <f>COUNTIFS('Raw Data Sales'!H569:H1567, LEFT(A569, FIND(" ",A569)-1), 'Raw Data Sales'!I569:I1567, MID(A569, FIND(" ",A569)+1, 100))</f>
        <v>1</v>
      </c>
      <c r="E569" s="6">
        <f>SUMIFS('Raw Data Sales'!M569:M1567, 'Raw Data Sales'!H569:H1567, LEFT(A569, FIND(" ",A569)-1), 'Raw Data Sales'!I569:I1567, MID(A569, FIND(" ",A569)+1, 100))</f>
        <v>95</v>
      </c>
      <c r="F569" s="6">
        <f>SUMIFS('Raw Data Sales'!N569:N1567, 'Raw Data Sales'!H569:H1567, LEFT(A569, FIND(" ",A569)-1), 'Raw Data Sales'!I569:I1567, MID(A569, FIND(" ",A569)+1, 100))</f>
        <v>2681.84</v>
      </c>
    </row>
    <row r="570">
      <c r="A570" s="6" t="str">
        <f>IFERROR(__xludf.DUMMYFUNCTION("UNIQUE('Raw Data Sales'!H570:H1568 &amp; "" "" &amp; 'Raw Data Sales'!I570:I1568)"),"Kalina Battelle")</f>
        <v>Kalina Battelle</v>
      </c>
      <c r="B570" s="6" t="str">
        <f>IFERROR(__xludf.DUMMYFUNCTION("""COMPUTED_VALUE"""),"kbattellefs@barnesandnoble.com")</f>
        <v>kbattellefs@barnesandnoble.com</v>
      </c>
      <c r="C570" s="6" t="str">
        <f>IFERROR(__xludf.DUMMYFUNCTION("""COMPUTED_VALUE"""),"United States")</f>
        <v>United States</v>
      </c>
      <c r="D570" s="6">
        <f>COUNTIFS('Raw Data Sales'!H570:H1568, LEFT(A570, FIND(" ",A570)-1), 'Raw Data Sales'!I570:I1568, MID(A570, FIND(" ",A570)+1, 100))</f>
        <v>1</v>
      </c>
      <c r="E570" s="6">
        <f>SUMIFS('Raw Data Sales'!M570:M1568, 'Raw Data Sales'!H570:H1568, LEFT(A570, FIND(" ",A570)-1), 'Raw Data Sales'!I570:I1568, MID(A570, FIND(" ",A570)+1, 100))</f>
        <v>1</v>
      </c>
      <c r="F570" s="6">
        <f>SUMIFS('Raw Data Sales'!N570:N1568, 'Raw Data Sales'!H570:H1568, LEFT(A570, FIND(" ",A570)-1), 'Raw Data Sales'!I570:I1568, MID(A570, FIND(" ",A570)+1, 100))</f>
        <v>6052.16</v>
      </c>
    </row>
    <row r="571">
      <c r="A571" s="6" t="str">
        <f>IFERROR(__xludf.DUMMYFUNCTION("UNIQUE('Raw Data Sales'!H571:H1569 &amp; "" "" &amp; 'Raw Data Sales'!I571:I1569)"),"Tally Littleproud")</f>
        <v>Tally Littleproud</v>
      </c>
      <c r="B571" s="6" t="str">
        <f>IFERROR(__xludf.DUMMYFUNCTION("""COMPUTED_VALUE"""),"tlittleproudft@usatoday.com")</f>
        <v>tlittleproudft@usatoday.com</v>
      </c>
      <c r="C571" s="6" t="str">
        <f>IFERROR(__xludf.DUMMYFUNCTION("""COMPUTED_VALUE"""),"Mexico")</f>
        <v>Mexico</v>
      </c>
      <c r="D571" s="6">
        <f>COUNTIFS('Raw Data Sales'!H571:H1569, LEFT(A571, FIND(" ",A571)-1), 'Raw Data Sales'!I571:I1569, MID(A571, FIND(" ",A571)+1, 100))</f>
        <v>1</v>
      </c>
      <c r="E571" s="6">
        <f>SUMIFS('Raw Data Sales'!M571:M1569, 'Raw Data Sales'!H571:H1569, LEFT(A571, FIND(" ",A571)-1), 'Raw Data Sales'!I571:I1569, MID(A571, FIND(" ",A571)+1, 100))</f>
        <v>58</v>
      </c>
      <c r="F571" s="6">
        <f>SUMIFS('Raw Data Sales'!N571:N1569, 'Raw Data Sales'!H571:H1569, LEFT(A571, FIND(" ",A571)-1), 'Raw Data Sales'!I571:I1569, MID(A571, FIND(" ",A571)+1, 100))</f>
        <v>534.22</v>
      </c>
    </row>
    <row r="572">
      <c r="A572" s="6" t="str">
        <f>IFERROR(__xludf.DUMMYFUNCTION("UNIQUE('Raw Data Sales'!H572:H1570 &amp; "" "" &amp; 'Raw Data Sales'!I572:I1570)"),"Pat Pestell")</f>
        <v>Pat Pestell</v>
      </c>
      <c r="B572" s="6" t="str">
        <f>IFERROR(__xludf.DUMMYFUNCTION("""COMPUTED_VALUE"""),"ppestellfu@myspace.com")</f>
        <v>ppestellfu@myspace.com</v>
      </c>
      <c r="C572" s="6" t="str">
        <f>IFERROR(__xludf.DUMMYFUNCTION("""COMPUTED_VALUE"""),"Sweden")</f>
        <v>Sweden</v>
      </c>
      <c r="D572" s="6">
        <f>COUNTIFS('Raw Data Sales'!H572:H1570, LEFT(A572, FIND(" ",A572)-1), 'Raw Data Sales'!I572:I1570, MID(A572, FIND(" ",A572)+1, 100))</f>
        <v>1</v>
      </c>
      <c r="E572" s="6">
        <f>SUMIFS('Raw Data Sales'!M572:M1570, 'Raw Data Sales'!H572:H1570, LEFT(A572, FIND(" ",A572)-1), 'Raw Data Sales'!I572:I1570, MID(A572, FIND(" ",A572)+1, 100))</f>
        <v>92</v>
      </c>
      <c r="F572" s="6">
        <f>SUMIFS('Raw Data Sales'!N572:N1570, 'Raw Data Sales'!H572:H1570, LEFT(A572, FIND(" ",A572)-1), 'Raw Data Sales'!I572:I1570, MID(A572, FIND(" ",A572)+1, 100))</f>
        <v>5598.12</v>
      </c>
    </row>
    <row r="573">
      <c r="A573" s="6" t="str">
        <f>IFERROR(__xludf.DUMMYFUNCTION("UNIQUE('Raw Data Sales'!H573:H1571 &amp; "" "" &amp; 'Raw Data Sales'!I573:I1571)"),"Howey Trigwell")</f>
        <v>Howey Trigwell</v>
      </c>
      <c r="B573" s="6" t="str">
        <f>IFERROR(__xludf.DUMMYFUNCTION("""COMPUTED_VALUE"""),"htrigwellfv@tmall.com")</f>
        <v>htrigwellfv@tmall.com</v>
      </c>
      <c r="C573" s="6" t="str">
        <f>IFERROR(__xludf.DUMMYFUNCTION("""COMPUTED_VALUE"""),"France")</f>
        <v>France</v>
      </c>
      <c r="D573" s="6">
        <f>COUNTIFS('Raw Data Sales'!H573:H1571, LEFT(A573, FIND(" ",A573)-1), 'Raw Data Sales'!I573:I1571, MID(A573, FIND(" ",A573)+1, 100))</f>
        <v>1</v>
      </c>
      <c r="E573" s="6">
        <f>SUMIFS('Raw Data Sales'!M573:M1571, 'Raw Data Sales'!H573:H1571, LEFT(A573, FIND(" ",A573)-1), 'Raw Data Sales'!I573:I1571, MID(A573, FIND(" ",A573)+1, 100))</f>
        <v>35</v>
      </c>
      <c r="F573" s="6">
        <f>SUMIFS('Raw Data Sales'!N573:N1571, 'Raw Data Sales'!H573:H1571, LEFT(A573, FIND(" ",A573)-1), 'Raw Data Sales'!I573:I1571, MID(A573, FIND(" ",A573)+1, 100))</f>
        <v>8053.69</v>
      </c>
    </row>
    <row r="574">
      <c r="A574" s="6" t="str">
        <f>IFERROR(__xludf.DUMMYFUNCTION("UNIQUE('Raw Data Sales'!H574:H1572 &amp; "" "" &amp; 'Raw Data Sales'!I574:I1572)"),"Fallon Deppe")</f>
        <v>Fallon Deppe</v>
      </c>
      <c r="B574" s="6" t="str">
        <f>IFERROR(__xludf.DUMMYFUNCTION("""COMPUTED_VALUE"""),"fdeppefw@plala.or.jp")</f>
        <v>fdeppefw@plala.or.jp</v>
      </c>
      <c r="C574" s="6" t="str">
        <f>IFERROR(__xludf.DUMMYFUNCTION("""COMPUTED_VALUE"""),"Sweden")</f>
        <v>Sweden</v>
      </c>
      <c r="D574" s="6">
        <f>COUNTIFS('Raw Data Sales'!H574:H1572, LEFT(A574, FIND(" ",A574)-1), 'Raw Data Sales'!I574:I1572, MID(A574, FIND(" ",A574)+1, 100))</f>
        <v>1</v>
      </c>
      <c r="E574" s="6">
        <f>SUMIFS('Raw Data Sales'!M574:M1572, 'Raw Data Sales'!H574:H1572, LEFT(A574, FIND(" ",A574)-1), 'Raw Data Sales'!I574:I1572, MID(A574, FIND(" ",A574)+1, 100))</f>
        <v>25</v>
      </c>
      <c r="F574" s="6">
        <f>SUMIFS('Raw Data Sales'!N574:N1572, 'Raw Data Sales'!H574:H1572, LEFT(A574, FIND(" ",A574)-1), 'Raw Data Sales'!I574:I1572, MID(A574, FIND(" ",A574)+1, 100))</f>
        <v>499.04</v>
      </c>
    </row>
    <row r="575">
      <c r="A575" s="6" t="str">
        <f>IFERROR(__xludf.DUMMYFUNCTION("UNIQUE('Raw Data Sales'!H575:H1573 &amp; "" "" &amp; 'Raw Data Sales'!I575:I1573)"),"Jacquelynn Babar")</f>
        <v>Jacquelynn Babar</v>
      </c>
      <c r="B575" s="6" t="str">
        <f>IFERROR(__xludf.DUMMYFUNCTION("""COMPUTED_VALUE"""),"jbabarfx@sourceforge.net")</f>
        <v>jbabarfx@sourceforge.net</v>
      </c>
      <c r="C575" s="6" t="str">
        <f>IFERROR(__xludf.DUMMYFUNCTION("""COMPUTED_VALUE"""),"Vietnam")</f>
        <v>Vietnam</v>
      </c>
      <c r="D575" s="6">
        <f>COUNTIFS('Raw Data Sales'!H575:H1573, LEFT(A575, FIND(" ",A575)-1), 'Raw Data Sales'!I575:I1573, MID(A575, FIND(" ",A575)+1, 100))</f>
        <v>1</v>
      </c>
      <c r="E575" s="6">
        <f>SUMIFS('Raw Data Sales'!M575:M1573, 'Raw Data Sales'!H575:H1573, LEFT(A575, FIND(" ",A575)-1), 'Raw Data Sales'!I575:I1573, MID(A575, FIND(" ",A575)+1, 100))</f>
        <v>29</v>
      </c>
      <c r="F575" s="6">
        <f>SUMIFS('Raw Data Sales'!N575:N1573, 'Raw Data Sales'!H575:H1573, LEFT(A575, FIND(" ",A575)-1), 'Raw Data Sales'!I575:I1573, MID(A575, FIND(" ",A575)+1, 100))</f>
        <v>751.99</v>
      </c>
    </row>
    <row r="576">
      <c r="A576" s="6" t="str">
        <f>IFERROR(__xludf.DUMMYFUNCTION("UNIQUE('Raw Data Sales'!H576:H1574 &amp; "" "" &amp; 'Raw Data Sales'!I576:I1574)"),"Georgie Rate")</f>
        <v>Georgie Rate</v>
      </c>
      <c r="B576" s="6" t="str">
        <f>IFERROR(__xludf.DUMMYFUNCTION("""COMPUTED_VALUE"""),"gratefy@blogs.com")</f>
        <v>gratefy@blogs.com</v>
      </c>
      <c r="C576" s="6" t="str">
        <f>IFERROR(__xludf.DUMMYFUNCTION("""COMPUTED_VALUE"""),"France")</f>
        <v>France</v>
      </c>
      <c r="D576" s="6">
        <f>COUNTIFS('Raw Data Sales'!H576:H1574, LEFT(A576, FIND(" ",A576)-1), 'Raw Data Sales'!I576:I1574, MID(A576, FIND(" ",A576)+1, 100))</f>
        <v>1</v>
      </c>
      <c r="E576" s="6">
        <f>SUMIFS('Raw Data Sales'!M576:M1574, 'Raw Data Sales'!H576:H1574, LEFT(A576, FIND(" ",A576)-1), 'Raw Data Sales'!I576:I1574, MID(A576, FIND(" ",A576)+1, 100))</f>
        <v>93</v>
      </c>
      <c r="F576" s="6">
        <f>SUMIFS('Raw Data Sales'!N576:N1574, 'Raw Data Sales'!H576:H1574, LEFT(A576, FIND(" ",A576)-1), 'Raw Data Sales'!I576:I1574, MID(A576, FIND(" ",A576)+1, 100))</f>
        <v>5539.9</v>
      </c>
    </row>
    <row r="577">
      <c r="A577" s="6" t="str">
        <f>IFERROR(__xludf.DUMMYFUNCTION("UNIQUE('Raw Data Sales'!H577:H1575 &amp; "" "" &amp; 'Raw Data Sales'!I577:I1575)"),"Grannie Thumann")</f>
        <v>Grannie Thumann</v>
      </c>
      <c r="B577" s="6" t="str">
        <f>IFERROR(__xludf.DUMMYFUNCTION("""COMPUTED_VALUE"""),"gthumannfz@xing.com")</f>
        <v>gthumannfz@xing.com</v>
      </c>
      <c r="C577" s="6" t="str">
        <f>IFERROR(__xludf.DUMMYFUNCTION("""COMPUTED_VALUE"""),"Syria")</f>
        <v>Syria</v>
      </c>
      <c r="D577" s="6">
        <f>COUNTIFS('Raw Data Sales'!H577:H1575, LEFT(A577, FIND(" ",A577)-1), 'Raw Data Sales'!I577:I1575, MID(A577, FIND(" ",A577)+1, 100))</f>
        <v>1</v>
      </c>
      <c r="E577" s="6">
        <f>SUMIFS('Raw Data Sales'!M577:M1575, 'Raw Data Sales'!H577:H1575, LEFT(A577, FIND(" ",A577)-1), 'Raw Data Sales'!I577:I1575, MID(A577, FIND(" ",A577)+1, 100))</f>
        <v>35</v>
      </c>
      <c r="F577" s="6">
        <f>SUMIFS('Raw Data Sales'!N577:N1575, 'Raw Data Sales'!H577:H1575, LEFT(A577, FIND(" ",A577)-1), 'Raw Data Sales'!I577:I1575, MID(A577, FIND(" ",A577)+1, 100))</f>
        <v>9114.16</v>
      </c>
    </row>
    <row r="578">
      <c r="A578" s="6" t="str">
        <f>IFERROR(__xludf.DUMMYFUNCTION("UNIQUE('Raw Data Sales'!H578:H1576 &amp; "" "" &amp; 'Raw Data Sales'!I578:I1576)"),"Georgina Buxcey")</f>
        <v>Georgina Buxcey</v>
      </c>
      <c r="B578" s="6" t="str">
        <f>IFERROR(__xludf.DUMMYFUNCTION("""COMPUTED_VALUE"""),"gbuxceyg0@miibeian.gov.cn")</f>
        <v>gbuxceyg0@miibeian.gov.cn</v>
      </c>
      <c r="C578" s="6" t="str">
        <f>IFERROR(__xludf.DUMMYFUNCTION("""COMPUTED_VALUE"""),"Sierra Leone")</f>
        <v>Sierra Leone</v>
      </c>
      <c r="D578" s="6">
        <f>COUNTIFS('Raw Data Sales'!H578:H1576, LEFT(A578, FIND(" ",A578)-1), 'Raw Data Sales'!I578:I1576, MID(A578, FIND(" ",A578)+1, 100))</f>
        <v>1</v>
      </c>
      <c r="E578" s="6">
        <f>SUMIFS('Raw Data Sales'!M578:M1576, 'Raw Data Sales'!H578:H1576, LEFT(A578, FIND(" ",A578)-1), 'Raw Data Sales'!I578:I1576, MID(A578, FIND(" ",A578)+1, 100))</f>
        <v>71</v>
      </c>
      <c r="F578" s="6">
        <f>SUMIFS('Raw Data Sales'!N578:N1576, 'Raw Data Sales'!H578:H1576, LEFT(A578, FIND(" ",A578)-1), 'Raw Data Sales'!I578:I1576, MID(A578, FIND(" ",A578)+1, 100))</f>
        <v>6160.55</v>
      </c>
    </row>
    <row r="579">
      <c r="A579" s="6" t="str">
        <f>IFERROR(__xludf.DUMMYFUNCTION("UNIQUE('Raw Data Sales'!H579:H1577 &amp; "" "" &amp; 'Raw Data Sales'!I579:I1577)"),"Rosy Gellibrand")</f>
        <v>Rosy Gellibrand</v>
      </c>
      <c r="B579" s="6" t="str">
        <f>IFERROR(__xludf.DUMMYFUNCTION("""COMPUTED_VALUE"""),"rgellibrandg1@cdbaby.com")</f>
        <v>rgellibrandg1@cdbaby.com</v>
      </c>
      <c r="C579" s="6" t="str">
        <f>IFERROR(__xludf.DUMMYFUNCTION("""COMPUTED_VALUE"""),"Argentina")</f>
        <v>Argentina</v>
      </c>
      <c r="D579" s="6">
        <f>COUNTIFS('Raw Data Sales'!H579:H1577, LEFT(A579, FIND(" ",A579)-1), 'Raw Data Sales'!I579:I1577, MID(A579, FIND(" ",A579)+1, 100))</f>
        <v>1</v>
      </c>
      <c r="E579" s="6">
        <f>SUMIFS('Raw Data Sales'!M579:M1577, 'Raw Data Sales'!H579:H1577, LEFT(A579, FIND(" ",A579)-1), 'Raw Data Sales'!I579:I1577, MID(A579, FIND(" ",A579)+1, 100))</f>
        <v>80</v>
      </c>
      <c r="F579" s="6">
        <f>SUMIFS('Raw Data Sales'!N579:N1577, 'Raw Data Sales'!H579:H1577, LEFT(A579, FIND(" ",A579)-1), 'Raw Data Sales'!I579:I1577, MID(A579, FIND(" ",A579)+1, 100))</f>
        <v>5634.15</v>
      </c>
    </row>
    <row r="580">
      <c r="A580" s="6" t="str">
        <f>IFERROR(__xludf.DUMMYFUNCTION("UNIQUE('Raw Data Sales'!H580:H1578 &amp; "" "" &amp; 'Raw Data Sales'!I580:I1578)"),"Frans McLeoid")</f>
        <v>Frans McLeoid</v>
      </c>
      <c r="B580" s="6" t="str">
        <f>IFERROR(__xludf.DUMMYFUNCTION("""COMPUTED_VALUE"""),"fmcleoidg2@diigo.com")</f>
        <v>fmcleoidg2@diigo.com</v>
      </c>
      <c r="C580" s="6" t="str">
        <f>IFERROR(__xludf.DUMMYFUNCTION("""COMPUTED_VALUE"""),"Bolivia")</f>
        <v>Bolivia</v>
      </c>
      <c r="D580" s="6">
        <f>COUNTIFS('Raw Data Sales'!H580:H1578, LEFT(A580, FIND(" ",A580)-1), 'Raw Data Sales'!I580:I1578, MID(A580, FIND(" ",A580)+1, 100))</f>
        <v>1</v>
      </c>
      <c r="E580" s="6">
        <f>SUMIFS('Raw Data Sales'!M580:M1578, 'Raw Data Sales'!H580:H1578, LEFT(A580, FIND(" ",A580)-1), 'Raw Data Sales'!I580:I1578, MID(A580, FIND(" ",A580)+1, 100))</f>
        <v>17</v>
      </c>
      <c r="F580" s="6">
        <f>SUMIFS('Raw Data Sales'!N580:N1578, 'Raw Data Sales'!H580:H1578, LEFT(A580, FIND(" ",A580)-1), 'Raw Data Sales'!I580:I1578, MID(A580, FIND(" ",A580)+1, 100))</f>
        <v>7181.86</v>
      </c>
    </row>
    <row r="581">
      <c r="A581" s="6" t="str">
        <f>IFERROR(__xludf.DUMMYFUNCTION("UNIQUE('Raw Data Sales'!H581:H1579 &amp; "" "" &amp; 'Raw Data Sales'!I581:I1579)"),"Darrell Fuente")</f>
        <v>Darrell Fuente</v>
      </c>
      <c r="B581" s="6" t="str">
        <f>IFERROR(__xludf.DUMMYFUNCTION("""COMPUTED_VALUE"""),"dfuenteg3@cafepress.com")</f>
        <v>dfuenteg3@cafepress.com</v>
      </c>
      <c r="C581" s="6" t="str">
        <f>IFERROR(__xludf.DUMMYFUNCTION("""COMPUTED_VALUE"""),"Germany")</f>
        <v>Germany</v>
      </c>
      <c r="D581" s="6">
        <f>COUNTIFS('Raw Data Sales'!H581:H1579, LEFT(A581, FIND(" ",A581)-1), 'Raw Data Sales'!I581:I1579, MID(A581, FIND(" ",A581)+1, 100))</f>
        <v>1</v>
      </c>
      <c r="E581" s="6">
        <f>SUMIFS('Raw Data Sales'!M581:M1579, 'Raw Data Sales'!H581:H1579, LEFT(A581, FIND(" ",A581)-1), 'Raw Data Sales'!I581:I1579, MID(A581, FIND(" ",A581)+1, 100))</f>
        <v>33</v>
      </c>
      <c r="F581" s="6">
        <f>SUMIFS('Raw Data Sales'!N581:N1579, 'Raw Data Sales'!H581:H1579, LEFT(A581, FIND(" ",A581)-1), 'Raw Data Sales'!I581:I1579, MID(A581, FIND(" ",A581)+1, 100))</f>
        <v>8782.43</v>
      </c>
    </row>
    <row r="582">
      <c r="A582" s="6" t="str">
        <f>IFERROR(__xludf.DUMMYFUNCTION("UNIQUE('Raw Data Sales'!H582:H1580 &amp; "" "" &amp; 'Raw Data Sales'!I582:I1580)"),"Gusti Catonnet")</f>
        <v>Gusti Catonnet</v>
      </c>
      <c r="B582" s="6" t="str">
        <f>IFERROR(__xludf.DUMMYFUNCTION("""COMPUTED_VALUE"""),"gcatonnetg4@mapquest.com")</f>
        <v>gcatonnetg4@mapquest.com</v>
      </c>
      <c r="C582" s="6" t="str">
        <f>IFERROR(__xludf.DUMMYFUNCTION("""COMPUTED_VALUE"""),"Ivory Coast")</f>
        <v>Ivory Coast</v>
      </c>
      <c r="D582" s="6">
        <f>COUNTIFS('Raw Data Sales'!H582:H1580, LEFT(A582, FIND(" ",A582)-1), 'Raw Data Sales'!I582:I1580, MID(A582, FIND(" ",A582)+1, 100))</f>
        <v>1</v>
      </c>
      <c r="E582" s="6">
        <f>SUMIFS('Raw Data Sales'!M582:M1580, 'Raw Data Sales'!H582:H1580, LEFT(A582, FIND(" ",A582)-1), 'Raw Data Sales'!I582:I1580, MID(A582, FIND(" ",A582)+1, 100))</f>
        <v>91</v>
      </c>
      <c r="F582" s="6">
        <f>SUMIFS('Raw Data Sales'!N582:N1580, 'Raw Data Sales'!H582:H1580, LEFT(A582, FIND(" ",A582)-1), 'Raw Data Sales'!I582:I1580, MID(A582, FIND(" ",A582)+1, 100))</f>
        <v>6277.76</v>
      </c>
    </row>
    <row r="583">
      <c r="A583" s="6" t="str">
        <f>IFERROR(__xludf.DUMMYFUNCTION("UNIQUE('Raw Data Sales'!H583:H1581 &amp; "" "" &amp; 'Raw Data Sales'!I583:I1581)"),"Verena Gales")</f>
        <v>Verena Gales</v>
      </c>
      <c r="B583" s="6" t="str">
        <f>IFERROR(__xludf.DUMMYFUNCTION("""COMPUTED_VALUE"""),"vgalesg5@fc2.com")</f>
        <v>vgalesg5@fc2.com</v>
      </c>
      <c r="C583" s="6" t="str">
        <f>IFERROR(__xludf.DUMMYFUNCTION("""COMPUTED_VALUE"""),"Yemen")</f>
        <v>Yemen</v>
      </c>
      <c r="D583" s="6">
        <f>COUNTIFS('Raw Data Sales'!H583:H1581, LEFT(A583, FIND(" ",A583)-1), 'Raw Data Sales'!I583:I1581, MID(A583, FIND(" ",A583)+1, 100))</f>
        <v>1</v>
      </c>
      <c r="E583" s="6">
        <f>SUMIFS('Raw Data Sales'!M583:M1581, 'Raw Data Sales'!H583:H1581, LEFT(A583, FIND(" ",A583)-1), 'Raw Data Sales'!I583:I1581, MID(A583, FIND(" ",A583)+1, 100))</f>
        <v>58</v>
      </c>
      <c r="F583" s="6">
        <f>SUMIFS('Raw Data Sales'!N583:N1581, 'Raw Data Sales'!H583:H1581, LEFT(A583, FIND(" ",A583)-1), 'Raw Data Sales'!I583:I1581, MID(A583, FIND(" ",A583)+1, 100))</f>
        <v>1882.91</v>
      </c>
    </row>
    <row r="584">
      <c r="A584" s="6" t="str">
        <f>IFERROR(__xludf.DUMMYFUNCTION("UNIQUE('Raw Data Sales'!H584:H1582 &amp; "" "" &amp; 'Raw Data Sales'!I584:I1582)"),"Delmore Aistrop")</f>
        <v>Delmore Aistrop</v>
      </c>
      <c r="B584" s="6" t="str">
        <f>IFERROR(__xludf.DUMMYFUNCTION("""COMPUTED_VALUE"""),"daistropg6@nsw.gov.au")</f>
        <v>daistropg6@nsw.gov.au</v>
      </c>
      <c r="C584" s="6" t="str">
        <f>IFERROR(__xludf.DUMMYFUNCTION("""COMPUTED_VALUE"""),"Russia")</f>
        <v>Russia</v>
      </c>
      <c r="D584" s="6">
        <f>COUNTIFS('Raw Data Sales'!H584:H1582, LEFT(A584, FIND(" ",A584)-1), 'Raw Data Sales'!I584:I1582, MID(A584, FIND(" ",A584)+1, 100))</f>
        <v>1</v>
      </c>
      <c r="E584" s="6">
        <f>SUMIFS('Raw Data Sales'!M584:M1582, 'Raw Data Sales'!H584:H1582, LEFT(A584, FIND(" ",A584)-1), 'Raw Data Sales'!I584:I1582, MID(A584, FIND(" ",A584)+1, 100))</f>
        <v>94</v>
      </c>
      <c r="F584" s="6">
        <f>SUMIFS('Raw Data Sales'!N584:N1582, 'Raw Data Sales'!H584:H1582, LEFT(A584, FIND(" ",A584)-1), 'Raw Data Sales'!I584:I1582, MID(A584, FIND(" ",A584)+1, 100))</f>
        <v>6843.59</v>
      </c>
    </row>
    <row r="585">
      <c r="A585" s="6" t="str">
        <f>IFERROR(__xludf.DUMMYFUNCTION("UNIQUE('Raw Data Sales'!H585:H1583 &amp; "" "" &amp; 'Raw Data Sales'!I585:I1583)"),"Lainey Bevans")</f>
        <v>Lainey Bevans</v>
      </c>
      <c r="B585" s="6" t="str">
        <f>IFERROR(__xludf.DUMMYFUNCTION("""COMPUTED_VALUE"""),"lbevansg7@multiply.com")</f>
        <v>lbevansg7@multiply.com</v>
      </c>
      <c r="C585" s="6" t="str">
        <f>IFERROR(__xludf.DUMMYFUNCTION("""COMPUTED_VALUE"""),"China")</f>
        <v>China</v>
      </c>
      <c r="D585" s="6">
        <f>COUNTIFS('Raw Data Sales'!H585:H1583, LEFT(A585, FIND(" ",A585)-1), 'Raw Data Sales'!I585:I1583, MID(A585, FIND(" ",A585)+1, 100))</f>
        <v>1</v>
      </c>
      <c r="E585" s="6">
        <f>SUMIFS('Raw Data Sales'!M585:M1583, 'Raw Data Sales'!H585:H1583, LEFT(A585, FIND(" ",A585)-1), 'Raw Data Sales'!I585:I1583, MID(A585, FIND(" ",A585)+1, 100))</f>
        <v>82</v>
      </c>
      <c r="F585" s="6">
        <f>SUMIFS('Raw Data Sales'!N585:N1583, 'Raw Data Sales'!H585:H1583, LEFT(A585, FIND(" ",A585)-1), 'Raw Data Sales'!I585:I1583, MID(A585, FIND(" ",A585)+1, 100))</f>
        <v>8007.17</v>
      </c>
    </row>
    <row r="586">
      <c r="A586" s="6" t="str">
        <f>IFERROR(__xludf.DUMMYFUNCTION("UNIQUE('Raw Data Sales'!H586:H1584 &amp; "" "" &amp; 'Raw Data Sales'!I586:I1584)"),"Connie Beetham")</f>
        <v>Connie Beetham</v>
      </c>
      <c r="B586" s="6" t="str">
        <f>IFERROR(__xludf.DUMMYFUNCTION("""COMPUTED_VALUE"""),"cbeethamg8@prweb.com")</f>
        <v>cbeethamg8@prweb.com</v>
      </c>
      <c r="C586" s="6" t="str">
        <f>IFERROR(__xludf.DUMMYFUNCTION("""COMPUTED_VALUE"""),"Russia")</f>
        <v>Russia</v>
      </c>
      <c r="D586" s="6">
        <f>COUNTIFS('Raw Data Sales'!H586:H1584, LEFT(A586, FIND(" ",A586)-1), 'Raw Data Sales'!I586:I1584, MID(A586, FIND(" ",A586)+1, 100))</f>
        <v>1</v>
      </c>
      <c r="E586" s="6">
        <f>SUMIFS('Raw Data Sales'!M586:M1584, 'Raw Data Sales'!H586:H1584, LEFT(A586, FIND(" ",A586)-1), 'Raw Data Sales'!I586:I1584, MID(A586, FIND(" ",A586)+1, 100))</f>
        <v>65</v>
      </c>
      <c r="F586" s="6">
        <f>SUMIFS('Raw Data Sales'!N586:N1584, 'Raw Data Sales'!H586:H1584, LEFT(A586, FIND(" ",A586)-1), 'Raw Data Sales'!I586:I1584, MID(A586, FIND(" ",A586)+1, 100))</f>
        <v>5159.43</v>
      </c>
    </row>
    <row r="587">
      <c r="A587" s="6" t="str">
        <f>IFERROR(__xludf.DUMMYFUNCTION("UNIQUE('Raw Data Sales'!H587:H1585 &amp; "" "" &amp; 'Raw Data Sales'!I587:I1585)"),"Hans Farthing")</f>
        <v>Hans Farthing</v>
      </c>
      <c r="B587" s="6" t="str">
        <f>IFERROR(__xludf.DUMMYFUNCTION("""COMPUTED_VALUE"""),"hfarthingg9@skyrock.com")</f>
        <v>hfarthingg9@skyrock.com</v>
      </c>
      <c r="C587" s="6" t="str">
        <f>IFERROR(__xludf.DUMMYFUNCTION("""COMPUTED_VALUE"""),"Macedonia")</f>
        <v>Macedonia</v>
      </c>
      <c r="D587" s="6">
        <f>COUNTIFS('Raw Data Sales'!H587:H1585, LEFT(A587, FIND(" ",A587)-1), 'Raw Data Sales'!I587:I1585, MID(A587, FIND(" ",A587)+1, 100))</f>
        <v>1</v>
      </c>
      <c r="E587" s="6">
        <f>SUMIFS('Raw Data Sales'!M587:M1585, 'Raw Data Sales'!H587:H1585, LEFT(A587, FIND(" ",A587)-1), 'Raw Data Sales'!I587:I1585, MID(A587, FIND(" ",A587)+1, 100))</f>
        <v>14</v>
      </c>
      <c r="F587" s="6">
        <f>SUMIFS('Raw Data Sales'!N587:N1585, 'Raw Data Sales'!H587:H1585, LEFT(A587, FIND(" ",A587)-1), 'Raw Data Sales'!I587:I1585, MID(A587, FIND(" ",A587)+1, 100))</f>
        <v>4955.57</v>
      </c>
    </row>
    <row r="588">
      <c r="A588" s="6" t="str">
        <f>IFERROR(__xludf.DUMMYFUNCTION("UNIQUE('Raw Data Sales'!H588:H1586 &amp; "" "" &amp; 'Raw Data Sales'!I588:I1586)"),"Drucy Harkins")</f>
        <v>Drucy Harkins</v>
      </c>
      <c r="B588" s="6" t="str">
        <f>IFERROR(__xludf.DUMMYFUNCTION("""COMPUTED_VALUE"""),"dharkinsga@wix.com")</f>
        <v>dharkinsga@wix.com</v>
      </c>
      <c r="C588" s="6" t="str">
        <f>IFERROR(__xludf.DUMMYFUNCTION("""COMPUTED_VALUE"""),"Argentina")</f>
        <v>Argentina</v>
      </c>
      <c r="D588" s="6">
        <f>COUNTIFS('Raw Data Sales'!H588:H1586, LEFT(A588, FIND(" ",A588)-1), 'Raw Data Sales'!I588:I1586, MID(A588, FIND(" ",A588)+1, 100))</f>
        <v>1</v>
      </c>
      <c r="E588" s="6">
        <f>SUMIFS('Raw Data Sales'!M588:M1586, 'Raw Data Sales'!H588:H1586, LEFT(A588, FIND(" ",A588)-1), 'Raw Data Sales'!I588:I1586, MID(A588, FIND(" ",A588)+1, 100))</f>
        <v>66</v>
      </c>
      <c r="F588" s="6">
        <f>SUMIFS('Raw Data Sales'!N588:N1586, 'Raw Data Sales'!H588:H1586, LEFT(A588, FIND(" ",A588)-1), 'Raw Data Sales'!I588:I1586, MID(A588, FIND(" ",A588)+1, 100))</f>
        <v>5008.29</v>
      </c>
    </row>
    <row r="589">
      <c r="A589" s="6" t="str">
        <f>IFERROR(__xludf.DUMMYFUNCTION("UNIQUE('Raw Data Sales'!H589:H1587 &amp; "" "" &amp; 'Raw Data Sales'!I589:I1587)"),"Belva Burd")</f>
        <v>Belva Burd</v>
      </c>
      <c r="B589" s="6" t="str">
        <f>IFERROR(__xludf.DUMMYFUNCTION("""COMPUTED_VALUE"""),"bburdgb@xinhuanet.com")</f>
        <v>bburdgb@xinhuanet.com</v>
      </c>
      <c r="C589" s="6" t="str">
        <f>IFERROR(__xludf.DUMMYFUNCTION("""COMPUTED_VALUE"""),"Portugal")</f>
        <v>Portugal</v>
      </c>
      <c r="D589" s="6">
        <f>COUNTIFS('Raw Data Sales'!H589:H1587, LEFT(A589, FIND(" ",A589)-1), 'Raw Data Sales'!I589:I1587, MID(A589, FIND(" ",A589)+1, 100))</f>
        <v>1</v>
      </c>
      <c r="E589" s="6">
        <f>SUMIFS('Raw Data Sales'!M589:M1587, 'Raw Data Sales'!H589:H1587, LEFT(A589, FIND(" ",A589)-1), 'Raw Data Sales'!I589:I1587, MID(A589, FIND(" ",A589)+1, 100))</f>
        <v>97</v>
      </c>
      <c r="F589" s="6">
        <f>SUMIFS('Raw Data Sales'!N589:N1587, 'Raw Data Sales'!H589:H1587, LEFT(A589, FIND(" ",A589)-1), 'Raw Data Sales'!I589:I1587, MID(A589, FIND(" ",A589)+1, 100))</f>
        <v>8570.91</v>
      </c>
    </row>
    <row r="590">
      <c r="A590" s="6" t="str">
        <f>IFERROR(__xludf.DUMMYFUNCTION("UNIQUE('Raw Data Sales'!H590:H1588 &amp; "" "" &amp; 'Raw Data Sales'!I590:I1588)"),"Aguie Tutill")</f>
        <v>Aguie Tutill</v>
      </c>
      <c r="B590" s="6" t="str">
        <f>IFERROR(__xludf.DUMMYFUNCTION("""COMPUTED_VALUE"""),"atutillgc@vinaora.com")</f>
        <v>atutillgc@vinaora.com</v>
      </c>
      <c r="C590" s="6" t="str">
        <f>IFERROR(__xludf.DUMMYFUNCTION("""COMPUTED_VALUE"""),"Portugal")</f>
        <v>Portugal</v>
      </c>
      <c r="D590" s="6">
        <f>COUNTIFS('Raw Data Sales'!H590:H1588, LEFT(A590, FIND(" ",A590)-1), 'Raw Data Sales'!I590:I1588, MID(A590, FIND(" ",A590)+1, 100))</f>
        <v>1</v>
      </c>
      <c r="E590" s="6">
        <f>SUMIFS('Raw Data Sales'!M590:M1588, 'Raw Data Sales'!H590:H1588, LEFT(A590, FIND(" ",A590)-1), 'Raw Data Sales'!I590:I1588, MID(A590, FIND(" ",A590)+1, 100))</f>
        <v>3</v>
      </c>
      <c r="F590" s="6">
        <f>SUMIFS('Raw Data Sales'!N590:N1588, 'Raw Data Sales'!H590:H1588, LEFT(A590, FIND(" ",A590)-1), 'Raw Data Sales'!I590:I1588, MID(A590, FIND(" ",A590)+1, 100))</f>
        <v>161.97</v>
      </c>
    </row>
    <row r="591">
      <c r="A591" s="6" t="str">
        <f>IFERROR(__xludf.DUMMYFUNCTION("UNIQUE('Raw Data Sales'!H591:H1589 &amp; "" "" &amp; 'Raw Data Sales'!I591:I1589)"),"Avictor Tolefree")</f>
        <v>Avictor Tolefree</v>
      </c>
      <c r="B591" s="6" t="str">
        <f>IFERROR(__xludf.DUMMYFUNCTION("""COMPUTED_VALUE"""),"atolefreegd@biglobe.ne.jp")</f>
        <v>atolefreegd@biglobe.ne.jp</v>
      </c>
      <c r="C591" s="6" t="str">
        <f>IFERROR(__xludf.DUMMYFUNCTION("""COMPUTED_VALUE"""),"China")</f>
        <v>China</v>
      </c>
      <c r="D591" s="6">
        <f>COUNTIFS('Raw Data Sales'!H591:H1589, LEFT(A591, FIND(" ",A591)-1), 'Raw Data Sales'!I591:I1589, MID(A591, FIND(" ",A591)+1, 100))</f>
        <v>1</v>
      </c>
      <c r="E591" s="6">
        <f>SUMIFS('Raw Data Sales'!M591:M1589, 'Raw Data Sales'!H591:H1589, LEFT(A591, FIND(" ",A591)-1), 'Raw Data Sales'!I591:I1589, MID(A591, FIND(" ",A591)+1, 100))</f>
        <v>16</v>
      </c>
      <c r="F591" s="6">
        <f>SUMIFS('Raw Data Sales'!N591:N1589, 'Raw Data Sales'!H591:H1589, LEFT(A591, FIND(" ",A591)-1), 'Raw Data Sales'!I591:I1589, MID(A591, FIND(" ",A591)+1, 100))</f>
        <v>2409.49</v>
      </c>
    </row>
    <row r="592">
      <c r="A592" s="6" t="str">
        <f>IFERROR(__xludf.DUMMYFUNCTION("UNIQUE('Raw Data Sales'!H592:H1590 &amp; "" "" &amp; 'Raw Data Sales'!I592:I1590)"),"Madelene Hawkyens")</f>
        <v>Madelene Hawkyens</v>
      </c>
      <c r="B592" s="6" t="str">
        <f>IFERROR(__xludf.DUMMYFUNCTION("""COMPUTED_VALUE"""),"mhawkyensge@nbcnews.com")</f>
        <v>mhawkyensge@nbcnews.com</v>
      </c>
      <c r="C592" s="6" t="str">
        <f>IFERROR(__xludf.DUMMYFUNCTION("""COMPUTED_VALUE"""),"Brazil")</f>
        <v>Brazil</v>
      </c>
      <c r="D592" s="6">
        <f>COUNTIFS('Raw Data Sales'!H592:H1590, LEFT(A592, FIND(" ",A592)-1), 'Raw Data Sales'!I592:I1590, MID(A592, FIND(" ",A592)+1, 100))</f>
        <v>1</v>
      </c>
      <c r="E592" s="6">
        <f>SUMIFS('Raw Data Sales'!M592:M1590, 'Raw Data Sales'!H592:H1590, LEFT(A592, FIND(" ",A592)-1), 'Raw Data Sales'!I592:I1590, MID(A592, FIND(" ",A592)+1, 100))</f>
        <v>46</v>
      </c>
      <c r="F592" s="6">
        <f>SUMIFS('Raw Data Sales'!N592:N1590, 'Raw Data Sales'!H592:H1590, LEFT(A592, FIND(" ",A592)-1), 'Raw Data Sales'!I592:I1590, MID(A592, FIND(" ",A592)+1, 100))</f>
        <v>6917.34</v>
      </c>
    </row>
    <row r="593">
      <c r="A593" s="6" t="str">
        <f>IFERROR(__xludf.DUMMYFUNCTION("UNIQUE('Raw Data Sales'!H593:H1591 &amp; "" "" &amp; 'Raw Data Sales'!I593:I1591)"),"Elbertina Catherick")</f>
        <v>Elbertina Catherick</v>
      </c>
      <c r="B593" s="6" t="str">
        <f>IFERROR(__xludf.DUMMYFUNCTION("""COMPUTED_VALUE"""),"ecatherickgf@friendfeed.com")</f>
        <v>ecatherickgf@friendfeed.com</v>
      </c>
      <c r="C593" s="6" t="str">
        <f>IFERROR(__xludf.DUMMYFUNCTION("""COMPUTED_VALUE"""),"Sweden")</f>
        <v>Sweden</v>
      </c>
      <c r="D593" s="6">
        <f>COUNTIFS('Raw Data Sales'!H593:H1591, LEFT(A593, FIND(" ",A593)-1), 'Raw Data Sales'!I593:I1591, MID(A593, FIND(" ",A593)+1, 100))</f>
        <v>1</v>
      </c>
      <c r="E593" s="6">
        <f>SUMIFS('Raw Data Sales'!M593:M1591, 'Raw Data Sales'!H593:H1591, LEFT(A593, FIND(" ",A593)-1), 'Raw Data Sales'!I593:I1591, MID(A593, FIND(" ",A593)+1, 100))</f>
        <v>80</v>
      </c>
      <c r="F593" s="6">
        <f>SUMIFS('Raw Data Sales'!N593:N1591, 'Raw Data Sales'!H593:H1591, LEFT(A593, FIND(" ",A593)-1), 'Raw Data Sales'!I593:I1591, MID(A593, FIND(" ",A593)+1, 100))</f>
        <v>7508.16</v>
      </c>
    </row>
    <row r="594">
      <c r="A594" s="6" t="str">
        <f>IFERROR(__xludf.DUMMYFUNCTION("UNIQUE('Raw Data Sales'!H594:H1592 &amp; "" "" &amp; 'Raw Data Sales'!I594:I1592)"),"Cathryn Proom")</f>
        <v>Cathryn Proom</v>
      </c>
      <c r="B594" s="6" t="str">
        <f>IFERROR(__xludf.DUMMYFUNCTION("""COMPUTED_VALUE"""),"cproomgg@reverbnation.com")</f>
        <v>cproomgg@reverbnation.com</v>
      </c>
      <c r="C594" s="6" t="str">
        <f>IFERROR(__xludf.DUMMYFUNCTION("""COMPUTED_VALUE"""),"Ukraine")</f>
        <v>Ukraine</v>
      </c>
      <c r="D594" s="6">
        <f>COUNTIFS('Raw Data Sales'!H594:H1592, LEFT(A594, FIND(" ",A594)-1), 'Raw Data Sales'!I594:I1592, MID(A594, FIND(" ",A594)+1, 100))</f>
        <v>1</v>
      </c>
      <c r="E594" s="6">
        <f>SUMIFS('Raw Data Sales'!M594:M1592, 'Raw Data Sales'!H594:H1592, LEFT(A594, FIND(" ",A594)-1), 'Raw Data Sales'!I594:I1592, MID(A594, FIND(" ",A594)+1, 100))</f>
        <v>89</v>
      </c>
      <c r="F594" s="6">
        <f>SUMIFS('Raw Data Sales'!N594:N1592, 'Raw Data Sales'!H594:H1592, LEFT(A594, FIND(" ",A594)-1), 'Raw Data Sales'!I594:I1592, MID(A594, FIND(" ",A594)+1, 100))</f>
        <v>5376.34</v>
      </c>
    </row>
    <row r="595">
      <c r="A595" s="6" t="str">
        <f>IFERROR(__xludf.DUMMYFUNCTION("UNIQUE('Raw Data Sales'!H595:H1593 &amp; "" "" &amp; 'Raw Data Sales'!I595:I1593)"),"Wakefield Cardwell")</f>
        <v>Wakefield Cardwell</v>
      </c>
      <c r="B595" s="6" t="str">
        <f>IFERROR(__xludf.DUMMYFUNCTION("""COMPUTED_VALUE"""),"wcardwellgh@paypal.com")</f>
        <v>wcardwellgh@paypal.com</v>
      </c>
      <c r="C595" s="6" t="str">
        <f>IFERROR(__xludf.DUMMYFUNCTION("""COMPUTED_VALUE"""),"South Africa")</f>
        <v>South Africa</v>
      </c>
      <c r="D595" s="6">
        <f>COUNTIFS('Raw Data Sales'!H595:H1593, LEFT(A595, FIND(" ",A595)-1), 'Raw Data Sales'!I595:I1593, MID(A595, FIND(" ",A595)+1, 100))</f>
        <v>1</v>
      </c>
      <c r="E595" s="6">
        <f>SUMIFS('Raw Data Sales'!M595:M1593, 'Raw Data Sales'!H595:H1593, LEFT(A595, FIND(" ",A595)-1), 'Raw Data Sales'!I595:I1593, MID(A595, FIND(" ",A595)+1, 100))</f>
        <v>14</v>
      </c>
      <c r="F595" s="6">
        <f>SUMIFS('Raw Data Sales'!N595:N1593, 'Raw Data Sales'!H595:H1593, LEFT(A595, FIND(" ",A595)-1), 'Raw Data Sales'!I595:I1593, MID(A595, FIND(" ",A595)+1, 100))</f>
        <v>1596.52</v>
      </c>
    </row>
    <row r="596">
      <c r="A596" s="6" t="str">
        <f>IFERROR(__xludf.DUMMYFUNCTION("UNIQUE('Raw Data Sales'!H596:H1594 &amp; "" "" &amp; 'Raw Data Sales'!I596:I1594)"),"Marcello Bessant")</f>
        <v>Marcello Bessant</v>
      </c>
      <c r="B596" s="6" t="str">
        <f>IFERROR(__xludf.DUMMYFUNCTION("""COMPUTED_VALUE"""),"mbessantgi@dyndns.org")</f>
        <v>mbessantgi@dyndns.org</v>
      </c>
      <c r="C596" s="6" t="str">
        <f>IFERROR(__xludf.DUMMYFUNCTION("""COMPUTED_VALUE"""),"Ecuador")</f>
        <v>Ecuador</v>
      </c>
      <c r="D596" s="6">
        <f>COUNTIFS('Raw Data Sales'!H596:H1594, LEFT(A596, FIND(" ",A596)-1), 'Raw Data Sales'!I596:I1594, MID(A596, FIND(" ",A596)+1, 100))</f>
        <v>1</v>
      </c>
      <c r="E596" s="6">
        <f>SUMIFS('Raw Data Sales'!M596:M1594, 'Raw Data Sales'!H596:H1594, LEFT(A596, FIND(" ",A596)-1), 'Raw Data Sales'!I596:I1594, MID(A596, FIND(" ",A596)+1, 100))</f>
        <v>40</v>
      </c>
      <c r="F596" s="6">
        <f>SUMIFS('Raw Data Sales'!N596:N1594, 'Raw Data Sales'!H596:H1594, LEFT(A596, FIND(" ",A596)-1), 'Raw Data Sales'!I596:I1594, MID(A596, FIND(" ",A596)+1, 100))</f>
        <v>4889.83</v>
      </c>
    </row>
    <row r="597">
      <c r="A597" s="6" t="str">
        <f>IFERROR(__xludf.DUMMYFUNCTION("UNIQUE('Raw Data Sales'!H597:H1595 &amp; "" "" &amp; 'Raw Data Sales'!I597:I1595)"),"Sutherland Pailin")</f>
        <v>Sutherland Pailin</v>
      </c>
      <c r="B597" s="6" t="str">
        <f>IFERROR(__xludf.DUMMYFUNCTION("""COMPUTED_VALUE"""),"spailingj@bloglovin.com")</f>
        <v>spailingj@bloglovin.com</v>
      </c>
      <c r="C597" s="6" t="str">
        <f>IFERROR(__xludf.DUMMYFUNCTION("""COMPUTED_VALUE"""),"Malaysia")</f>
        <v>Malaysia</v>
      </c>
      <c r="D597" s="6">
        <f>COUNTIFS('Raw Data Sales'!H597:H1595, LEFT(A597, FIND(" ",A597)-1), 'Raw Data Sales'!I597:I1595, MID(A597, FIND(" ",A597)+1, 100))</f>
        <v>1</v>
      </c>
      <c r="E597" s="6">
        <f>SUMIFS('Raw Data Sales'!M597:M1595, 'Raw Data Sales'!H597:H1595, LEFT(A597, FIND(" ",A597)-1), 'Raw Data Sales'!I597:I1595, MID(A597, FIND(" ",A597)+1, 100))</f>
        <v>21</v>
      </c>
      <c r="F597" s="6">
        <f>SUMIFS('Raw Data Sales'!N597:N1595, 'Raw Data Sales'!H597:H1595, LEFT(A597, FIND(" ",A597)-1), 'Raw Data Sales'!I597:I1595, MID(A597, FIND(" ",A597)+1, 100))</f>
        <v>8696.23</v>
      </c>
    </row>
    <row r="598">
      <c r="A598" s="6" t="str">
        <f>IFERROR(__xludf.DUMMYFUNCTION("UNIQUE('Raw Data Sales'!H598:H1596 &amp; "" "" &amp; 'Raw Data Sales'!I598:I1596)"),"Velma Fritzer")</f>
        <v>Velma Fritzer</v>
      </c>
      <c r="B598" s="6" t="str">
        <f>IFERROR(__xludf.DUMMYFUNCTION("""COMPUTED_VALUE"""),"vfritzergk@github.com")</f>
        <v>vfritzergk@github.com</v>
      </c>
      <c r="C598" s="6" t="str">
        <f>IFERROR(__xludf.DUMMYFUNCTION("""COMPUTED_VALUE"""),"China")</f>
        <v>China</v>
      </c>
      <c r="D598" s="6">
        <f>COUNTIFS('Raw Data Sales'!H598:H1596, LEFT(A598, FIND(" ",A598)-1), 'Raw Data Sales'!I598:I1596, MID(A598, FIND(" ",A598)+1, 100))</f>
        <v>1</v>
      </c>
      <c r="E598" s="6">
        <f>SUMIFS('Raw Data Sales'!M598:M1596, 'Raw Data Sales'!H598:H1596, LEFT(A598, FIND(" ",A598)-1), 'Raw Data Sales'!I598:I1596, MID(A598, FIND(" ",A598)+1, 100))</f>
        <v>92</v>
      </c>
      <c r="F598" s="6">
        <f>SUMIFS('Raw Data Sales'!N598:N1596, 'Raw Data Sales'!H598:H1596, LEFT(A598, FIND(" ",A598)-1), 'Raw Data Sales'!I598:I1596, MID(A598, FIND(" ",A598)+1, 100))</f>
        <v>380.95</v>
      </c>
    </row>
    <row r="599">
      <c r="A599" s="6" t="str">
        <f>IFERROR(__xludf.DUMMYFUNCTION("UNIQUE('Raw Data Sales'!H599:H1597 &amp; "" "" &amp; 'Raw Data Sales'!I599:I1597)"),"Brynna Le Breton")</f>
        <v>Brynna Le Breton</v>
      </c>
      <c r="B599" s="6" t="str">
        <f>IFERROR(__xludf.DUMMYFUNCTION("""COMPUTED_VALUE"""),"blebretongl@zdnet.com")</f>
        <v>blebretongl@zdnet.com</v>
      </c>
      <c r="C599" s="6" t="str">
        <f>IFERROR(__xludf.DUMMYFUNCTION("""COMPUTED_VALUE"""),"Egypt")</f>
        <v>Egypt</v>
      </c>
      <c r="D599" s="6">
        <f>COUNTIFS('Raw Data Sales'!H599:H1597, LEFT(A599, FIND(" ",A599)-1), 'Raw Data Sales'!I599:I1597, MID(A599, FIND(" ",A599)+1, 100))</f>
        <v>1</v>
      </c>
      <c r="E599" s="6">
        <f>SUMIFS('Raw Data Sales'!M599:M1597, 'Raw Data Sales'!H599:H1597, LEFT(A599, FIND(" ",A599)-1), 'Raw Data Sales'!I599:I1597, MID(A599, FIND(" ",A599)+1, 100))</f>
        <v>5</v>
      </c>
      <c r="F599" s="6">
        <f>SUMIFS('Raw Data Sales'!N599:N1597, 'Raw Data Sales'!H599:H1597, LEFT(A599, FIND(" ",A599)-1), 'Raw Data Sales'!I599:I1597, MID(A599, FIND(" ",A599)+1, 100))</f>
        <v>7126.87</v>
      </c>
    </row>
    <row r="600">
      <c r="A600" s="6" t="str">
        <f>IFERROR(__xludf.DUMMYFUNCTION("UNIQUE('Raw Data Sales'!H600:H1598 &amp; "" "" &amp; 'Raw Data Sales'!I600:I1598)"),"Emiline Duncan")</f>
        <v>Emiline Duncan</v>
      </c>
      <c r="B600" s="6" t="str">
        <f>IFERROR(__xludf.DUMMYFUNCTION("""COMPUTED_VALUE"""),"eduncangm@squarespace.com")</f>
        <v>eduncangm@squarespace.com</v>
      </c>
      <c r="C600" s="6" t="str">
        <f>IFERROR(__xludf.DUMMYFUNCTION("""COMPUTED_VALUE"""),"Indonesia")</f>
        <v>Indonesia</v>
      </c>
      <c r="D600" s="6">
        <f>COUNTIFS('Raw Data Sales'!H600:H1598, LEFT(A600, FIND(" ",A600)-1), 'Raw Data Sales'!I600:I1598, MID(A600, FIND(" ",A600)+1, 100))</f>
        <v>1</v>
      </c>
      <c r="E600" s="6">
        <f>SUMIFS('Raw Data Sales'!M600:M1598, 'Raw Data Sales'!H600:H1598, LEFT(A600, FIND(" ",A600)-1), 'Raw Data Sales'!I600:I1598, MID(A600, FIND(" ",A600)+1, 100))</f>
        <v>52</v>
      </c>
      <c r="F600" s="6">
        <f>SUMIFS('Raw Data Sales'!N600:N1598, 'Raw Data Sales'!H600:H1598, LEFT(A600, FIND(" ",A600)-1), 'Raw Data Sales'!I600:I1598, MID(A600, FIND(" ",A600)+1, 100))</f>
        <v>8013.96</v>
      </c>
    </row>
    <row r="601">
      <c r="A601" s="6" t="str">
        <f>IFERROR(__xludf.DUMMYFUNCTION("UNIQUE('Raw Data Sales'!H601:H1599 &amp; "" "" &amp; 'Raw Data Sales'!I601:I1599)"),"Baillie Heakey")</f>
        <v>Baillie Heakey</v>
      </c>
      <c r="B601" s="6" t="str">
        <f>IFERROR(__xludf.DUMMYFUNCTION("""COMPUTED_VALUE"""),"bheakeygn@jigsy.com")</f>
        <v>bheakeygn@jigsy.com</v>
      </c>
      <c r="C601" s="6" t="str">
        <f>IFERROR(__xludf.DUMMYFUNCTION("""COMPUTED_VALUE"""),"Uzbekistan")</f>
        <v>Uzbekistan</v>
      </c>
      <c r="D601" s="6">
        <f>COUNTIFS('Raw Data Sales'!H601:H1599, LEFT(A601, FIND(" ",A601)-1), 'Raw Data Sales'!I601:I1599, MID(A601, FIND(" ",A601)+1, 100))</f>
        <v>1</v>
      </c>
      <c r="E601" s="6">
        <f>SUMIFS('Raw Data Sales'!M601:M1599, 'Raw Data Sales'!H601:H1599, LEFT(A601, FIND(" ",A601)-1), 'Raw Data Sales'!I601:I1599, MID(A601, FIND(" ",A601)+1, 100))</f>
        <v>17</v>
      </c>
      <c r="F601" s="6">
        <f>SUMIFS('Raw Data Sales'!N601:N1599, 'Raw Data Sales'!H601:H1599, LEFT(A601, FIND(" ",A601)-1), 'Raw Data Sales'!I601:I1599, MID(A601, FIND(" ",A601)+1, 100))</f>
        <v>3879.51</v>
      </c>
    </row>
    <row r="602">
      <c r="A602" s="6" t="str">
        <f>IFERROR(__xludf.DUMMYFUNCTION("UNIQUE('Raw Data Sales'!H602:H1600 &amp; "" "" &amp; 'Raw Data Sales'!I602:I1600)"),"Ignaz Pieche")</f>
        <v>Ignaz Pieche</v>
      </c>
      <c r="B602" s="6" t="str">
        <f>IFERROR(__xludf.DUMMYFUNCTION("""COMPUTED_VALUE"""),"ipiechego@theatlantic.com")</f>
        <v>ipiechego@theatlantic.com</v>
      </c>
      <c r="C602" s="6" t="str">
        <f>IFERROR(__xludf.DUMMYFUNCTION("""COMPUTED_VALUE"""),"Pakistan")</f>
        <v>Pakistan</v>
      </c>
      <c r="D602" s="6">
        <f>COUNTIFS('Raw Data Sales'!H602:H1600, LEFT(A602, FIND(" ",A602)-1), 'Raw Data Sales'!I602:I1600, MID(A602, FIND(" ",A602)+1, 100))</f>
        <v>1</v>
      </c>
      <c r="E602" s="6">
        <f>SUMIFS('Raw Data Sales'!M602:M1600, 'Raw Data Sales'!H602:H1600, LEFT(A602, FIND(" ",A602)-1), 'Raw Data Sales'!I602:I1600, MID(A602, FIND(" ",A602)+1, 100))</f>
        <v>33</v>
      </c>
      <c r="F602" s="6">
        <f>SUMIFS('Raw Data Sales'!N602:N1600, 'Raw Data Sales'!H602:H1600, LEFT(A602, FIND(" ",A602)-1), 'Raw Data Sales'!I602:I1600, MID(A602, FIND(" ",A602)+1, 100))</f>
        <v>7614.17</v>
      </c>
    </row>
    <row r="603">
      <c r="A603" s="6" t="str">
        <f>IFERROR(__xludf.DUMMYFUNCTION("UNIQUE('Raw Data Sales'!H603:H1601 &amp; "" "" &amp; 'Raw Data Sales'!I603:I1601)"),"Dorthy Kebbell")</f>
        <v>Dorthy Kebbell</v>
      </c>
      <c r="B603" s="6" t="str">
        <f>IFERROR(__xludf.DUMMYFUNCTION("""COMPUTED_VALUE"""),"dkebbellgp@hao123.com")</f>
        <v>dkebbellgp@hao123.com</v>
      </c>
      <c r="C603" s="6" t="str">
        <f>IFERROR(__xludf.DUMMYFUNCTION("""COMPUTED_VALUE"""),"Argentina")</f>
        <v>Argentina</v>
      </c>
      <c r="D603" s="6">
        <f>COUNTIFS('Raw Data Sales'!H603:H1601, LEFT(A603, FIND(" ",A603)-1), 'Raw Data Sales'!I603:I1601, MID(A603, FIND(" ",A603)+1, 100))</f>
        <v>1</v>
      </c>
      <c r="E603" s="6">
        <f>SUMIFS('Raw Data Sales'!M603:M1601, 'Raw Data Sales'!H603:H1601, LEFT(A603, FIND(" ",A603)-1), 'Raw Data Sales'!I603:I1601, MID(A603, FIND(" ",A603)+1, 100))</f>
        <v>29</v>
      </c>
      <c r="F603" s="6">
        <f>SUMIFS('Raw Data Sales'!N603:N1601, 'Raw Data Sales'!H603:H1601, LEFT(A603, FIND(" ",A603)-1), 'Raw Data Sales'!I603:I1601, MID(A603, FIND(" ",A603)+1, 100))</f>
        <v>2232.99</v>
      </c>
    </row>
    <row r="604">
      <c r="A604" s="6" t="str">
        <f>IFERROR(__xludf.DUMMYFUNCTION("UNIQUE('Raw Data Sales'!H604:H1602 &amp; "" "" &amp; 'Raw Data Sales'!I604:I1602)"),"Cly Stuttard")</f>
        <v>Cly Stuttard</v>
      </c>
      <c r="B604" s="6" t="str">
        <f>IFERROR(__xludf.DUMMYFUNCTION("""COMPUTED_VALUE"""),"cstuttardgq@gnu.org")</f>
        <v>cstuttardgq@gnu.org</v>
      </c>
      <c r="C604" s="6" t="str">
        <f>IFERROR(__xludf.DUMMYFUNCTION("""COMPUTED_VALUE"""),"Finland")</f>
        <v>Finland</v>
      </c>
      <c r="D604" s="6">
        <f>COUNTIFS('Raw Data Sales'!H604:H1602, LEFT(A604, FIND(" ",A604)-1), 'Raw Data Sales'!I604:I1602, MID(A604, FIND(" ",A604)+1, 100))</f>
        <v>1</v>
      </c>
      <c r="E604" s="6">
        <f>SUMIFS('Raw Data Sales'!M604:M1602, 'Raw Data Sales'!H604:H1602, LEFT(A604, FIND(" ",A604)-1), 'Raw Data Sales'!I604:I1602, MID(A604, FIND(" ",A604)+1, 100))</f>
        <v>92</v>
      </c>
      <c r="F604" s="6">
        <f>SUMIFS('Raw Data Sales'!N604:N1602, 'Raw Data Sales'!H604:H1602, LEFT(A604, FIND(" ",A604)-1), 'Raw Data Sales'!I604:I1602, MID(A604, FIND(" ",A604)+1, 100))</f>
        <v>7003.42</v>
      </c>
    </row>
    <row r="605">
      <c r="A605" s="6" t="str">
        <f>IFERROR(__xludf.DUMMYFUNCTION("UNIQUE('Raw Data Sales'!H605:H1603 &amp; "" "" &amp; 'Raw Data Sales'!I605:I1603)"),"Clerkclaude Pryer")</f>
        <v>Clerkclaude Pryer</v>
      </c>
      <c r="B605" s="6" t="str">
        <f>IFERROR(__xludf.DUMMYFUNCTION("""COMPUTED_VALUE"""),"cpryergr@washington.edu")</f>
        <v>cpryergr@washington.edu</v>
      </c>
      <c r="C605" s="6" t="str">
        <f>IFERROR(__xludf.DUMMYFUNCTION("""COMPUTED_VALUE"""),"Indonesia")</f>
        <v>Indonesia</v>
      </c>
      <c r="D605" s="6">
        <f>COUNTIFS('Raw Data Sales'!H605:H1603, LEFT(A605, FIND(" ",A605)-1), 'Raw Data Sales'!I605:I1603, MID(A605, FIND(" ",A605)+1, 100))</f>
        <v>1</v>
      </c>
      <c r="E605" s="6">
        <f>SUMIFS('Raw Data Sales'!M605:M1603, 'Raw Data Sales'!H605:H1603, LEFT(A605, FIND(" ",A605)-1), 'Raw Data Sales'!I605:I1603, MID(A605, FIND(" ",A605)+1, 100))</f>
        <v>100</v>
      </c>
      <c r="F605" s="6">
        <f>SUMIFS('Raw Data Sales'!N605:N1603, 'Raw Data Sales'!H605:H1603, LEFT(A605, FIND(" ",A605)-1), 'Raw Data Sales'!I605:I1603, MID(A605, FIND(" ",A605)+1, 100))</f>
        <v>3267.03</v>
      </c>
    </row>
    <row r="606">
      <c r="A606" s="6" t="str">
        <f>IFERROR(__xludf.DUMMYFUNCTION("UNIQUE('Raw Data Sales'!H606:H1604 &amp; "" "" &amp; 'Raw Data Sales'!I606:I1604)"),"Bret Bradburn")</f>
        <v>Bret Bradburn</v>
      </c>
      <c r="B606" s="6" t="str">
        <f>IFERROR(__xludf.DUMMYFUNCTION("""COMPUTED_VALUE"""),"bbradburngs@deliciousdays.com")</f>
        <v>bbradburngs@deliciousdays.com</v>
      </c>
      <c r="C606" s="6" t="str">
        <f>IFERROR(__xludf.DUMMYFUNCTION("""COMPUTED_VALUE"""),"Russia")</f>
        <v>Russia</v>
      </c>
      <c r="D606" s="6">
        <f>COUNTIFS('Raw Data Sales'!H606:H1604, LEFT(A606, FIND(" ",A606)-1), 'Raw Data Sales'!I606:I1604, MID(A606, FIND(" ",A606)+1, 100))</f>
        <v>1</v>
      </c>
      <c r="E606" s="6">
        <f>SUMIFS('Raw Data Sales'!M606:M1604, 'Raw Data Sales'!H606:H1604, LEFT(A606, FIND(" ",A606)-1), 'Raw Data Sales'!I606:I1604, MID(A606, FIND(" ",A606)+1, 100))</f>
        <v>63</v>
      </c>
      <c r="F606" s="6">
        <f>SUMIFS('Raw Data Sales'!N606:N1604, 'Raw Data Sales'!H606:H1604, LEFT(A606, FIND(" ",A606)-1), 'Raw Data Sales'!I606:I1604, MID(A606, FIND(" ",A606)+1, 100))</f>
        <v>3848.27</v>
      </c>
    </row>
    <row r="607">
      <c r="A607" s="6" t="str">
        <f>IFERROR(__xludf.DUMMYFUNCTION("UNIQUE('Raw Data Sales'!H607:H1605 &amp; "" "" &amp; 'Raw Data Sales'!I607:I1605)"),"Durward Jakeway")</f>
        <v>Durward Jakeway</v>
      </c>
      <c r="B607" s="6" t="str">
        <f>IFERROR(__xludf.DUMMYFUNCTION("""COMPUTED_VALUE"""),"djakewaygt@mtv.com")</f>
        <v>djakewaygt@mtv.com</v>
      </c>
      <c r="C607" s="6" t="str">
        <f>IFERROR(__xludf.DUMMYFUNCTION("""COMPUTED_VALUE"""),"Greece")</f>
        <v>Greece</v>
      </c>
      <c r="D607" s="6">
        <f>COUNTIFS('Raw Data Sales'!H607:H1605, LEFT(A607, FIND(" ",A607)-1), 'Raw Data Sales'!I607:I1605, MID(A607, FIND(" ",A607)+1, 100))</f>
        <v>1</v>
      </c>
      <c r="E607" s="6">
        <f>SUMIFS('Raw Data Sales'!M607:M1605, 'Raw Data Sales'!H607:H1605, LEFT(A607, FIND(" ",A607)-1), 'Raw Data Sales'!I607:I1605, MID(A607, FIND(" ",A607)+1, 100))</f>
        <v>56</v>
      </c>
      <c r="F607" s="6">
        <f>SUMIFS('Raw Data Sales'!N607:N1605, 'Raw Data Sales'!H607:H1605, LEFT(A607, FIND(" ",A607)-1), 'Raw Data Sales'!I607:I1605, MID(A607, FIND(" ",A607)+1, 100))</f>
        <v>8940.24</v>
      </c>
    </row>
    <row r="608">
      <c r="A608" s="6" t="str">
        <f>IFERROR(__xludf.DUMMYFUNCTION("UNIQUE('Raw Data Sales'!H608:H1606 &amp; "" "" &amp; 'Raw Data Sales'!I608:I1606)"),"Blinni Wellington")</f>
        <v>Blinni Wellington</v>
      </c>
      <c r="B608" s="6" t="str">
        <f>IFERROR(__xludf.DUMMYFUNCTION("""COMPUTED_VALUE"""),"bwellingtongu@topsy.com")</f>
        <v>bwellingtongu@topsy.com</v>
      </c>
      <c r="C608" s="6" t="str">
        <f>IFERROR(__xludf.DUMMYFUNCTION("""COMPUTED_VALUE"""),"Ireland")</f>
        <v>Ireland</v>
      </c>
      <c r="D608" s="6">
        <f>COUNTIFS('Raw Data Sales'!H608:H1606, LEFT(A608, FIND(" ",A608)-1), 'Raw Data Sales'!I608:I1606, MID(A608, FIND(" ",A608)+1, 100))</f>
        <v>1</v>
      </c>
      <c r="E608" s="6">
        <f>SUMIFS('Raw Data Sales'!M608:M1606, 'Raw Data Sales'!H608:H1606, LEFT(A608, FIND(" ",A608)-1), 'Raw Data Sales'!I608:I1606, MID(A608, FIND(" ",A608)+1, 100))</f>
        <v>14</v>
      </c>
      <c r="F608" s="6">
        <f>SUMIFS('Raw Data Sales'!N608:N1606, 'Raw Data Sales'!H608:H1606, LEFT(A608, FIND(" ",A608)-1), 'Raw Data Sales'!I608:I1606, MID(A608, FIND(" ",A608)+1, 100))</f>
        <v>688.91</v>
      </c>
    </row>
    <row r="609">
      <c r="A609" s="6" t="str">
        <f>IFERROR(__xludf.DUMMYFUNCTION("UNIQUE('Raw Data Sales'!H609:H1607 &amp; "" "" &amp; 'Raw Data Sales'!I609:I1607)"),"Stephine Atrill")</f>
        <v>Stephine Atrill</v>
      </c>
      <c r="B609" s="6" t="str">
        <f>IFERROR(__xludf.DUMMYFUNCTION("""COMPUTED_VALUE"""),"satrillgv@dagondesign.com")</f>
        <v>satrillgv@dagondesign.com</v>
      </c>
      <c r="C609" s="6" t="str">
        <f>IFERROR(__xludf.DUMMYFUNCTION("""COMPUTED_VALUE"""),"United States")</f>
        <v>United States</v>
      </c>
      <c r="D609" s="6">
        <f>COUNTIFS('Raw Data Sales'!H609:H1607, LEFT(A609, FIND(" ",A609)-1), 'Raw Data Sales'!I609:I1607, MID(A609, FIND(" ",A609)+1, 100))</f>
        <v>1</v>
      </c>
      <c r="E609" s="6">
        <f>SUMIFS('Raw Data Sales'!M609:M1607, 'Raw Data Sales'!H609:H1607, LEFT(A609, FIND(" ",A609)-1), 'Raw Data Sales'!I609:I1607, MID(A609, FIND(" ",A609)+1, 100))</f>
        <v>6</v>
      </c>
      <c r="F609" s="6">
        <f>SUMIFS('Raw Data Sales'!N609:N1607, 'Raw Data Sales'!H609:H1607, LEFT(A609, FIND(" ",A609)-1), 'Raw Data Sales'!I609:I1607, MID(A609, FIND(" ",A609)+1, 100))</f>
        <v>3280.83</v>
      </c>
    </row>
    <row r="610">
      <c r="A610" s="6" t="str">
        <f>IFERROR(__xludf.DUMMYFUNCTION("UNIQUE('Raw Data Sales'!H610:H1608 &amp; "" "" &amp; 'Raw Data Sales'!I610:I1608)"),"Annalise Thaxton")</f>
        <v>Annalise Thaxton</v>
      </c>
      <c r="B610" s="6" t="str">
        <f>IFERROR(__xludf.DUMMYFUNCTION("""COMPUTED_VALUE"""),"athaxtongw@gnu.org")</f>
        <v>athaxtongw@gnu.org</v>
      </c>
      <c r="C610" s="6" t="str">
        <f>IFERROR(__xludf.DUMMYFUNCTION("""COMPUTED_VALUE"""),"Latvia")</f>
        <v>Latvia</v>
      </c>
      <c r="D610" s="6">
        <f>COUNTIFS('Raw Data Sales'!H610:H1608, LEFT(A610, FIND(" ",A610)-1), 'Raw Data Sales'!I610:I1608, MID(A610, FIND(" ",A610)+1, 100))</f>
        <v>1</v>
      </c>
      <c r="E610" s="6">
        <f>SUMIFS('Raw Data Sales'!M610:M1608, 'Raw Data Sales'!H610:H1608, LEFT(A610, FIND(" ",A610)-1), 'Raw Data Sales'!I610:I1608, MID(A610, FIND(" ",A610)+1, 100))</f>
        <v>61</v>
      </c>
      <c r="F610" s="6">
        <f>SUMIFS('Raw Data Sales'!N610:N1608, 'Raw Data Sales'!H610:H1608, LEFT(A610, FIND(" ",A610)-1), 'Raw Data Sales'!I610:I1608, MID(A610, FIND(" ",A610)+1, 100))</f>
        <v>9805.06</v>
      </c>
    </row>
    <row r="611">
      <c r="A611" s="6" t="str">
        <f>IFERROR(__xludf.DUMMYFUNCTION("UNIQUE('Raw Data Sales'!H611:H1609 &amp; "" "" &amp; 'Raw Data Sales'!I611:I1609)"),"Oralia Imesson")</f>
        <v>Oralia Imesson</v>
      </c>
      <c r="B611" s="6" t="str">
        <f>IFERROR(__xludf.DUMMYFUNCTION("""COMPUTED_VALUE"""),"oimessongx@bizjournals.com")</f>
        <v>oimessongx@bizjournals.com</v>
      </c>
      <c r="C611" s="6" t="str">
        <f>IFERROR(__xludf.DUMMYFUNCTION("""COMPUTED_VALUE"""),"China")</f>
        <v>China</v>
      </c>
      <c r="D611" s="6">
        <f>COUNTIFS('Raw Data Sales'!H611:H1609, LEFT(A611, FIND(" ",A611)-1), 'Raw Data Sales'!I611:I1609, MID(A611, FIND(" ",A611)+1, 100))</f>
        <v>1</v>
      </c>
      <c r="E611" s="6">
        <f>SUMIFS('Raw Data Sales'!M611:M1609, 'Raw Data Sales'!H611:H1609, LEFT(A611, FIND(" ",A611)-1), 'Raw Data Sales'!I611:I1609, MID(A611, FIND(" ",A611)+1, 100))</f>
        <v>88</v>
      </c>
      <c r="F611" s="6">
        <f>SUMIFS('Raw Data Sales'!N611:N1609, 'Raw Data Sales'!H611:H1609, LEFT(A611, FIND(" ",A611)-1), 'Raw Data Sales'!I611:I1609, MID(A611, FIND(" ",A611)+1, 100))</f>
        <v>653.15</v>
      </c>
    </row>
    <row r="612">
      <c r="A612" s="6" t="str">
        <f>IFERROR(__xludf.DUMMYFUNCTION("UNIQUE('Raw Data Sales'!H612:H1610 &amp; "" "" &amp; 'Raw Data Sales'!I612:I1610)"),"Phil Figliovanni")</f>
        <v>Phil Figliovanni</v>
      </c>
      <c r="B612" s="6" t="str">
        <f>IFERROR(__xludf.DUMMYFUNCTION("""COMPUTED_VALUE"""),"pfigliovannigy@hc360.com")</f>
        <v>pfigliovannigy@hc360.com</v>
      </c>
      <c r="C612" s="6" t="str">
        <f>IFERROR(__xludf.DUMMYFUNCTION("""COMPUTED_VALUE"""),"Belarus")</f>
        <v>Belarus</v>
      </c>
      <c r="D612" s="6">
        <f>COUNTIFS('Raw Data Sales'!H612:H1610, LEFT(A612, FIND(" ",A612)-1), 'Raw Data Sales'!I612:I1610, MID(A612, FIND(" ",A612)+1, 100))</f>
        <v>1</v>
      </c>
      <c r="E612" s="6">
        <f>SUMIFS('Raw Data Sales'!M612:M1610, 'Raw Data Sales'!H612:H1610, LEFT(A612, FIND(" ",A612)-1), 'Raw Data Sales'!I612:I1610, MID(A612, FIND(" ",A612)+1, 100))</f>
        <v>82</v>
      </c>
      <c r="F612" s="6">
        <f>SUMIFS('Raw Data Sales'!N612:N1610, 'Raw Data Sales'!H612:H1610, LEFT(A612, FIND(" ",A612)-1), 'Raw Data Sales'!I612:I1610, MID(A612, FIND(" ",A612)+1, 100))</f>
        <v>189.52</v>
      </c>
    </row>
    <row r="613">
      <c r="A613" s="6" t="str">
        <f>IFERROR(__xludf.DUMMYFUNCTION("UNIQUE('Raw Data Sales'!H613:H1611 &amp; "" "" &amp; 'Raw Data Sales'!I613:I1611)"),"Jud Bangham")</f>
        <v>Jud Bangham</v>
      </c>
      <c r="B613" s="6" t="str">
        <f>IFERROR(__xludf.DUMMYFUNCTION("""COMPUTED_VALUE"""),"jbanghamgz@canalblog.com")</f>
        <v>jbanghamgz@canalblog.com</v>
      </c>
      <c r="C613" s="6" t="str">
        <f>IFERROR(__xludf.DUMMYFUNCTION("""COMPUTED_VALUE"""),"China")</f>
        <v>China</v>
      </c>
      <c r="D613" s="6">
        <f>COUNTIFS('Raw Data Sales'!H613:H1611, LEFT(A613, FIND(" ",A613)-1), 'Raw Data Sales'!I613:I1611, MID(A613, FIND(" ",A613)+1, 100))</f>
        <v>1</v>
      </c>
      <c r="E613" s="6">
        <f>SUMIFS('Raw Data Sales'!M613:M1611, 'Raw Data Sales'!H613:H1611, LEFT(A613, FIND(" ",A613)-1), 'Raw Data Sales'!I613:I1611, MID(A613, FIND(" ",A613)+1, 100))</f>
        <v>13</v>
      </c>
      <c r="F613" s="6">
        <f>SUMIFS('Raw Data Sales'!N613:N1611, 'Raw Data Sales'!H613:H1611, LEFT(A613, FIND(" ",A613)-1), 'Raw Data Sales'!I613:I1611, MID(A613, FIND(" ",A613)+1, 100))</f>
        <v>6054.69</v>
      </c>
    </row>
    <row r="614">
      <c r="A614" s="6" t="str">
        <f>IFERROR(__xludf.DUMMYFUNCTION("UNIQUE('Raw Data Sales'!H614:H1612 &amp; "" "" &amp; 'Raw Data Sales'!I614:I1612)"),"Skipper Morican")</f>
        <v>Skipper Morican</v>
      </c>
      <c r="B614" s="6" t="str">
        <f>IFERROR(__xludf.DUMMYFUNCTION("""COMPUTED_VALUE"""),"smoricanh0@nature.com")</f>
        <v>smoricanh0@nature.com</v>
      </c>
      <c r="C614" s="6" t="str">
        <f>IFERROR(__xludf.DUMMYFUNCTION("""COMPUTED_VALUE"""),"Bolivia")</f>
        <v>Bolivia</v>
      </c>
      <c r="D614" s="6">
        <f>COUNTIFS('Raw Data Sales'!H614:H1612, LEFT(A614, FIND(" ",A614)-1), 'Raw Data Sales'!I614:I1612, MID(A614, FIND(" ",A614)+1, 100))</f>
        <v>1</v>
      </c>
      <c r="E614" s="6">
        <f>SUMIFS('Raw Data Sales'!M614:M1612, 'Raw Data Sales'!H614:H1612, LEFT(A614, FIND(" ",A614)-1), 'Raw Data Sales'!I614:I1612, MID(A614, FIND(" ",A614)+1, 100))</f>
        <v>38</v>
      </c>
      <c r="F614" s="6">
        <f>SUMIFS('Raw Data Sales'!N614:N1612, 'Raw Data Sales'!H614:H1612, LEFT(A614, FIND(" ",A614)-1), 'Raw Data Sales'!I614:I1612, MID(A614, FIND(" ",A614)+1, 100))</f>
        <v>3443.81</v>
      </c>
    </row>
    <row r="615">
      <c r="A615" s="6" t="str">
        <f>IFERROR(__xludf.DUMMYFUNCTION("UNIQUE('Raw Data Sales'!H615:H1613 &amp; "" "" &amp; 'Raw Data Sales'!I615:I1613)"),"Armand Perse")</f>
        <v>Armand Perse</v>
      </c>
      <c r="B615" s="6" t="str">
        <f>IFERROR(__xludf.DUMMYFUNCTION("""COMPUTED_VALUE"""),"aperseh1@dyndns.org")</f>
        <v>aperseh1@dyndns.org</v>
      </c>
      <c r="C615" s="6" t="str">
        <f>IFERROR(__xludf.DUMMYFUNCTION("""COMPUTED_VALUE"""),"Iraq")</f>
        <v>Iraq</v>
      </c>
      <c r="D615" s="6">
        <f>COUNTIFS('Raw Data Sales'!H615:H1613, LEFT(A615, FIND(" ",A615)-1), 'Raw Data Sales'!I615:I1613, MID(A615, FIND(" ",A615)+1, 100))</f>
        <v>1</v>
      </c>
      <c r="E615" s="6">
        <f>SUMIFS('Raw Data Sales'!M615:M1613, 'Raw Data Sales'!H615:H1613, LEFT(A615, FIND(" ",A615)-1), 'Raw Data Sales'!I615:I1613, MID(A615, FIND(" ",A615)+1, 100))</f>
        <v>90</v>
      </c>
      <c r="F615" s="6">
        <f>SUMIFS('Raw Data Sales'!N615:N1613, 'Raw Data Sales'!H615:H1613, LEFT(A615, FIND(" ",A615)-1), 'Raw Data Sales'!I615:I1613, MID(A615, FIND(" ",A615)+1, 100))</f>
        <v>6495.55</v>
      </c>
    </row>
    <row r="616">
      <c r="A616" s="6" t="str">
        <f>IFERROR(__xludf.DUMMYFUNCTION("UNIQUE('Raw Data Sales'!H616:H1614 &amp; "" "" &amp; 'Raw Data Sales'!I616:I1614)"),"Cosetta Petrusch")</f>
        <v>Cosetta Petrusch</v>
      </c>
      <c r="B616" s="6" t="str">
        <f>IFERROR(__xludf.DUMMYFUNCTION("""COMPUTED_VALUE"""),"cpetruschh2@aboutads.info")</f>
        <v>cpetruschh2@aboutads.info</v>
      </c>
      <c r="C616" s="6" t="str">
        <f>IFERROR(__xludf.DUMMYFUNCTION("""COMPUTED_VALUE"""),"Indonesia")</f>
        <v>Indonesia</v>
      </c>
      <c r="D616" s="6">
        <f>COUNTIFS('Raw Data Sales'!H616:H1614, LEFT(A616, FIND(" ",A616)-1), 'Raw Data Sales'!I616:I1614, MID(A616, FIND(" ",A616)+1, 100))</f>
        <v>1</v>
      </c>
      <c r="E616" s="6">
        <f>SUMIFS('Raw Data Sales'!M616:M1614, 'Raw Data Sales'!H616:H1614, LEFT(A616, FIND(" ",A616)-1), 'Raw Data Sales'!I616:I1614, MID(A616, FIND(" ",A616)+1, 100))</f>
        <v>19</v>
      </c>
      <c r="F616" s="6">
        <f>SUMIFS('Raw Data Sales'!N616:N1614, 'Raw Data Sales'!H616:H1614, LEFT(A616, FIND(" ",A616)-1), 'Raw Data Sales'!I616:I1614, MID(A616, FIND(" ",A616)+1, 100))</f>
        <v>5876</v>
      </c>
    </row>
    <row r="617">
      <c r="A617" s="6" t="str">
        <f>IFERROR(__xludf.DUMMYFUNCTION("UNIQUE('Raw Data Sales'!H617:H1615 &amp; "" "" &amp; 'Raw Data Sales'!I617:I1615)"),"Holmes Ricks")</f>
        <v>Holmes Ricks</v>
      </c>
      <c r="B617" s="6" t="str">
        <f>IFERROR(__xludf.DUMMYFUNCTION("""COMPUTED_VALUE"""),"hricksh3@columbia.edu")</f>
        <v>hricksh3@columbia.edu</v>
      </c>
      <c r="C617" s="6" t="str">
        <f>IFERROR(__xludf.DUMMYFUNCTION("""COMPUTED_VALUE"""),"Portugal")</f>
        <v>Portugal</v>
      </c>
      <c r="D617" s="6">
        <f>COUNTIFS('Raw Data Sales'!H617:H1615, LEFT(A617, FIND(" ",A617)-1), 'Raw Data Sales'!I617:I1615, MID(A617, FIND(" ",A617)+1, 100))</f>
        <v>1</v>
      </c>
      <c r="E617" s="6">
        <f>SUMIFS('Raw Data Sales'!M617:M1615, 'Raw Data Sales'!H617:H1615, LEFT(A617, FIND(" ",A617)-1), 'Raw Data Sales'!I617:I1615, MID(A617, FIND(" ",A617)+1, 100))</f>
        <v>54</v>
      </c>
      <c r="F617" s="6">
        <f>SUMIFS('Raw Data Sales'!N617:N1615, 'Raw Data Sales'!H617:H1615, LEFT(A617, FIND(" ",A617)-1), 'Raw Data Sales'!I617:I1615, MID(A617, FIND(" ",A617)+1, 100))</f>
        <v>8898.58</v>
      </c>
    </row>
    <row r="618">
      <c r="A618" s="6" t="str">
        <f>IFERROR(__xludf.DUMMYFUNCTION("UNIQUE('Raw Data Sales'!H618:H1616 &amp; "" "" &amp; 'Raw Data Sales'!I618:I1616)"),"Dianne Follin")</f>
        <v>Dianne Follin</v>
      </c>
      <c r="B618" s="6" t="str">
        <f>IFERROR(__xludf.DUMMYFUNCTION("""COMPUTED_VALUE"""),"dfollinh4@bloglovin.com")</f>
        <v>dfollinh4@bloglovin.com</v>
      </c>
      <c r="C618" s="6" t="str">
        <f>IFERROR(__xludf.DUMMYFUNCTION("""COMPUTED_VALUE"""),"China")</f>
        <v>China</v>
      </c>
      <c r="D618" s="6">
        <f>COUNTIFS('Raw Data Sales'!H618:H1616, LEFT(A618, FIND(" ",A618)-1), 'Raw Data Sales'!I618:I1616, MID(A618, FIND(" ",A618)+1, 100))</f>
        <v>1</v>
      </c>
      <c r="E618" s="6">
        <f>SUMIFS('Raw Data Sales'!M618:M1616, 'Raw Data Sales'!H618:H1616, LEFT(A618, FIND(" ",A618)-1), 'Raw Data Sales'!I618:I1616, MID(A618, FIND(" ",A618)+1, 100))</f>
        <v>6</v>
      </c>
      <c r="F618" s="6">
        <f>SUMIFS('Raw Data Sales'!N618:N1616, 'Raw Data Sales'!H618:H1616, LEFT(A618, FIND(" ",A618)-1), 'Raw Data Sales'!I618:I1616, MID(A618, FIND(" ",A618)+1, 100))</f>
        <v>5453.83</v>
      </c>
    </row>
    <row r="619">
      <c r="A619" s="6" t="str">
        <f>IFERROR(__xludf.DUMMYFUNCTION("UNIQUE('Raw Data Sales'!H619:H1617 &amp; "" "" &amp; 'Raw Data Sales'!I619:I1617)"),"Julio Klimes")</f>
        <v>Julio Klimes</v>
      </c>
      <c r="B619" s="6" t="str">
        <f>IFERROR(__xludf.DUMMYFUNCTION("""COMPUTED_VALUE"""),"jklimesh5@wiley.com")</f>
        <v>jklimesh5@wiley.com</v>
      </c>
      <c r="C619" s="6" t="str">
        <f>IFERROR(__xludf.DUMMYFUNCTION("""COMPUTED_VALUE"""),"Ukraine")</f>
        <v>Ukraine</v>
      </c>
      <c r="D619" s="6">
        <f>COUNTIFS('Raw Data Sales'!H619:H1617, LEFT(A619, FIND(" ",A619)-1), 'Raw Data Sales'!I619:I1617, MID(A619, FIND(" ",A619)+1, 100))</f>
        <v>1</v>
      </c>
      <c r="E619" s="6">
        <f>SUMIFS('Raw Data Sales'!M619:M1617, 'Raw Data Sales'!H619:H1617, LEFT(A619, FIND(" ",A619)-1), 'Raw Data Sales'!I619:I1617, MID(A619, FIND(" ",A619)+1, 100))</f>
        <v>54</v>
      </c>
      <c r="F619" s="6">
        <f>SUMIFS('Raw Data Sales'!N619:N1617, 'Raw Data Sales'!H619:H1617, LEFT(A619, FIND(" ",A619)-1), 'Raw Data Sales'!I619:I1617, MID(A619, FIND(" ",A619)+1, 100))</f>
        <v>5107.76</v>
      </c>
    </row>
    <row r="620">
      <c r="A620" s="6" t="str">
        <f>IFERROR(__xludf.DUMMYFUNCTION("UNIQUE('Raw Data Sales'!H620:H1618 &amp; "" "" &amp; 'Raw Data Sales'!I620:I1618)"),"Edita Marre")</f>
        <v>Edita Marre</v>
      </c>
      <c r="B620" s="6" t="str">
        <f>IFERROR(__xludf.DUMMYFUNCTION("""COMPUTED_VALUE"""),"emarreh6@jiathis.com")</f>
        <v>emarreh6@jiathis.com</v>
      </c>
      <c r="C620" s="6" t="str">
        <f>IFERROR(__xludf.DUMMYFUNCTION("""COMPUTED_VALUE"""),"China")</f>
        <v>China</v>
      </c>
      <c r="D620" s="6">
        <f>COUNTIFS('Raw Data Sales'!H620:H1618, LEFT(A620, FIND(" ",A620)-1), 'Raw Data Sales'!I620:I1618, MID(A620, FIND(" ",A620)+1, 100))</f>
        <v>1</v>
      </c>
      <c r="E620" s="6">
        <f>SUMIFS('Raw Data Sales'!M620:M1618, 'Raw Data Sales'!H620:H1618, LEFT(A620, FIND(" ",A620)-1), 'Raw Data Sales'!I620:I1618, MID(A620, FIND(" ",A620)+1, 100))</f>
        <v>89</v>
      </c>
      <c r="F620" s="6">
        <f>SUMIFS('Raw Data Sales'!N620:N1618, 'Raw Data Sales'!H620:H1618, LEFT(A620, FIND(" ",A620)-1), 'Raw Data Sales'!I620:I1618, MID(A620, FIND(" ",A620)+1, 100))</f>
        <v>7362.72</v>
      </c>
    </row>
    <row r="621">
      <c r="A621" s="6" t="str">
        <f>IFERROR(__xludf.DUMMYFUNCTION("UNIQUE('Raw Data Sales'!H621:H1619 &amp; "" "" &amp; 'Raw Data Sales'!I621:I1619)"),"Hallsy Cumberledge")</f>
        <v>Hallsy Cumberledge</v>
      </c>
      <c r="B621" s="6" t="str">
        <f>IFERROR(__xludf.DUMMYFUNCTION("""COMPUTED_VALUE"""),"hcumberledgeh7@reuters.com")</f>
        <v>hcumberledgeh7@reuters.com</v>
      </c>
      <c r="C621" s="6" t="str">
        <f>IFERROR(__xludf.DUMMYFUNCTION("""COMPUTED_VALUE"""),"China")</f>
        <v>China</v>
      </c>
      <c r="D621" s="6">
        <f>COUNTIFS('Raw Data Sales'!H621:H1619, LEFT(A621, FIND(" ",A621)-1), 'Raw Data Sales'!I621:I1619, MID(A621, FIND(" ",A621)+1, 100))</f>
        <v>1</v>
      </c>
      <c r="E621" s="6">
        <f>SUMIFS('Raw Data Sales'!M621:M1619, 'Raw Data Sales'!H621:H1619, LEFT(A621, FIND(" ",A621)-1), 'Raw Data Sales'!I621:I1619, MID(A621, FIND(" ",A621)+1, 100))</f>
        <v>72</v>
      </c>
      <c r="F621" s="6">
        <f>SUMIFS('Raw Data Sales'!N621:N1619, 'Raw Data Sales'!H621:H1619, LEFT(A621, FIND(" ",A621)-1), 'Raw Data Sales'!I621:I1619, MID(A621, FIND(" ",A621)+1, 100))</f>
        <v>5632.12</v>
      </c>
    </row>
    <row r="622">
      <c r="A622" s="6" t="str">
        <f>IFERROR(__xludf.DUMMYFUNCTION("UNIQUE('Raw Data Sales'!H622:H1620 &amp; "" "" &amp; 'Raw Data Sales'!I622:I1620)"),"Kelsey Kapiloff")</f>
        <v>Kelsey Kapiloff</v>
      </c>
      <c r="B622" s="6" t="str">
        <f>IFERROR(__xludf.DUMMYFUNCTION("""COMPUTED_VALUE"""),"kkapiloffh8@washington.edu")</f>
        <v>kkapiloffh8@washington.edu</v>
      </c>
      <c r="C622" s="6" t="str">
        <f>IFERROR(__xludf.DUMMYFUNCTION("""COMPUTED_VALUE"""),"China")</f>
        <v>China</v>
      </c>
      <c r="D622" s="6">
        <f>COUNTIFS('Raw Data Sales'!H622:H1620, LEFT(A622, FIND(" ",A622)-1), 'Raw Data Sales'!I622:I1620, MID(A622, FIND(" ",A622)+1, 100))</f>
        <v>1</v>
      </c>
      <c r="E622" s="6">
        <f>SUMIFS('Raw Data Sales'!M622:M1620, 'Raw Data Sales'!H622:H1620, LEFT(A622, FIND(" ",A622)-1), 'Raw Data Sales'!I622:I1620, MID(A622, FIND(" ",A622)+1, 100))</f>
        <v>8</v>
      </c>
      <c r="F622" s="6">
        <f>SUMIFS('Raw Data Sales'!N622:N1620, 'Raw Data Sales'!H622:H1620, LEFT(A622, FIND(" ",A622)-1), 'Raw Data Sales'!I622:I1620, MID(A622, FIND(" ",A622)+1, 100))</f>
        <v>8699.43</v>
      </c>
    </row>
    <row r="623">
      <c r="A623" s="6" t="str">
        <f>IFERROR(__xludf.DUMMYFUNCTION("UNIQUE('Raw Data Sales'!H623:H1621 &amp; "" "" &amp; 'Raw Data Sales'!I623:I1621)"),"Kellby Pele")</f>
        <v>Kellby Pele</v>
      </c>
      <c r="B623" s="6" t="str">
        <f>IFERROR(__xludf.DUMMYFUNCTION("""COMPUTED_VALUE"""),"kpeleh9@princeton.edu")</f>
        <v>kpeleh9@princeton.edu</v>
      </c>
      <c r="C623" s="6" t="str">
        <f>IFERROR(__xludf.DUMMYFUNCTION("""COMPUTED_VALUE"""),"Panama")</f>
        <v>Panama</v>
      </c>
      <c r="D623" s="6">
        <f>COUNTIFS('Raw Data Sales'!H623:H1621, LEFT(A623, FIND(" ",A623)-1), 'Raw Data Sales'!I623:I1621, MID(A623, FIND(" ",A623)+1, 100))</f>
        <v>1</v>
      </c>
      <c r="E623" s="6">
        <f>SUMIFS('Raw Data Sales'!M623:M1621, 'Raw Data Sales'!H623:H1621, LEFT(A623, FIND(" ",A623)-1), 'Raw Data Sales'!I623:I1621, MID(A623, FIND(" ",A623)+1, 100))</f>
        <v>5</v>
      </c>
      <c r="F623" s="6">
        <f>SUMIFS('Raw Data Sales'!N623:N1621, 'Raw Data Sales'!H623:H1621, LEFT(A623, FIND(" ",A623)-1), 'Raw Data Sales'!I623:I1621, MID(A623, FIND(" ",A623)+1, 100))</f>
        <v>8468.97</v>
      </c>
    </row>
    <row r="624">
      <c r="A624" s="6" t="str">
        <f>IFERROR(__xludf.DUMMYFUNCTION("UNIQUE('Raw Data Sales'!H624:H1622 &amp; "" "" &amp; 'Raw Data Sales'!I624:I1622)"),"Ninetta Bracher")</f>
        <v>Ninetta Bracher</v>
      </c>
      <c r="B624" s="6" t="str">
        <f>IFERROR(__xludf.DUMMYFUNCTION("""COMPUTED_VALUE"""),"nbracherha@ft.com")</f>
        <v>nbracherha@ft.com</v>
      </c>
      <c r="C624" s="6" t="str">
        <f>IFERROR(__xludf.DUMMYFUNCTION("""COMPUTED_VALUE"""),"Panama")</f>
        <v>Panama</v>
      </c>
      <c r="D624" s="6">
        <f>COUNTIFS('Raw Data Sales'!H624:H1622, LEFT(A624, FIND(" ",A624)-1), 'Raw Data Sales'!I624:I1622, MID(A624, FIND(" ",A624)+1, 100))</f>
        <v>1</v>
      </c>
      <c r="E624" s="6">
        <f>SUMIFS('Raw Data Sales'!M624:M1622, 'Raw Data Sales'!H624:H1622, LEFT(A624, FIND(" ",A624)-1), 'Raw Data Sales'!I624:I1622, MID(A624, FIND(" ",A624)+1, 100))</f>
        <v>81</v>
      </c>
      <c r="F624" s="6">
        <f>SUMIFS('Raw Data Sales'!N624:N1622, 'Raw Data Sales'!H624:H1622, LEFT(A624, FIND(" ",A624)-1), 'Raw Data Sales'!I624:I1622, MID(A624, FIND(" ",A624)+1, 100))</f>
        <v>1045.35</v>
      </c>
    </row>
    <row r="625">
      <c r="A625" s="6" t="str">
        <f>IFERROR(__xludf.DUMMYFUNCTION("UNIQUE('Raw Data Sales'!H625:H1623 &amp; "" "" &amp; 'Raw Data Sales'!I625:I1623)"),"Meta Radford")</f>
        <v>Meta Radford</v>
      </c>
      <c r="B625" s="6" t="str">
        <f>IFERROR(__xludf.DUMMYFUNCTION("""COMPUTED_VALUE"""),"mradfordhb@slate.com")</f>
        <v>mradfordhb@slate.com</v>
      </c>
      <c r="C625" s="6" t="str">
        <f>IFERROR(__xludf.DUMMYFUNCTION("""COMPUTED_VALUE"""),"France")</f>
        <v>France</v>
      </c>
      <c r="D625" s="6">
        <f>COUNTIFS('Raw Data Sales'!H625:H1623, LEFT(A625, FIND(" ",A625)-1), 'Raw Data Sales'!I625:I1623, MID(A625, FIND(" ",A625)+1, 100))</f>
        <v>1</v>
      </c>
      <c r="E625" s="6">
        <f>SUMIFS('Raw Data Sales'!M625:M1623, 'Raw Data Sales'!H625:H1623, LEFT(A625, FIND(" ",A625)-1), 'Raw Data Sales'!I625:I1623, MID(A625, FIND(" ",A625)+1, 100))</f>
        <v>57</v>
      </c>
      <c r="F625" s="6">
        <f>SUMIFS('Raw Data Sales'!N625:N1623, 'Raw Data Sales'!H625:H1623, LEFT(A625, FIND(" ",A625)-1), 'Raw Data Sales'!I625:I1623, MID(A625, FIND(" ",A625)+1, 100))</f>
        <v>486.85</v>
      </c>
    </row>
    <row r="626">
      <c r="A626" s="6" t="str">
        <f>IFERROR(__xludf.DUMMYFUNCTION("UNIQUE('Raw Data Sales'!H626:H1624 &amp; "" "" &amp; 'Raw Data Sales'!I626:I1624)"),"Talia Eddies")</f>
        <v>Talia Eddies</v>
      </c>
      <c r="B626" s="6" t="str">
        <f>IFERROR(__xludf.DUMMYFUNCTION("""COMPUTED_VALUE"""),"teddieshc@so-net.ne.jp")</f>
        <v>teddieshc@so-net.ne.jp</v>
      </c>
      <c r="C626" s="6" t="str">
        <f>IFERROR(__xludf.DUMMYFUNCTION("""COMPUTED_VALUE"""),"Argentina")</f>
        <v>Argentina</v>
      </c>
      <c r="D626" s="6">
        <f>COUNTIFS('Raw Data Sales'!H626:H1624, LEFT(A626, FIND(" ",A626)-1), 'Raw Data Sales'!I626:I1624, MID(A626, FIND(" ",A626)+1, 100))</f>
        <v>1</v>
      </c>
      <c r="E626" s="6">
        <f>SUMIFS('Raw Data Sales'!M626:M1624, 'Raw Data Sales'!H626:H1624, LEFT(A626, FIND(" ",A626)-1), 'Raw Data Sales'!I626:I1624, MID(A626, FIND(" ",A626)+1, 100))</f>
        <v>57</v>
      </c>
      <c r="F626" s="6">
        <f>SUMIFS('Raw Data Sales'!N626:N1624, 'Raw Data Sales'!H626:H1624, LEFT(A626, FIND(" ",A626)-1), 'Raw Data Sales'!I626:I1624, MID(A626, FIND(" ",A626)+1, 100))</f>
        <v>640.63</v>
      </c>
    </row>
    <row r="627">
      <c r="A627" s="6" t="str">
        <f>IFERROR(__xludf.DUMMYFUNCTION("UNIQUE('Raw Data Sales'!H627:H1625 &amp; "" "" &amp; 'Raw Data Sales'!I627:I1625)"),"Arlen Duester")</f>
        <v>Arlen Duester</v>
      </c>
      <c r="B627" s="6" t="str">
        <f>IFERROR(__xludf.DUMMYFUNCTION("""COMPUTED_VALUE"""),"aduesterhd@studiopress.com")</f>
        <v>aduesterhd@studiopress.com</v>
      </c>
      <c r="C627" s="6" t="str">
        <f>IFERROR(__xludf.DUMMYFUNCTION("""COMPUTED_VALUE"""),"Thailand")</f>
        <v>Thailand</v>
      </c>
      <c r="D627" s="6">
        <f>COUNTIFS('Raw Data Sales'!H627:H1625, LEFT(A627, FIND(" ",A627)-1), 'Raw Data Sales'!I627:I1625, MID(A627, FIND(" ",A627)+1, 100))</f>
        <v>1</v>
      </c>
      <c r="E627" s="6">
        <f>SUMIFS('Raw Data Sales'!M627:M1625, 'Raw Data Sales'!H627:H1625, LEFT(A627, FIND(" ",A627)-1), 'Raw Data Sales'!I627:I1625, MID(A627, FIND(" ",A627)+1, 100))</f>
        <v>4</v>
      </c>
      <c r="F627" s="6">
        <f>SUMIFS('Raw Data Sales'!N627:N1625, 'Raw Data Sales'!H627:H1625, LEFT(A627, FIND(" ",A627)-1), 'Raw Data Sales'!I627:I1625, MID(A627, FIND(" ",A627)+1, 100))</f>
        <v>450.4</v>
      </c>
    </row>
    <row r="628">
      <c r="A628" s="6" t="str">
        <f>IFERROR(__xludf.DUMMYFUNCTION("UNIQUE('Raw Data Sales'!H628:H1626 &amp; "" "" &amp; 'Raw Data Sales'!I628:I1626)"),"Karol Vauter")</f>
        <v>Karol Vauter</v>
      </c>
      <c r="B628" s="6" t="str">
        <f>IFERROR(__xludf.DUMMYFUNCTION("""COMPUTED_VALUE"""),"kvauterhe@state.tx.us")</f>
        <v>kvauterhe@state.tx.us</v>
      </c>
      <c r="C628" s="6" t="str">
        <f>IFERROR(__xludf.DUMMYFUNCTION("""COMPUTED_VALUE"""),"Republic of the Congo")</f>
        <v>Republic of the Congo</v>
      </c>
      <c r="D628" s="6">
        <f>COUNTIFS('Raw Data Sales'!H628:H1626, LEFT(A628, FIND(" ",A628)-1), 'Raw Data Sales'!I628:I1626, MID(A628, FIND(" ",A628)+1, 100))</f>
        <v>1</v>
      </c>
      <c r="E628" s="6">
        <f>SUMIFS('Raw Data Sales'!M628:M1626, 'Raw Data Sales'!H628:H1626, LEFT(A628, FIND(" ",A628)-1), 'Raw Data Sales'!I628:I1626, MID(A628, FIND(" ",A628)+1, 100))</f>
        <v>74</v>
      </c>
      <c r="F628" s="6">
        <f>SUMIFS('Raw Data Sales'!N628:N1626, 'Raw Data Sales'!H628:H1626, LEFT(A628, FIND(" ",A628)-1), 'Raw Data Sales'!I628:I1626, MID(A628, FIND(" ",A628)+1, 100))</f>
        <v>4520.71</v>
      </c>
    </row>
    <row r="629">
      <c r="A629" s="6" t="str">
        <f>IFERROR(__xludf.DUMMYFUNCTION("UNIQUE('Raw Data Sales'!H629:H1627 &amp; "" "" &amp; 'Raw Data Sales'!I629:I1627)"),"Antonio Catherine")</f>
        <v>Antonio Catherine</v>
      </c>
      <c r="B629" s="6" t="str">
        <f>IFERROR(__xludf.DUMMYFUNCTION("""COMPUTED_VALUE"""),"acatherinehf@house.gov")</f>
        <v>acatherinehf@house.gov</v>
      </c>
      <c r="C629" s="6" t="str">
        <f>IFERROR(__xludf.DUMMYFUNCTION("""COMPUTED_VALUE"""),"Indonesia")</f>
        <v>Indonesia</v>
      </c>
      <c r="D629" s="6">
        <f>COUNTIFS('Raw Data Sales'!H629:H1627, LEFT(A629, FIND(" ",A629)-1), 'Raw Data Sales'!I629:I1627, MID(A629, FIND(" ",A629)+1, 100))</f>
        <v>1</v>
      </c>
      <c r="E629" s="6">
        <f>SUMIFS('Raw Data Sales'!M629:M1627, 'Raw Data Sales'!H629:H1627, LEFT(A629, FIND(" ",A629)-1), 'Raw Data Sales'!I629:I1627, MID(A629, FIND(" ",A629)+1, 100))</f>
        <v>70</v>
      </c>
      <c r="F629" s="6">
        <f>SUMIFS('Raw Data Sales'!N629:N1627, 'Raw Data Sales'!H629:H1627, LEFT(A629, FIND(" ",A629)-1), 'Raw Data Sales'!I629:I1627, MID(A629, FIND(" ",A629)+1, 100))</f>
        <v>4977.8</v>
      </c>
    </row>
    <row r="630">
      <c r="A630" s="6" t="str">
        <f>IFERROR(__xludf.DUMMYFUNCTION("UNIQUE('Raw Data Sales'!H630:H1628 &amp; "" "" &amp; 'Raw Data Sales'!I630:I1628)"),"Nance Gommes")</f>
        <v>Nance Gommes</v>
      </c>
      <c r="B630" s="6" t="str">
        <f>IFERROR(__xludf.DUMMYFUNCTION("""COMPUTED_VALUE"""),"ngommeshg@dailymail.co.uk")</f>
        <v>ngommeshg@dailymail.co.uk</v>
      </c>
      <c r="C630" s="6" t="str">
        <f>IFERROR(__xludf.DUMMYFUNCTION("""COMPUTED_VALUE"""),"Peru")</f>
        <v>Peru</v>
      </c>
      <c r="D630" s="6">
        <f>COUNTIFS('Raw Data Sales'!H630:H1628, LEFT(A630, FIND(" ",A630)-1), 'Raw Data Sales'!I630:I1628, MID(A630, FIND(" ",A630)+1, 100))</f>
        <v>1</v>
      </c>
      <c r="E630" s="6">
        <f>SUMIFS('Raw Data Sales'!M630:M1628, 'Raw Data Sales'!H630:H1628, LEFT(A630, FIND(" ",A630)-1), 'Raw Data Sales'!I630:I1628, MID(A630, FIND(" ",A630)+1, 100))</f>
        <v>92</v>
      </c>
      <c r="F630" s="6">
        <f>SUMIFS('Raw Data Sales'!N630:N1628, 'Raw Data Sales'!H630:H1628, LEFT(A630, FIND(" ",A630)-1), 'Raw Data Sales'!I630:I1628, MID(A630, FIND(" ",A630)+1, 100))</f>
        <v>591.03</v>
      </c>
    </row>
    <row r="631">
      <c r="A631" s="6" t="str">
        <f>IFERROR(__xludf.DUMMYFUNCTION("UNIQUE('Raw Data Sales'!H631:H1629 &amp; "" "" &amp; 'Raw Data Sales'!I631:I1629)"),"Cody Malloy")</f>
        <v>Cody Malloy</v>
      </c>
      <c r="B631" s="6" t="str">
        <f>IFERROR(__xludf.DUMMYFUNCTION("""COMPUTED_VALUE"""),"cmalloyhh@oracle.com")</f>
        <v>cmalloyhh@oracle.com</v>
      </c>
      <c r="C631" s="6" t="str">
        <f>IFERROR(__xludf.DUMMYFUNCTION("""COMPUTED_VALUE"""),"Mexico")</f>
        <v>Mexico</v>
      </c>
      <c r="D631" s="6">
        <f>COUNTIFS('Raw Data Sales'!H631:H1629, LEFT(A631, FIND(" ",A631)-1), 'Raw Data Sales'!I631:I1629, MID(A631, FIND(" ",A631)+1, 100))</f>
        <v>1</v>
      </c>
      <c r="E631" s="6">
        <f>SUMIFS('Raw Data Sales'!M631:M1629, 'Raw Data Sales'!H631:H1629, LEFT(A631, FIND(" ",A631)-1), 'Raw Data Sales'!I631:I1629, MID(A631, FIND(" ",A631)+1, 100))</f>
        <v>44</v>
      </c>
      <c r="F631" s="6">
        <f>SUMIFS('Raw Data Sales'!N631:N1629, 'Raw Data Sales'!H631:H1629, LEFT(A631, FIND(" ",A631)-1), 'Raw Data Sales'!I631:I1629, MID(A631, FIND(" ",A631)+1, 100))</f>
        <v>2204.41</v>
      </c>
    </row>
    <row r="632">
      <c r="A632" s="6" t="str">
        <f>IFERROR(__xludf.DUMMYFUNCTION("UNIQUE('Raw Data Sales'!H632:H1630 &amp; "" "" &amp; 'Raw Data Sales'!I632:I1630)"),"Evan de Cullip")</f>
        <v>Evan de Cullip</v>
      </c>
      <c r="B632" s="6" t="str">
        <f>IFERROR(__xludf.DUMMYFUNCTION("""COMPUTED_VALUE"""),"edeculliphi@globo.com")</f>
        <v>edeculliphi@globo.com</v>
      </c>
      <c r="C632" s="6" t="str">
        <f>IFERROR(__xludf.DUMMYFUNCTION("""COMPUTED_VALUE"""),"Brazil")</f>
        <v>Brazil</v>
      </c>
      <c r="D632" s="6">
        <f>COUNTIFS('Raw Data Sales'!H632:H1630, LEFT(A632, FIND(" ",A632)-1), 'Raw Data Sales'!I632:I1630, MID(A632, FIND(" ",A632)+1, 100))</f>
        <v>1</v>
      </c>
      <c r="E632" s="6">
        <f>SUMIFS('Raw Data Sales'!M632:M1630, 'Raw Data Sales'!H632:H1630, LEFT(A632, FIND(" ",A632)-1), 'Raw Data Sales'!I632:I1630, MID(A632, FIND(" ",A632)+1, 100))</f>
        <v>59</v>
      </c>
      <c r="F632" s="6">
        <f>SUMIFS('Raw Data Sales'!N632:N1630, 'Raw Data Sales'!H632:H1630, LEFT(A632, FIND(" ",A632)-1), 'Raw Data Sales'!I632:I1630, MID(A632, FIND(" ",A632)+1, 100))</f>
        <v>2447.83</v>
      </c>
    </row>
    <row r="633">
      <c r="A633" s="6" t="str">
        <f>IFERROR(__xludf.DUMMYFUNCTION("UNIQUE('Raw Data Sales'!H633:H1631 &amp; "" "" &amp; 'Raw Data Sales'!I633:I1631)"),"Ewell McAsgill")</f>
        <v>Ewell McAsgill</v>
      </c>
      <c r="B633" s="6" t="str">
        <f>IFERROR(__xludf.DUMMYFUNCTION("""COMPUTED_VALUE"""),"emcasgillhj@wunderground.com")</f>
        <v>emcasgillhj@wunderground.com</v>
      </c>
      <c r="C633" s="6" t="str">
        <f>IFERROR(__xludf.DUMMYFUNCTION("""COMPUTED_VALUE"""),"South Korea")</f>
        <v>South Korea</v>
      </c>
      <c r="D633" s="6">
        <f>COUNTIFS('Raw Data Sales'!H633:H1631, LEFT(A633, FIND(" ",A633)-1), 'Raw Data Sales'!I633:I1631, MID(A633, FIND(" ",A633)+1, 100))</f>
        <v>1</v>
      </c>
      <c r="E633" s="6">
        <f>SUMIFS('Raw Data Sales'!M633:M1631, 'Raw Data Sales'!H633:H1631, LEFT(A633, FIND(" ",A633)-1), 'Raw Data Sales'!I633:I1631, MID(A633, FIND(" ",A633)+1, 100))</f>
        <v>38</v>
      </c>
      <c r="F633" s="6">
        <f>SUMIFS('Raw Data Sales'!N633:N1631, 'Raw Data Sales'!H633:H1631, LEFT(A633, FIND(" ",A633)-1), 'Raw Data Sales'!I633:I1631, MID(A633, FIND(" ",A633)+1, 100))</f>
        <v>9974.52</v>
      </c>
    </row>
    <row r="634">
      <c r="A634" s="6" t="str">
        <f>IFERROR(__xludf.DUMMYFUNCTION("UNIQUE('Raw Data Sales'!H634:H1632 &amp; "" "" &amp; 'Raw Data Sales'!I634:I1632)"),"Noell McEvilly")</f>
        <v>Noell McEvilly</v>
      </c>
      <c r="B634" s="6" t="str">
        <f>IFERROR(__xludf.DUMMYFUNCTION("""COMPUTED_VALUE"""),"nmcevillyhk@jigsy.com")</f>
        <v>nmcevillyhk@jigsy.com</v>
      </c>
      <c r="C634" s="6" t="str">
        <f>IFERROR(__xludf.DUMMYFUNCTION("""COMPUTED_VALUE"""),"Indonesia")</f>
        <v>Indonesia</v>
      </c>
      <c r="D634" s="6">
        <f>COUNTIFS('Raw Data Sales'!H634:H1632, LEFT(A634, FIND(" ",A634)-1), 'Raw Data Sales'!I634:I1632, MID(A634, FIND(" ",A634)+1, 100))</f>
        <v>1</v>
      </c>
      <c r="E634" s="6">
        <f>SUMIFS('Raw Data Sales'!M634:M1632, 'Raw Data Sales'!H634:H1632, LEFT(A634, FIND(" ",A634)-1), 'Raw Data Sales'!I634:I1632, MID(A634, FIND(" ",A634)+1, 100))</f>
        <v>54</v>
      </c>
      <c r="F634" s="6">
        <f>SUMIFS('Raw Data Sales'!N634:N1632, 'Raw Data Sales'!H634:H1632, LEFT(A634, FIND(" ",A634)-1), 'Raw Data Sales'!I634:I1632, MID(A634, FIND(" ",A634)+1, 100))</f>
        <v>6141.98</v>
      </c>
    </row>
    <row r="635">
      <c r="A635" s="6" t="str">
        <f>IFERROR(__xludf.DUMMYFUNCTION("UNIQUE('Raw Data Sales'!H635:H1633 &amp; "" "" &amp; 'Raw Data Sales'!I635:I1633)"),"Salvador Wiley")</f>
        <v>Salvador Wiley</v>
      </c>
      <c r="B635" s="6" t="str">
        <f>IFERROR(__xludf.DUMMYFUNCTION("""COMPUTED_VALUE"""),"swileyhl@irs.gov")</f>
        <v>swileyhl@irs.gov</v>
      </c>
      <c r="C635" s="6" t="str">
        <f>IFERROR(__xludf.DUMMYFUNCTION("""COMPUTED_VALUE"""),"Sierra Leone")</f>
        <v>Sierra Leone</v>
      </c>
      <c r="D635" s="6">
        <f>COUNTIFS('Raw Data Sales'!H635:H1633, LEFT(A635, FIND(" ",A635)-1), 'Raw Data Sales'!I635:I1633, MID(A635, FIND(" ",A635)+1, 100))</f>
        <v>1</v>
      </c>
      <c r="E635" s="6">
        <f>SUMIFS('Raw Data Sales'!M635:M1633, 'Raw Data Sales'!H635:H1633, LEFT(A635, FIND(" ",A635)-1), 'Raw Data Sales'!I635:I1633, MID(A635, FIND(" ",A635)+1, 100))</f>
        <v>84</v>
      </c>
      <c r="F635" s="6">
        <f>SUMIFS('Raw Data Sales'!N635:N1633, 'Raw Data Sales'!H635:H1633, LEFT(A635, FIND(" ",A635)-1), 'Raw Data Sales'!I635:I1633, MID(A635, FIND(" ",A635)+1, 100))</f>
        <v>3491.08</v>
      </c>
    </row>
    <row r="636">
      <c r="A636" s="6" t="str">
        <f>IFERROR(__xludf.DUMMYFUNCTION("UNIQUE('Raw Data Sales'!H636:H1634 &amp; "" "" &amp; 'Raw Data Sales'!I636:I1634)"),"Nicol Le Provest")</f>
        <v>Nicol Le Provest</v>
      </c>
      <c r="B636" s="6" t="str">
        <f>IFERROR(__xludf.DUMMYFUNCTION("""COMPUTED_VALUE"""),"nleprovesthm@tamu.edu")</f>
        <v>nleprovesthm@tamu.edu</v>
      </c>
      <c r="C636" s="6" t="str">
        <f>IFERROR(__xludf.DUMMYFUNCTION("""COMPUTED_VALUE"""),"United States")</f>
        <v>United States</v>
      </c>
      <c r="D636" s="6">
        <f>COUNTIFS('Raw Data Sales'!H636:H1634, LEFT(A636, FIND(" ",A636)-1), 'Raw Data Sales'!I636:I1634, MID(A636, FIND(" ",A636)+1, 100))</f>
        <v>1</v>
      </c>
      <c r="E636" s="6">
        <f>SUMIFS('Raw Data Sales'!M636:M1634, 'Raw Data Sales'!H636:H1634, LEFT(A636, FIND(" ",A636)-1), 'Raw Data Sales'!I636:I1634, MID(A636, FIND(" ",A636)+1, 100))</f>
        <v>41</v>
      </c>
      <c r="F636" s="6">
        <f>SUMIFS('Raw Data Sales'!N636:N1634, 'Raw Data Sales'!H636:H1634, LEFT(A636, FIND(" ",A636)-1), 'Raw Data Sales'!I636:I1634, MID(A636, FIND(" ",A636)+1, 100))</f>
        <v>1626</v>
      </c>
    </row>
    <row r="637">
      <c r="A637" s="6" t="str">
        <f>IFERROR(__xludf.DUMMYFUNCTION("UNIQUE('Raw Data Sales'!H637:H1635 &amp; "" "" &amp; 'Raw Data Sales'!I637:I1635)"),"Humfried Sharpin")</f>
        <v>Humfried Sharpin</v>
      </c>
      <c r="B637" s="6" t="str">
        <f>IFERROR(__xludf.DUMMYFUNCTION("""COMPUTED_VALUE"""),"hsharpinhn@xrea.com")</f>
        <v>hsharpinhn@xrea.com</v>
      </c>
      <c r="C637" s="6" t="str">
        <f>IFERROR(__xludf.DUMMYFUNCTION("""COMPUTED_VALUE"""),"China")</f>
        <v>China</v>
      </c>
      <c r="D637" s="6">
        <f>COUNTIFS('Raw Data Sales'!H637:H1635, LEFT(A637, FIND(" ",A637)-1), 'Raw Data Sales'!I637:I1635, MID(A637, FIND(" ",A637)+1, 100))</f>
        <v>1</v>
      </c>
      <c r="E637" s="6">
        <f>SUMIFS('Raw Data Sales'!M637:M1635, 'Raw Data Sales'!H637:H1635, LEFT(A637, FIND(" ",A637)-1), 'Raw Data Sales'!I637:I1635, MID(A637, FIND(" ",A637)+1, 100))</f>
        <v>41</v>
      </c>
      <c r="F637" s="6">
        <f>SUMIFS('Raw Data Sales'!N637:N1635, 'Raw Data Sales'!H637:H1635, LEFT(A637, FIND(" ",A637)-1), 'Raw Data Sales'!I637:I1635, MID(A637, FIND(" ",A637)+1, 100))</f>
        <v>1067.93</v>
      </c>
    </row>
    <row r="638">
      <c r="A638" s="6" t="str">
        <f>IFERROR(__xludf.DUMMYFUNCTION("UNIQUE('Raw Data Sales'!H638:H1636 &amp; "" "" &amp; 'Raw Data Sales'!I638:I1636)"),"Zacherie Humby")</f>
        <v>Zacherie Humby</v>
      </c>
      <c r="B638" s="6" t="str">
        <f>IFERROR(__xludf.DUMMYFUNCTION("""COMPUTED_VALUE"""),"zhumbyho@yelp.com")</f>
        <v>zhumbyho@yelp.com</v>
      </c>
      <c r="C638" s="6" t="str">
        <f>IFERROR(__xludf.DUMMYFUNCTION("""COMPUTED_VALUE"""),"China")</f>
        <v>China</v>
      </c>
      <c r="D638" s="6">
        <f>COUNTIFS('Raw Data Sales'!H638:H1636, LEFT(A638, FIND(" ",A638)-1), 'Raw Data Sales'!I638:I1636, MID(A638, FIND(" ",A638)+1, 100))</f>
        <v>1</v>
      </c>
      <c r="E638" s="6">
        <f>SUMIFS('Raw Data Sales'!M638:M1636, 'Raw Data Sales'!H638:H1636, LEFT(A638, FIND(" ",A638)-1), 'Raw Data Sales'!I638:I1636, MID(A638, FIND(" ",A638)+1, 100))</f>
        <v>64</v>
      </c>
      <c r="F638" s="6">
        <f>SUMIFS('Raw Data Sales'!N638:N1636, 'Raw Data Sales'!H638:H1636, LEFT(A638, FIND(" ",A638)-1), 'Raw Data Sales'!I638:I1636, MID(A638, FIND(" ",A638)+1, 100))</f>
        <v>8211.36</v>
      </c>
    </row>
    <row r="639">
      <c r="A639" s="6" t="str">
        <f>IFERROR(__xludf.DUMMYFUNCTION("UNIQUE('Raw Data Sales'!H639:H1637 &amp; "" "" &amp; 'Raw Data Sales'!I639:I1637)"),"Nikola Merryfield")</f>
        <v>Nikola Merryfield</v>
      </c>
      <c r="B639" s="6" t="str">
        <f>IFERROR(__xludf.DUMMYFUNCTION("""COMPUTED_VALUE"""),"nmerryfieldhp@cpanel.net")</f>
        <v>nmerryfieldhp@cpanel.net</v>
      </c>
      <c r="C639" s="6" t="str">
        <f>IFERROR(__xludf.DUMMYFUNCTION("""COMPUTED_VALUE"""),"United States")</f>
        <v>United States</v>
      </c>
      <c r="D639" s="6">
        <f>COUNTIFS('Raw Data Sales'!H639:H1637, LEFT(A639, FIND(" ",A639)-1), 'Raw Data Sales'!I639:I1637, MID(A639, FIND(" ",A639)+1, 100))</f>
        <v>1</v>
      </c>
      <c r="E639" s="6">
        <f>SUMIFS('Raw Data Sales'!M639:M1637, 'Raw Data Sales'!H639:H1637, LEFT(A639, FIND(" ",A639)-1), 'Raw Data Sales'!I639:I1637, MID(A639, FIND(" ",A639)+1, 100))</f>
        <v>12</v>
      </c>
      <c r="F639" s="6">
        <f>SUMIFS('Raw Data Sales'!N639:N1637, 'Raw Data Sales'!H639:H1637, LEFT(A639, FIND(" ",A639)-1), 'Raw Data Sales'!I639:I1637, MID(A639, FIND(" ",A639)+1, 100))</f>
        <v>1794.8</v>
      </c>
    </row>
    <row r="640">
      <c r="A640" s="6" t="str">
        <f>IFERROR(__xludf.DUMMYFUNCTION("UNIQUE('Raw Data Sales'!H640:H1638 &amp; "" "" &amp; 'Raw Data Sales'!I640:I1638)"),"Ulick Buntain")</f>
        <v>Ulick Buntain</v>
      </c>
      <c r="B640" s="6" t="str">
        <f>IFERROR(__xludf.DUMMYFUNCTION("""COMPUTED_VALUE"""),"ubuntainhq@yolasite.com")</f>
        <v>ubuntainhq@yolasite.com</v>
      </c>
      <c r="C640" s="6" t="str">
        <f>IFERROR(__xludf.DUMMYFUNCTION("""COMPUTED_VALUE"""),"China")</f>
        <v>China</v>
      </c>
      <c r="D640" s="6">
        <f>COUNTIFS('Raw Data Sales'!H640:H1638, LEFT(A640, FIND(" ",A640)-1), 'Raw Data Sales'!I640:I1638, MID(A640, FIND(" ",A640)+1, 100))</f>
        <v>1</v>
      </c>
      <c r="E640" s="6">
        <f>SUMIFS('Raw Data Sales'!M640:M1638, 'Raw Data Sales'!H640:H1638, LEFT(A640, FIND(" ",A640)-1), 'Raw Data Sales'!I640:I1638, MID(A640, FIND(" ",A640)+1, 100))</f>
        <v>54</v>
      </c>
      <c r="F640" s="6">
        <f>SUMIFS('Raw Data Sales'!N640:N1638, 'Raw Data Sales'!H640:H1638, LEFT(A640, FIND(" ",A640)-1), 'Raw Data Sales'!I640:I1638, MID(A640, FIND(" ",A640)+1, 100))</f>
        <v>3773.07</v>
      </c>
    </row>
    <row r="641">
      <c r="A641" s="6" t="str">
        <f>IFERROR(__xludf.DUMMYFUNCTION("UNIQUE('Raw Data Sales'!H641:H1639 &amp; "" "" &amp; 'Raw Data Sales'!I641:I1639)"),"Selie Lidgley")</f>
        <v>Selie Lidgley</v>
      </c>
      <c r="B641" s="6" t="str">
        <f>IFERROR(__xludf.DUMMYFUNCTION("""COMPUTED_VALUE"""),"slidgleyhr@sohu.com")</f>
        <v>slidgleyhr@sohu.com</v>
      </c>
      <c r="C641" s="6" t="str">
        <f>IFERROR(__xludf.DUMMYFUNCTION("""COMPUTED_VALUE"""),"Finland")</f>
        <v>Finland</v>
      </c>
      <c r="D641" s="6">
        <f>COUNTIFS('Raw Data Sales'!H641:H1639, LEFT(A641, FIND(" ",A641)-1), 'Raw Data Sales'!I641:I1639, MID(A641, FIND(" ",A641)+1, 100))</f>
        <v>1</v>
      </c>
      <c r="E641" s="6">
        <f>SUMIFS('Raw Data Sales'!M641:M1639, 'Raw Data Sales'!H641:H1639, LEFT(A641, FIND(" ",A641)-1), 'Raw Data Sales'!I641:I1639, MID(A641, FIND(" ",A641)+1, 100))</f>
        <v>87</v>
      </c>
      <c r="F641" s="6">
        <f>SUMIFS('Raw Data Sales'!N641:N1639, 'Raw Data Sales'!H641:H1639, LEFT(A641, FIND(" ",A641)-1), 'Raw Data Sales'!I641:I1639, MID(A641, FIND(" ",A641)+1, 100))</f>
        <v>6735.65</v>
      </c>
    </row>
    <row r="642">
      <c r="A642" s="6" t="str">
        <f>IFERROR(__xludf.DUMMYFUNCTION("UNIQUE('Raw Data Sales'!H642:H1640 &amp; "" "" &amp; 'Raw Data Sales'!I642:I1640)"),"Griffith Scarlon")</f>
        <v>Griffith Scarlon</v>
      </c>
      <c r="B642" s="6" t="str">
        <f>IFERROR(__xludf.DUMMYFUNCTION("""COMPUTED_VALUE"""),"gscarlonhs@purevolume.com")</f>
        <v>gscarlonhs@purevolume.com</v>
      </c>
      <c r="C642" s="6" t="str">
        <f>IFERROR(__xludf.DUMMYFUNCTION("""COMPUTED_VALUE"""),"Ukraine")</f>
        <v>Ukraine</v>
      </c>
      <c r="D642" s="6">
        <f>COUNTIFS('Raw Data Sales'!H642:H1640, LEFT(A642, FIND(" ",A642)-1), 'Raw Data Sales'!I642:I1640, MID(A642, FIND(" ",A642)+1, 100))</f>
        <v>1</v>
      </c>
      <c r="E642" s="6">
        <f>SUMIFS('Raw Data Sales'!M642:M1640, 'Raw Data Sales'!H642:H1640, LEFT(A642, FIND(" ",A642)-1), 'Raw Data Sales'!I642:I1640, MID(A642, FIND(" ",A642)+1, 100))</f>
        <v>42</v>
      </c>
      <c r="F642" s="6">
        <f>SUMIFS('Raw Data Sales'!N642:N1640, 'Raw Data Sales'!H642:H1640, LEFT(A642, FIND(" ",A642)-1), 'Raw Data Sales'!I642:I1640, MID(A642, FIND(" ",A642)+1, 100))</f>
        <v>3943.49</v>
      </c>
    </row>
    <row r="643">
      <c r="A643" s="6" t="str">
        <f>IFERROR(__xludf.DUMMYFUNCTION("UNIQUE('Raw Data Sales'!H643:H1641 &amp; "" "" &amp; 'Raw Data Sales'!I643:I1641)"),"Gannon Werendell")</f>
        <v>Gannon Werendell</v>
      </c>
      <c r="B643" s="6" t="str">
        <f>IFERROR(__xludf.DUMMYFUNCTION("""COMPUTED_VALUE"""),"gwerendellht@bloglovin.com")</f>
        <v>gwerendellht@bloglovin.com</v>
      </c>
      <c r="C643" s="6" t="str">
        <f>IFERROR(__xludf.DUMMYFUNCTION("""COMPUTED_VALUE"""),"Greece")</f>
        <v>Greece</v>
      </c>
      <c r="D643" s="6">
        <f>COUNTIFS('Raw Data Sales'!H643:H1641, LEFT(A643, FIND(" ",A643)-1), 'Raw Data Sales'!I643:I1641, MID(A643, FIND(" ",A643)+1, 100))</f>
        <v>1</v>
      </c>
      <c r="E643" s="6">
        <f>SUMIFS('Raw Data Sales'!M643:M1641, 'Raw Data Sales'!H643:H1641, LEFT(A643, FIND(" ",A643)-1), 'Raw Data Sales'!I643:I1641, MID(A643, FIND(" ",A643)+1, 100))</f>
        <v>22</v>
      </c>
      <c r="F643" s="6">
        <f>SUMIFS('Raw Data Sales'!N643:N1641, 'Raw Data Sales'!H643:H1641, LEFT(A643, FIND(" ",A643)-1), 'Raw Data Sales'!I643:I1641, MID(A643, FIND(" ",A643)+1, 100))</f>
        <v>5007.1</v>
      </c>
    </row>
    <row r="644">
      <c r="A644" s="6" t="str">
        <f>IFERROR(__xludf.DUMMYFUNCTION("UNIQUE('Raw Data Sales'!H644:H1642 &amp; "" "" &amp; 'Raw Data Sales'!I644:I1642)"),"Cory Kyncl")</f>
        <v>Cory Kyncl</v>
      </c>
      <c r="B644" s="6" t="str">
        <f>IFERROR(__xludf.DUMMYFUNCTION("""COMPUTED_VALUE"""),"ckynclhu@twitter.com")</f>
        <v>ckynclhu@twitter.com</v>
      </c>
      <c r="C644" s="6" t="str">
        <f>IFERROR(__xludf.DUMMYFUNCTION("""COMPUTED_VALUE"""),"Uganda")</f>
        <v>Uganda</v>
      </c>
      <c r="D644" s="6">
        <f>COUNTIFS('Raw Data Sales'!H644:H1642, LEFT(A644, FIND(" ",A644)-1), 'Raw Data Sales'!I644:I1642, MID(A644, FIND(" ",A644)+1, 100))</f>
        <v>1</v>
      </c>
      <c r="E644" s="6">
        <f>SUMIFS('Raw Data Sales'!M644:M1642, 'Raw Data Sales'!H644:H1642, LEFT(A644, FIND(" ",A644)-1), 'Raw Data Sales'!I644:I1642, MID(A644, FIND(" ",A644)+1, 100))</f>
        <v>61</v>
      </c>
      <c r="F644" s="6">
        <f>SUMIFS('Raw Data Sales'!N644:N1642, 'Raw Data Sales'!H644:H1642, LEFT(A644, FIND(" ",A644)-1), 'Raw Data Sales'!I644:I1642, MID(A644, FIND(" ",A644)+1, 100))</f>
        <v>194.22</v>
      </c>
    </row>
    <row r="645">
      <c r="A645" s="6" t="str">
        <f>IFERROR(__xludf.DUMMYFUNCTION("UNIQUE('Raw Data Sales'!H645:H1643 &amp; "" "" &amp; 'Raw Data Sales'!I645:I1643)"),"Darby Moulton")</f>
        <v>Darby Moulton</v>
      </c>
      <c r="B645" s="6" t="str">
        <f>IFERROR(__xludf.DUMMYFUNCTION("""COMPUTED_VALUE"""),"dmoultonhv@twitpic.com")</f>
        <v>dmoultonhv@twitpic.com</v>
      </c>
      <c r="C645" s="6" t="str">
        <f>IFERROR(__xludf.DUMMYFUNCTION("""COMPUTED_VALUE"""),"Greece")</f>
        <v>Greece</v>
      </c>
      <c r="D645" s="6">
        <f>COUNTIFS('Raw Data Sales'!H645:H1643, LEFT(A645, FIND(" ",A645)-1), 'Raw Data Sales'!I645:I1643, MID(A645, FIND(" ",A645)+1, 100))</f>
        <v>1</v>
      </c>
      <c r="E645" s="6">
        <f>SUMIFS('Raw Data Sales'!M645:M1643, 'Raw Data Sales'!H645:H1643, LEFT(A645, FIND(" ",A645)-1), 'Raw Data Sales'!I645:I1643, MID(A645, FIND(" ",A645)+1, 100))</f>
        <v>10</v>
      </c>
      <c r="F645" s="6">
        <f>SUMIFS('Raw Data Sales'!N645:N1643, 'Raw Data Sales'!H645:H1643, LEFT(A645, FIND(" ",A645)-1), 'Raw Data Sales'!I645:I1643, MID(A645, FIND(" ",A645)+1, 100))</f>
        <v>52.04</v>
      </c>
    </row>
    <row r="646">
      <c r="A646" s="6" t="str">
        <f>IFERROR(__xludf.DUMMYFUNCTION("UNIQUE('Raw Data Sales'!H646:H1644 &amp; "" "" &amp; 'Raw Data Sales'!I646:I1644)"),"Evonne Heasley")</f>
        <v>Evonne Heasley</v>
      </c>
      <c r="B646" s="6" t="str">
        <f>IFERROR(__xludf.DUMMYFUNCTION("""COMPUTED_VALUE"""),"eheasleyhw@123-reg.co.uk")</f>
        <v>eheasleyhw@123-reg.co.uk</v>
      </c>
      <c r="C646" s="6" t="str">
        <f>IFERROR(__xludf.DUMMYFUNCTION("""COMPUTED_VALUE"""),"Syria")</f>
        <v>Syria</v>
      </c>
      <c r="D646" s="6">
        <f>COUNTIFS('Raw Data Sales'!H646:H1644, LEFT(A646, FIND(" ",A646)-1), 'Raw Data Sales'!I646:I1644, MID(A646, FIND(" ",A646)+1, 100))</f>
        <v>1</v>
      </c>
      <c r="E646" s="6">
        <f>SUMIFS('Raw Data Sales'!M646:M1644, 'Raw Data Sales'!H646:H1644, LEFT(A646, FIND(" ",A646)-1), 'Raw Data Sales'!I646:I1644, MID(A646, FIND(" ",A646)+1, 100))</f>
        <v>35</v>
      </c>
      <c r="F646" s="6">
        <f>SUMIFS('Raw Data Sales'!N646:N1644, 'Raw Data Sales'!H646:H1644, LEFT(A646, FIND(" ",A646)-1), 'Raw Data Sales'!I646:I1644, MID(A646, FIND(" ",A646)+1, 100))</f>
        <v>9514.1</v>
      </c>
    </row>
    <row r="647">
      <c r="A647" s="6" t="str">
        <f>IFERROR(__xludf.DUMMYFUNCTION("UNIQUE('Raw Data Sales'!H647:H1645 &amp; "" "" &amp; 'Raw Data Sales'!I647:I1645)"),"Elizabet Baile")</f>
        <v>Elizabet Baile</v>
      </c>
      <c r="B647" s="6" t="str">
        <f>IFERROR(__xludf.DUMMYFUNCTION("""COMPUTED_VALUE"""),"ebailehx@microsoft.com")</f>
        <v>ebailehx@microsoft.com</v>
      </c>
      <c r="C647" s="6" t="str">
        <f>IFERROR(__xludf.DUMMYFUNCTION("""COMPUTED_VALUE"""),"Philippines")</f>
        <v>Philippines</v>
      </c>
      <c r="D647" s="6">
        <f>COUNTIFS('Raw Data Sales'!H647:H1645, LEFT(A647, FIND(" ",A647)-1), 'Raw Data Sales'!I647:I1645, MID(A647, FIND(" ",A647)+1, 100))</f>
        <v>1</v>
      </c>
      <c r="E647" s="6">
        <f>SUMIFS('Raw Data Sales'!M647:M1645, 'Raw Data Sales'!H647:H1645, LEFT(A647, FIND(" ",A647)-1), 'Raw Data Sales'!I647:I1645, MID(A647, FIND(" ",A647)+1, 100))</f>
        <v>95</v>
      </c>
      <c r="F647" s="6">
        <f>SUMIFS('Raw Data Sales'!N647:N1645, 'Raw Data Sales'!H647:H1645, LEFT(A647, FIND(" ",A647)-1), 'Raw Data Sales'!I647:I1645, MID(A647, FIND(" ",A647)+1, 100))</f>
        <v>9733.32</v>
      </c>
    </row>
    <row r="648">
      <c r="A648" s="6" t="str">
        <f>IFERROR(__xludf.DUMMYFUNCTION("UNIQUE('Raw Data Sales'!H648:H1646 &amp; "" "" &amp; 'Raw Data Sales'!I648:I1646)"),"Zedekiah Wolters")</f>
        <v>Zedekiah Wolters</v>
      </c>
      <c r="B648" s="6" t="str">
        <f>IFERROR(__xludf.DUMMYFUNCTION("""COMPUTED_VALUE"""),"zwoltershy@java.com")</f>
        <v>zwoltershy@java.com</v>
      </c>
      <c r="C648" s="6" t="str">
        <f>IFERROR(__xludf.DUMMYFUNCTION("""COMPUTED_VALUE"""),"Poland")</f>
        <v>Poland</v>
      </c>
      <c r="D648" s="6">
        <f>COUNTIFS('Raw Data Sales'!H648:H1646, LEFT(A648, FIND(" ",A648)-1), 'Raw Data Sales'!I648:I1646, MID(A648, FIND(" ",A648)+1, 100))</f>
        <v>1</v>
      </c>
      <c r="E648" s="6">
        <f>SUMIFS('Raw Data Sales'!M648:M1646, 'Raw Data Sales'!H648:H1646, LEFT(A648, FIND(" ",A648)-1), 'Raw Data Sales'!I648:I1646, MID(A648, FIND(" ",A648)+1, 100))</f>
        <v>23</v>
      </c>
      <c r="F648" s="6">
        <f>SUMIFS('Raw Data Sales'!N648:N1646, 'Raw Data Sales'!H648:H1646, LEFT(A648, FIND(" ",A648)-1), 'Raw Data Sales'!I648:I1646, MID(A648, FIND(" ",A648)+1, 100))</f>
        <v>5047.75</v>
      </c>
    </row>
    <row r="649">
      <c r="A649" s="6" t="str">
        <f>IFERROR(__xludf.DUMMYFUNCTION("UNIQUE('Raw Data Sales'!H649:H1647 &amp; "" "" &amp; 'Raw Data Sales'!I649:I1647)"),"Gabriele McTurk")</f>
        <v>Gabriele McTurk</v>
      </c>
      <c r="B649" s="6" t="str">
        <f>IFERROR(__xludf.DUMMYFUNCTION("""COMPUTED_VALUE"""),"gmcturkhz@xrea.com")</f>
        <v>gmcturkhz@xrea.com</v>
      </c>
      <c r="C649" s="6" t="str">
        <f>IFERROR(__xludf.DUMMYFUNCTION("""COMPUTED_VALUE"""),"China")</f>
        <v>China</v>
      </c>
      <c r="D649" s="6">
        <f>COUNTIFS('Raw Data Sales'!H649:H1647, LEFT(A649, FIND(" ",A649)-1), 'Raw Data Sales'!I649:I1647, MID(A649, FIND(" ",A649)+1, 100))</f>
        <v>1</v>
      </c>
      <c r="E649" s="6">
        <f>SUMIFS('Raw Data Sales'!M649:M1647, 'Raw Data Sales'!H649:H1647, LEFT(A649, FIND(" ",A649)-1), 'Raw Data Sales'!I649:I1647, MID(A649, FIND(" ",A649)+1, 100))</f>
        <v>84</v>
      </c>
      <c r="F649" s="6">
        <f>SUMIFS('Raw Data Sales'!N649:N1647, 'Raw Data Sales'!H649:H1647, LEFT(A649, FIND(" ",A649)-1), 'Raw Data Sales'!I649:I1647, MID(A649, FIND(" ",A649)+1, 100))</f>
        <v>6349.94</v>
      </c>
    </row>
    <row r="650">
      <c r="A650" s="6" t="str">
        <f>IFERROR(__xludf.DUMMYFUNCTION("UNIQUE('Raw Data Sales'!H650:H1648 &amp; "" "" &amp; 'Raw Data Sales'!I650:I1648)"),"Rhiamon Borland")</f>
        <v>Rhiamon Borland</v>
      </c>
      <c r="B650" s="6" t="str">
        <f>IFERROR(__xludf.DUMMYFUNCTION("""COMPUTED_VALUE"""),"rborlandi0@ihg.com")</f>
        <v>rborlandi0@ihg.com</v>
      </c>
      <c r="C650" s="6" t="str">
        <f>IFERROR(__xludf.DUMMYFUNCTION("""COMPUTED_VALUE"""),"Indonesia")</f>
        <v>Indonesia</v>
      </c>
      <c r="D650" s="6">
        <f>COUNTIFS('Raw Data Sales'!H650:H1648, LEFT(A650, FIND(" ",A650)-1), 'Raw Data Sales'!I650:I1648, MID(A650, FIND(" ",A650)+1, 100))</f>
        <v>1</v>
      </c>
      <c r="E650" s="6">
        <f>SUMIFS('Raw Data Sales'!M650:M1648, 'Raw Data Sales'!H650:H1648, LEFT(A650, FIND(" ",A650)-1), 'Raw Data Sales'!I650:I1648, MID(A650, FIND(" ",A650)+1, 100))</f>
        <v>58</v>
      </c>
      <c r="F650" s="6">
        <f>SUMIFS('Raw Data Sales'!N650:N1648, 'Raw Data Sales'!H650:H1648, LEFT(A650, FIND(" ",A650)-1), 'Raw Data Sales'!I650:I1648, MID(A650, FIND(" ",A650)+1, 100))</f>
        <v>5263.13</v>
      </c>
    </row>
    <row r="651">
      <c r="A651" s="6" t="str">
        <f>IFERROR(__xludf.DUMMYFUNCTION("UNIQUE('Raw Data Sales'!H651:H1649 &amp; "" "" &amp; 'Raw Data Sales'!I651:I1649)"),"Jeniffer Durie")</f>
        <v>Jeniffer Durie</v>
      </c>
      <c r="B651" s="6" t="str">
        <f>IFERROR(__xludf.DUMMYFUNCTION("""COMPUTED_VALUE"""),"jduriei1@plala.or.jp")</f>
        <v>jduriei1@plala.or.jp</v>
      </c>
      <c r="C651" s="6" t="str">
        <f>IFERROR(__xludf.DUMMYFUNCTION("""COMPUTED_VALUE"""),"China")</f>
        <v>China</v>
      </c>
      <c r="D651" s="6">
        <f>COUNTIFS('Raw Data Sales'!H651:H1649, LEFT(A651, FIND(" ",A651)-1), 'Raw Data Sales'!I651:I1649, MID(A651, FIND(" ",A651)+1, 100))</f>
        <v>1</v>
      </c>
      <c r="E651" s="6">
        <f>SUMIFS('Raw Data Sales'!M651:M1649, 'Raw Data Sales'!H651:H1649, LEFT(A651, FIND(" ",A651)-1), 'Raw Data Sales'!I651:I1649, MID(A651, FIND(" ",A651)+1, 100))</f>
        <v>41</v>
      </c>
      <c r="F651" s="6">
        <f>SUMIFS('Raw Data Sales'!N651:N1649, 'Raw Data Sales'!H651:H1649, LEFT(A651, FIND(" ",A651)-1), 'Raw Data Sales'!I651:I1649, MID(A651, FIND(" ",A651)+1, 100))</f>
        <v>6327.52</v>
      </c>
    </row>
    <row r="652">
      <c r="A652" s="6" t="str">
        <f>IFERROR(__xludf.DUMMYFUNCTION("UNIQUE('Raw Data Sales'!H652:H1650 &amp; "" "" &amp; 'Raw Data Sales'!I652:I1650)"),"Terza Essberger")</f>
        <v>Terza Essberger</v>
      </c>
      <c r="B652" s="6" t="str">
        <f>IFERROR(__xludf.DUMMYFUNCTION("""COMPUTED_VALUE"""),"tessbergeri2@cpanel.net")</f>
        <v>tessbergeri2@cpanel.net</v>
      </c>
      <c r="C652" s="6" t="str">
        <f>IFERROR(__xludf.DUMMYFUNCTION("""COMPUTED_VALUE"""),"Myanmar")</f>
        <v>Myanmar</v>
      </c>
      <c r="D652" s="6">
        <f>COUNTIFS('Raw Data Sales'!H652:H1650, LEFT(A652, FIND(" ",A652)-1), 'Raw Data Sales'!I652:I1650, MID(A652, FIND(" ",A652)+1, 100))</f>
        <v>1</v>
      </c>
      <c r="E652" s="6">
        <f>SUMIFS('Raw Data Sales'!M652:M1650, 'Raw Data Sales'!H652:H1650, LEFT(A652, FIND(" ",A652)-1), 'Raw Data Sales'!I652:I1650, MID(A652, FIND(" ",A652)+1, 100))</f>
        <v>18</v>
      </c>
      <c r="F652" s="6">
        <f>SUMIFS('Raw Data Sales'!N652:N1650, 'Raw Data Sales'!H652:H1650, LEFT(A652, FIND(" ",A652)-1), 'Raw Data Sales'!I652:I1650, MID(A652, FIND(" ",A652)+1, 100))</f>
        <v>161.65</v>
      </c>
    </row>
    <row r="653">
      <c r="A653" s="6" t="str">
        <f>IFERROR(__xludf.DUMMYFUNCTION("UNIQUE('Raw Data Sales'!H653:H1651 &amp; "" "" &amp; 'Raw Data Sales'!I653:I1651)"),"Koenraad Sussems")</f>
        <v>Koenraad Sussems</v>
      </c>
      <c r="B653" s="6" t="str">
        <f>IFERROR(__xludf.DUMMYFUNCTION("""COMPUTED_VALUE"""),"ksussemsi3@twitpic.com")</f>
        <v>ksussemsi3@twitpic.com</v>
      </c>
      <c r="C653" s="6" t="str">
        <f>IFERROR(__xludf.DUMMYFUNCTION("""COMPUTED_VALUE"""),"Philippines")</f>
        <v>Philippines</v>
      </c>
      <c r="D653" s="6">
        <f>COUNTIFS('Raw Data Sales'!H653:H1651, LEFT(A653, FIND(" ",A653)-1), 'Raw Data Sales'!I653:I1651, MID(A653, FIND(" ",A653)+1, 100))</f>
        <v>1</v>
      </c>
      <c r="E653" s="6">
        <f>SUMIFS('Raw Data Sales'!M653:M1651, 'Raw Data Sales'!H653:H1651, LEFT(A653, FIND(" ",A653)-1), 'Raw Data Sales'!I653:I1651, MID(A653, FIND(" ",A653)+1, 100))</f>
        <v>90</v>
      </c>
      <c r="F653" s="6">
        <f>SUMIFS('Raw Data Sales'!N653:N1651, 'Raw Data Sales'!H653:H1651, LEFT(A653, FIND(" ",A653)-1), 'Raw Data Sales'!I653:I1651, MID(A653, FIND(" ",A653)+1, 100))</f>
        <v>7125.6</v>
      </c>
    </row>
    <row r="654">
      <c r="A654" s="6" t="str">
        <f>IFERROR(__xludf.DUMMYFUNCTION("UNIQUE('Raw Data Sales'!H654:H1652 &amp; "" "" &amp; 'Raw Data Sales'!I654:I1652)"),"Gloriana Baskett")</f>
        <v>Gloriana Baskett</v>
      </c>
      <c r="B654" s="6" t="str">
        <f>IFERROR(__xludf.DUMMYFUNCTION("""COMPUTED_VALUE"""),"gbasketti4@simplemachines.org")</f>
        <v>gbasketti4@simplemachines.org</v>
      </c>
      <c r="C654" s="6" t="str">
        <f>IFERROR(__xludf.DUMMYFUNCTION("""COMPUTED_VALUE"""),"Indonesia")</f>
        <v>Indonesia</v>
      </c>
      <c r="D654" s="6">
        <f>COUNTIFS('Raw Data Sales'!H654:H1652, LEFT(A654, FIND(" ",A654)-1), 'Raw Data Sales'!I654:I1652, MID(A654, FIND(" ",A654)+1, 100))</f>
        <v>1</v>
      </c>
      <c r="E654" s="6">
        <f>SUMIFS('Raw Data Sales'!M654:M1652, 'Raw Data Sales'!H654:H1652, LEFT(A654, FIND(" ",A654)-1), 'Raw Data Sales'!I654:I1652, MID(A654, FIND(" ",A654)+1, 100))</f>
        <v>72</v>
      </c>
      <c r="F654" s="6">
        <f>SUMIFS('Raw Data Sales'!N654:N1652, 'Raw Data Sales'!H654:H1652, LEFT(A654, FIND(" ",A654)-1), 'Raw Data Sales'!I654:I1652, MID(A654, FIND(" ",A654)+1, 100))</f>
        <v>6263</v>
      </c>
    </row>
    <row r="655">
      <c r="A655" s="6" t="str">
        <f>IFERROR(__xludf.DUMMYFUNCTION("UNIQUE('Raw Data Sales'!H655:H1653 &amp; "" "" &amp; 'Raw Data Sales'!I655:I1653)"),"Allister Kalisch")</f>
        <v>Allister Kalisch</v>
      </c>
      <c r="B655" s="6" t="str">
        <f>IFERROR(__xludf.DUMMYFUNCTION("""COMPUTED_VALUE"""),"akalischi5@nasa.gov")</f>
        <v>akalischi5@nasa.gov</v>
      </c>
      <c r="C655" s="6" t="str">
        <f>IFERROR(__xludf.DUMMYFUNCTION("""COMPUTED_VALUE"""),"Bulgaria")</f>
        <v>Bulgaria</v>
      </c>
      <c r="D655" s="6">
        <f>COUNTIFS('Raw Data Sales'!H655:H1653, LEFT(A655, FIND(" ",A655)-1), 'Raw Data Sales'!I655:I1653, MID(A655, FIND(" ",A655)+1, 100))</f>
        <v>1</v>
      </c>
      <c r="E655" s="6">
        <f>SUMIFS('Raw Data Sales'!M655:M1653, 'Raw Data Sales'!H655:H1653, LEFT(A655, FIND(" ",A655)-1), 'Raw Data Sales'!I655:I1653, MID(A655, FIND(" ",A655)+1, 100))</f>
        <v>7</v>
      </c>
      <c r="F655" s="6">
        <f>SUMIFS('Raw Data Sales'!N655:N1653, 'Raw Data Sales'!H655:H1653, LEFT(A655, FIND(" ",A655)-1), 'Raw Data Sales'!I655:I1653, MID(A655, FIND(" ",A655)+1, 100))</f>
        <v>7048.93</v>
      </c>
    </row>
    <row r="656">
      <c r="A656" s="6" t="str">
        <f>IFERROR(__xludf.DUMMYFUNCTION("UNIQUE('Raw Data Sales'!H656:H1654 &amp; "" "" &amp; 'Raw Data Sales'!I656:I1654)"),"Daune Harkes")</f>
        <v>Daune Harkes</v>
      </c>
      <c r="B656" s="6" t="str">
        <f>IFERROR(__xludf.DUMMYFUNCTION("""COMPUTED_VALUE"""),"dharkesi6@ox.ac.uk")</f>
        <v>dharkesi6@ox.ac.uk</v>
      </c>
      <c r="C656" s="6" t="str">
        <f>IFERROR(__xludf.DUMMYFUNCTION("""COMPUTED_VALUE"""),"Poland")</f>
        <v>Poland</v>
      </c>
      <c r="D656" s="6">
        <f>COUNTIFS('Raw Data Sales'!H656:H1654, LEFT(A656, FIND(" ",A656)-1), 'Raw Data Sales'!I656:I1654, MID(A656, FIND(" ",A656)+1, 100))</f>
        <v>1</v>
      </c>
      <c r="E656" s="6">
        <f>SUMIFS('Raw Data Sales'!M656:M1654, 'Raw Data Sales'!H656:H1654, LEFT(A656, FIND(" ",A656)-1), 'Raw Data Sales'!I656:I1654, MID(A656, FIND(" ",A656)+1, 100))</f>
        <v>16</v>
      </c>
      <c r="F656" s="6">
        <f>SUMIFS('Raw Data Sales'!N656:N1654, 'Raw Data Sales'!H656:H1654, LEFT(A656, FIND(" ",A656)-1), 'Raw Data Sales'!I656:I1654, MID(A656, FIND(" ",A656)+1, 100))</f>
        <v>6185.09</v>
      </c>
    </row>
    <row r="657">
      <c r="A657" s="6" t="str">
        <f>IFERROR(__xludf.DUMMYFUNCTION("UNIQUE('Raw Data Sales'!H657:H1655 &amp; "" "" &amp; 'Raw Data Sales'!I657:I1655)"),"Leeann Wilden")</f>
        <v>Leeann Wilden</v>
      </c>
      <c r="B657" s="6" t="str">
        <f>IFERROR(__xludf.DUMMYFUNCTION("""COMPUTED_VALUE"""),"lwildeni7@ebay.com")</f>
        <v>lwildeni7@ebay.com</v>
      </c>
      <c r="C657" s="6" t="str">
        <f>IFERROR(__xludf.DUMMYFUNCTION("""COMPUTED_VALUE"""),"Japan")</f>
        <v>Japan</v>
      </c>
      <c r="D657" s="6">
        <f>COUNTIFS('Raw Data Sales'!H657:H1655, LEFT(A657, FIND(" ",A657)-1), 'Raw Data Sales'!I657:I1655, MID(A657, FIND(" ",A657)+1, 100))</f>
        <v>1</v>
      </c>
      <c r="E657" s="6">
        <f>SUMIFS('Raw Data Sales'!M657:M1655, 'Raw Data Sales'!H657:H1655, LEFT(A657, FIND(" ",A657)-1), 'Raw Data Sales'!I657:I1655, MID(A657, FIND(" ",A657)+1, 100))</f>
        <v>92</v>
      </c>
      <c r="F657" s="6">
        <f>SUMIFS('Raw Data Sales'!N657:N1655, 'Raw Data Sales'!H657:H1655, LEFT(A657, FIND(" ",A657)-1), 'Raw Data Sales'!I657:I1655, MID(A657, FIND(" ",A657)+1, 100))</f>
        <v>4609.8</v>
      </c>
    </row>
    <row r="658">
      <c r="A658" s="6" t="str">
        <f>IFERROR(__xludf.DUMMYFUNCTION("UNIQUE('Raw Data Sales'!H658:H1656 &amp; "" "" &amp; 'Raw Data Sales'!I658:I1656)"),"Shepperd Scudder")</f>
        <v>Shepperd Scudder</v>
      </c>
      <c r="B658" s="6" t="str">
        <f>IFERROR(__xludf.DUMMYFUNCTION("""COMPUTED_VALUE"""),"sscudderi8@yahoo.co.jp")</f>
        <v>sscudderi8@yahoo.co.jp</v>
      </c>
      <c r="C658" s="6" t="str">
        <f>IFERROR(__xludf.DUMMYFUNCTION("""COMPUTED_VALUE"""),"Bulgaria")</f>
        <v>Bulgaria</v>
      </c>
      <c r="D658" s="6">
        <f>COUNTIFS('Raw Data Sales'!H658:H1656, LEFT(A658, FIND(" ",A658)-1), 'Raw Data Sales'!I658:I1656, MID(A658, FIND(" ",A658)+1, 100))</f>
        <v>1</v>
      </c>
      <c r="E658" s="6">
        <f>SUMIFS('Raw Data Sales'!M658:M1656, 'Raw Data Sales'!H658:H1656, LEFT(A658, FIND(" ",A658)-1), 'Raw Data Sales'!I658:I1656, MID(A658, FIND(" ",A658)+1, 100))</f>
        <v>22</v>
      </c>
      <c r="F658" s="6">
        <f>SUMIFS('Raw Data Sales'!N658:N1656, 'Raw Data Sales'!H658:H1656, LEFT(A658, FIND(" ",A658)-1), 'Raw Data Sales'!I658:I1656, MID(A658, FIND(" ",A658)+1, 100))</f>
        <v>9006.42</v>
      </c>
    </row>
    <row r="659">
      <c r="A659" s="6" t="str">
        <f>IFERROR(__xludf.DUMMYFUNCTION("UNIQUE('Raw Data Sales'!H659:H1657 &amp; "" "" &amp; 'Raw Data Sales'!I659:I1657)"),"Ted Accum")</f>
        <v>Ted Accum</v>
      </c>
      <c r="B659" s="6" t="str">
        <f>IFERROR(__xludf.DUMMYFUNCTION("""COMPUTED_VALUE"""),"taccumi9@dell.com")</f>
        <v>taccumi9@dell.com</v>
      </c>
      <c r="C659" s="6" t="str">
        <f>IFERROR(__xludf.DUMMYFUNCTION("""COMPUTED_VALUE"""),"China")</f>
        <v>China</v>
      </c>
      <c r="D659" s="6">
        <f>COUNTIFS('Raw Data Sales'!H659:H1657, LEFT(A659, FIND(" ",A659)-1), 'Raw Data Sales'!I659:I1657, MID(A659, FIND(" ",A659)+1, 100))</f>
        <v>1</v>
      </c>
      <c r="E659" s="6">
        <f>SUMIFS('Raw Data Sales'!M659:M1657, 'Raw Data Sales'!H659:H1657, LEFT(A659, FIND(" ",A659)-1), 'Raw Data Sales'!I659:I1657, MID(A659, FIND(" ",A659)+1, 100))</f>
        <v>93</v>
      </c>
      <c r="F659" s="6">
        <f>SUMIFS('Raw Data Sales'!N659:N1657, 'Raw Data Sales'!H659:H1657, LEFT(A659, FIND(" ",A659)-1), 'Raw Data Sales'!I659:I1657, MID(A659, FIND(" ",A659)+1, 100))</f>
        <v>5356.93</v>
      </c>
    </row>
    <row r="660">
      <c r="A660" s="6" t="str">
        <f>IFERROR(__xludf.DUMMYFUNCTION("UNIQUE('Raw Data Sales'!H660:H1658 &amp; "" "" &amp; 'Raw Data Sales'!I660:I1658)"),"Salim Poe")</f>
        <v>Salim Poe</v>
      </c>
      <c r="B660" s="6" t="str">
        <f>IFERROR(__xludf.DUMMYFUNCTION("""COMPUTED_VALUE"""),"spoeia@constantcontact.com")</f>
        <v>spoeia@constantcontact.com</v>
      </c>
      <c r="C660" s="6" t="str">
        <f>IFERROR(__xludf.DUMMYFUNCTION("""COMPUTED_VALUE"""),"China")</f>
        <v>China</v>
      </c>
      <c r="D660" s="6">
        <f>COUNTIFS('Raw Data Sales'!H660:H1658, LEFT(A660, FIND(" ",A660)-1), 'Raw Data Sales'!I660:I1658, MID(A660, FIND(" ",A660)+1, 100))</f>
        <v>1</v>
      </c>
      <c r="E660" s="6">
        <f>SUMIFS('Raw Data Sales'!M660:M1658, 'Raw Data Sales'!H660:H1658, LEFT(A660, FIND(" ",A660)-1), 'Raw Data Sales'!I660:I1658, MID(A660, FIND(" ",A660)+1, 100))</f>
        <v>35</v>
      </c>
      <c r="F660" s="6">
        <f>SUMIFS('Raw Data Sales'!N660:N1658, 'Raw Data Sales'!H660:H1658, LEFT(A660, FIND(" ",A660)-1), 'Raw Data Sales'!I660:I1658, MID(A660, FIND(" ",A660)+1, 100))</f>
        <v>6668.15</v>
      </c>
    </row>
    <row r="661">
      <c r="A661" s="6" t="str">
        <f>IFERROR(__xludf.DUMMYFUNCTION("UNIQUE('Raw Data Sales'!H661:H1659 &amp; "" "" &amp; 'Raw Data Sales'!I661:I1659)"),"Agretha Setterfield")</f>
        <v>Agretha Setterfield</v>
      </c>
      <c r="B661" s="6" t="str">
        <f>IFERROR(__xludf.DUMMYFUNCTION("""COMPUTED_VALUE"""),"asetterfieldib@nyu.edu")</f>
        <v>asetterfieldib@nyu.edu</v>
      </c>
      <c r="C661" s="6" t="str">
        <f>IFERROR(__xludf.DUMMYFUNCTION("""COMPUTED_VALUE"""),"Poland")</f>
        <v>Poland</v>
      </c>
      <c r="D661" s="6">
        <f>COUNTIFS('Raw Data Sales'!H661:H1659, LEFT(A661, FIND(" ",A661)-1), 'Raw Data Sales'!I661:I1659, MID(A661, FIND(" ",A661)+1, 100))</f>
        <v>1</v>
      </c>
      <c r="E661" s="6">
        <f>SUMIFS('Raw Data Sales'!M661:M1659, 'Raw Data Sales'!H661:H1659, LEFT(A661, FIND(" ",A661)-1), 'Raw Data Sales'!I661:I1659, MID(A661, FIND(" ",A661)+1, 100))</f>
        <v>32</v>
      </c>
      <c r="F661" s="6">
        <f>SUMIFS('Raw Data Sales'!N661:N1659, 'Raw Data Sales'!H661:H1659, LEFT(A661, FIND(" ",A661)-1), 'Raw Data Sales'!I661:I1659, MID(A661, FIND(" ",A661)+1, 100))</f>
        <v>3607.35</v>
      </c>
    </row>
    <row r="662">
      <c r="A662" s="6" t="str">
        <f>IFERROR(__xludf.DUMMYFUNCTION("UNIQUE('Raw Data Sales'!H662:H1660 &amp; "" "" &amp; 'Raw Data Sales'!I662:I1660)"),"Chancey Crampton")</f>
        <v>Chancey Crampton</v>
      </c>
      <c r="B662" s="6" t="str">
        <f>IFERROR(__xludf.DUMMYFUNCTION("""COMPUTED_VALUE"""),"ccramptonic@fastcompany.com")</f>
        <v>ccramptonic@fastcompany.com</v>
      </c>
      <c r="C662" s="6" t="str">
        <f>IFERROR(__xludf.DUMMYFUNCTION("""COMPUTED_VALUE"""),"Poland")</f>
        <v>Poland</v>
      </c>
      <c r="D662" s="6">
        <f>COUNTIFS('Raw Data Sales'!H662:H1660, LEFT(A662, FIND(" ",A662)-1), 'Raw Data Sales'!I662:I1660, MID(A662, FIND(" ",A662)+1, 100))</f>
        <v>1</v>
      </c>
      <c r="E662" s="6">
        <f>SUMIFS('Raw Data Sales'!M662:M1660, 'Raw Data Sales'!H662:H1660, LEFT(A662, FIND(" ",A662)-1), 'Raw Data Sales'!I662:I1660, MID(A662, FIND(" ",A662)+1, 100))</f>
        <v>37</v>
      </c>
      <c r="F662" s="6">
        <f>SUMIFS('Raw Data Sales'!N662:N1660, 'Raw Data Sales'!H662:H1660, LEFT(A662, FIND(" ",A662)-1), 'Raw Data Sales'!I662:I1660, MID(A662, FIND(" ",A662)+1, 100))</f>
        <v>3890.84</v>
      </c>
    </row>
    <row r="663">
      <c r="A663" s="6" t="str">
        <f>IFERROR(__xludf.DUMMYFUNCTION("UNIQUE('Raw Data Sales'!H663:H1661 &amp; "" "" &amp; 'Raw Data Sales'!I663:I1661)"),"Fergus Entissle")</f>
        <v>Fergus Entissle</v>
      </c>
      <c r="B663" s="6" t="str">
        <f>IFERROR(__xludf.DUMMYFUNCTION("""COMPUTED_VALUE"""),"fentissleid@behance.net")</f>
        <v>fentissleid@behance.net</v>
      </c>
      <c r="C663" s="6" t="str">
        <f>IFERROR(__xludf.DUMMYFUNCTION("""COMPUTED_VALUE"""),"France")</f>
        <v>France</v>
      </c>
      <c r="D663" s="6">
        <f>COUNTIFS('Raw Data Sales'!H663:H1661, LEFT(A663, FIND(" ",A663)-1), 'Raw Data Sales'!I663:I1661, MID(A663, FIND(" ",A663)+1, 100))</f>
        <v>1</v>
      </c>
      <c r="E663" s="6">
        <f>SUMIFS('Raw Data Sales'!M663:M1661, 'Raw Data Sales'!H663:H1661, LEFT(A663, FIND(" ",A663)-1), 'Raw Data Sales'!I663:I1661, MID(A663, FIND(" ",A663)+1, 100))</f>
        <v>19</v>
      </c>
      <c r="F663" s="6">
        <f>SUMIFS('Raw Data Sales'!N663:N1661, 'Raw Data Sales'!H663:H1661, LEFT(A663, FIND(" ",A663)-1), 'Raw Data Sales'!I663:I1661, MID(A663, FIND(" ",A663)+1, 100))</f>
        <v>4477.55</v>
      </c>
    </row>
    <row r="664">
      <c r="A664" s="6" t="str">
        <f>IFERROR(__xludf.DUMMYFUNCTION("UNIQUE('Raw Data Sales'!H664:H1662 &amp; "" "" &amp; 'Raw Data Sales'!I664:I1662)"),"Appolonia Graysmark")</f>
        <v>Appolonia Graysmark</v>
      </c>
      <c r="B664" s="6" t="str">
        <f>IFERROR(__xludf.DUMMYFUNCTION("""COMPUTED_VALUE"""),"agraysmarkie@hatena.ne.jp")</f>
        <v>agraysmarkie@hatena.ne.jp</v>
      </c>
      <c r="C664" s="6" t="str">
        <f>IFERROR(__xludf.DUMMYFUNCTION("""COMPUTED_VALUE"""),"China")</f>
        <v>China</v>
      </c>
      <c r="D664" s="6">
        <f>COUNTIFS('Raw Data Sales'!H664:H1662, LEFT(A664, FIND(" ",A664)-1), 'Raw Data Sales'!I664:I1662, MID(A664, FIND(" ",A664)+1, 100))</f>
        <v>1</v>
      </c>
      <c r="E664" s="6">
        <f>SUMIFS('Raw Data Sales'!M664:M1662, 'Raw Data Sales'!H664:H1662, LEFT(A664, FIND(" ",A664)-1), 'Raw Data Sales'!I664:I1662, MID(A664, FIND(" ",A664)+1, 100))</f>
        <v>15</v>
      </c>
      <c r="F664" s="6">
        <f>SUMIFS('Raw Data Sales'!N664:N1662, 'Raw Data Sales'!H664:H1662, LEFT(A664, FIND(" ",A664)-1), 'Raw Data Sales'!I664:I1662, MID(A664, FIND(" ",A664)+1, 100))</f>
        <v>9240.39</v>
      </c>
    </row>
    <row r="665">
      <c r="A665" s="6" t="str">
        <f>IFERROR(__xludf.DUMMYFUNCTION("UNIQUE('Raw Data Sales'!H665:H1663 &amp; "" "" &amp; 'Raw Data Sales'!I665:I1663)"),"Gilda Ovendon")</f>
        <v>Gilda Ovendon</v>
      </c>
      <c r="B665" s="6" t="str">
        <f>IFERROR(__xludf.DUMMYFUNCTION("""COMPUTED_VALUE"""),"govendonif@webmd.com")</f>
        <v>govendonif@webmd.com</v>
      </c>
      <c r="C665" s="6" t="str">
        <f>IFERROR(__xludf.DUMMYFUNCTION("""COMPUTED_VALUE"""),"Indonesia")</f>
        <v>Indonesia</v>
      </c>
      <c r="D665" s="6">
        <f>COUNTIFS('Raw Data Sales'!H665:H1663, LEFT(A665, FIND(" ",A665)-1), 'Raw Data Sales'!I665:I1663, MID(A665, FIND(" ",A665)+1, 100))</f>
        <v>1</v>
      </c>
      <c r="E665" s="6">
        <f>SUMIFS('Raw Data Sales'!M665:M1663, 'Raw Data Sales'!H665:H1663, LEFT(A665, FIND(" ",A665)-1), 'Raw Data Sales'!I665:I1663, MID(A665, FIND(" ",A665)+1, 100))</f>
        <v>100</v>
      </c>
      <c r="F665" s="6">
        <f>SUMIFS('Raw Data Sales'!N665:N1663, 'Raw Data Sales'!H665:H1663, LEFT(A665, FIND(" ",A665)-1), 'Raw Data Sales'!I665:I1663, MID(A665, FIND(" ",A665)+1, 100))</f>
        <v>9659.11</v>
      </c>
    </row>
    <row r="666">
      <c r="A666" s="6" t="str">
        <f>IFERROR(__xludf.DUMMYFUNCTION("UNIQUE('Raw Data Sales'!H666:H1664 &amp; "" "" &amp; 'Raw Data Sales'!I666:I1664)"),"Christalle Rousel")</f>
        <v>Christalle Rousel</v>
      </c>
      <c r="B666" s="6" t="str">
        <f>IFERROR(__xludf.DUMMYFUNCTION("""COMPUTED_VALUE"""),"crouselig@ucoz.ru")</f>
        <v>crouselig@ucoz.ru</v>
      </c>
      <c r="C666" s="6" t="str">
        <f>IFERROR(__xludf.DUMMYFUNCTION("""COMPUTED_VALUE"""),"Nigeria")</f>
        <v>Nigeria</v>
      </c>
      <c r="D666" s="6">
        <f>COUNTIFS('Raw Data Sales'!H666:H1664, LEFT(A666, FIND(" ",A666)-1), 'Raw Data Sales'!I666:I1664, MID(A666, FIND(" ",A666)+1, 100))</f>
        <v>1</v>
      </c>
      <c r="E666" s="6">
        <f>SUMIFS('Raw Data Sales'!M666:M1664, 'Raw Data Sales'!H666:H1664, LEFT(A666, FIND(" ",A666)-1), 'Raw Data Sales'!I666:I1664, MID(A666, FIND(" ",A666)+1, 100))</f>
        <v>41</v>
      </c>
      <c r="F666" s="6">
        <f>SUMIFS('Raw Data Sales'!N666:N1664, 'Raw Data Sales'!H666:H1664, LEFT(A666, FIND(" ",A666)-1), 'Raw Data Sales'!I666:I1664, MID(A666, FIND(" ",A666)+1, 100))</f>
        <v>8783.2</v>
      </c>
    </row>
    <row r="667">
      <c r="A667" s="6" t="str">
        <f>IFERROR(__xludf.DUMMYFUNCTION("UNIQUE('Raw Data Sales'!H667:H1665 &amp; "" "" &amp; 'Raw Data Sales'!I667:I1665)"),"Danella Cruwys")</f>
        <v>Danella Cruwys</v>
      </c>
      <c r="B667" s="6" t="str">
        <f>IFERROR(__xludf.DUMMYFUNCTION("""COMPUTED_VALUE"""),"dcruwysih@acquirethisname.com")</f>
        <v>dcruwysih@acquirethisname.com</v>
      </c>
      <c r="C667" s="6" t="str">
        <f>IFERROR(__xludf.DUMMYFUNCTION("""COMPUTED_VALUE"""),"China")</f>
        <v>China</v>
      </c>
      <c r="D667" s="6">
        <f>COUNTIFS('Raw Data Sales'!H667:H1665, LEFT(A667, FIND(" ",A667)-1), 'Raw Data Sales'!I667:I1665, MID(A667, FIND(" ",A667)+1, 100))</f>
        <v>1</v>
      </c>
      <c r="E667" s="6">
        <f>SUMIFS('Raw Data Sales'!M667:M1665, 'Raw Data Sales'!H667:H1665, LEFT(A667, FIND(" ",A667)-1), 'Raw Data Sales'!I667:I1665, MID(A667, FIND(" ",A667)+1, 100))</f>
        <v>100</v>
      </c>
      <c r="F667" s="6">
        <f>SUMIFS('Raw Data Sales'!N667:N1665, 'Raw Data Sales'!H667:H1665, LEFT(A667, FIND(" ",A667)-1), 'Raw Data Sales'!I667:I1665, MID(A667, FIND(" ",A667)+1, 100))</f>
        <v>1345.95</v>
      </c>
    </row>
    <row r="668">
      <c r="A668" s="6" t="str">
        <f>IFERROR(__xludf.DUMMYFUNCTION("UNIQUE('Raw Data Sales'!H668:H1666 &amp; "" "" &amp; 'Raw Data Sales'!I668:I1666)"),"Aila Massimo")</f>
        <v>Aila Massimo</v>
      </c>
      <c r="B668" s="6" t="str">
        <f>IFERROR(__xludf.DUMMYFUNCTION("""COMPUTED_VALUE"""),"amassimoii@harvard.edu")</f>
        <v>amassimoii@harvard.edu</v>
      </c>
      <c r="C668" s="6" t="str">
        <f>IFERROR(__xludf.DUMMYFUNCTION("""COMPUTED_VALUE"""),"Philippines")</f>
        <v>Philippines</v>
      </c>
      <c r="D668" s="6">
        <f>COUNTIFS('Raw Data Sales'!H668:H1666, LEFT(A668, FIND(" ",A668)-1), 'Raw Data Sales'!I668:I1666, MID(A668, FIND(" ",A668)+1, 100))</f>
        <v>1</v>
      </c>
      <c r="E668" s="6">
        <f>SUMIFS('Raw Data Sales'!M668:M1666, 'Raw Data Sales'!H668:H1666, LEFT(A668, FIND(" ",A668)-1), 'Raw Data Sales'!I668:I1666, MID(A668, FIND(" ",A668)+1, 100))</f>
        <v>64</v>
      </c>
      <c r="F668" s="6">
        <f>SUMIFS('Raw Data Sales'!N668:N1666, 'Raw Data Sales'!H668:H1666, LEFT(A668, FIND(" ",A668)-1), 'Raw Data Sales'!I668:I1666, MID(A668, FIND(" ",A668)+1, 100))</f>
        <v>6167.59</v>
      </c>
    </row>
    <row r="669">
      <c r="A669" s="6" t="str">
        <f>IFERROR(__xludf.DUMMYFUNCTION("UNIQUE('Raw Data Sales'!H669:H1667 &amp; "" "" &amp; 'Raw Data Sales'!I669:I1667)"),"Boycie De Robertis")</f>
        <v>Boycie De Robertis</v>
      </c>
      <c r="B669" s="6" t="str">
        <f>IFERROR(__xludf.DUMMYFUNCTION("""COMPUTED_VALUE"""),"bderobertisij@opensource.org")</f>
        <v>bderobertisij@opensource.org</v>
      </c>
      <c r="C669" s="6" t="str">
        <f>IFERROR(__xludf.DUMMYFUNCTION("""COMPUTED_VALUE"""),"Russia")</f>
        <v>Russia</v>
      </c>
      <c r="D669" s="6">
        <f>COUNTIFS('Raw Data Sales'!H669:H1667, LEFT(A669, FIND(" ",A669)-1), 'Raw Data Sales'!I669:I1667, MID(A669, FIND(" ",A669)+1, 100))</f>
        <v>1</v>
      </c>
      <c r="E669" s="6">
        <f>SUMIFS('Raw Data Sales'!M669:M1667, 'Raw Data Sales'!H669:H1667, LEFT(A669, FIND(" ",A669)-1), 'Raw Data Sales'!I669:I1667, MID(A669, FIND(" ",A669)+1, 100))</f>
        <v>33</v>
      </c>
      <c r="F669" s="6">
        <f>SUMIFS('Raw Data Sales'!N669:N1667, 'Raw Data Sales'!H669:H1667, LEFT(A669, FIND(" ",A669)-1), 'Raw Data Sales'!I669:I1667, MID(A669, FIND(" ",A669)+1, 100))</f>
        <v>7653.26</v>
      </c>
    </row>
    <row r="670">
      <c r="A670" s="6" t="str">
        <f>IFERROR(__xludf.DUMMYFUNCTION("UNIQUE('Raw Data Sales'!H670:H1668 &amp; "" "" &amp; 'Raw Data Sales'!I670:I1668)"),"Guillema Mundell")</f>
        <v>Guillema Mundell</v>
      </c>
      <c r="B670" s="6" t="str">
        <f>IFERROR(__xludf.DUMMYFUNCTION("""COMPUTED_VALUE"""),"gmundellik@yale.edu")</f>
        <v>gmundellik@yale.edu</v>
      </c>
      <c r="C670" s="6" t="str">
        <f>IFERROR(__xludf.DUMMYFUNCTION("""COMPUTED_VALUE"""),"Russia")</f>
        <v>Russia</v>
      </c>
      <c r="D670" s="6">
        <f>COUNTIFS('Raw Data Sales'!H670:H1668, LEFT(A670, FIND(" ",A670)-1), 'Raw Data Sales'!I670:I1668, MID(A670, FIND(" ",A670)+1, 100))</f>
        <v>1</v>
      </c>
      <c r="E670" s="6">
        <f>SUMIFS('Raw Data Sales'!M670:M1668, 'Raw Data Sales'!H670:H1668, LEFT(A670, FIND(" ",A670)-1), 'Raw Data Sales'!I670:I1668, MID(A670, FIND(" ",A670)+1, 100))</f>
        <v>92</v>
      </c>
      <c r="F670" s="6">
        <f>SUMIFS('Raw Data Sales'!N670:N1668, 'Raw Data Sales'!H670:H1668, LEFT(A670, FIND(" ",A670)-1), 'Raw Data Sales'!I670:I1668, MID(A670, FIND(" ",A670)+1, 100))</f>
        <v>1918.9</v>
      </c>
    </row>
    <row r="671">
      <c r="A671" s="6" t="str">
        <f>IFERROR(__xludf.DUMMYFUNCTION("UNIQUE('Raw Data Sales'!H671:H1669 &amp; "" "" &amp; 'Raw Data Sales'!I671:I1669)"),"Cecilia Antunes")</f>
        <v>Cecilia Antunes</v>
      </c>
      <c r="B671" s="6" t="str">
        <f>IFERROR(__xludf.DUMMYFUNCTION("""COMPUTED_VALUE"""),"cantunesil@gizmodo.com")</f>
        <v>cantunesil@gizmodo.com</v>
      </c>
      <c r="C671" s="6" t="str">
        <f>IFERROR(__xludf.DUMMYFUNCTION("""COMPUTED_VALUE"""),"Benin")</f>
        <v>Benin</v>
      </c>
      <c r="D671" s="6">
        <f>COUNTIFS('Raw Data Sales'!H671:H1669, LEFT(A671, FIND(" ",A671)-1), 'Raw Data Sales'!I671:I1669, MID(A671, FIND(" ",A671)+1, 100))</f>
        <v>1</v>
      </c>
      <c r="E671" s="6">
        <f>SUMIFS('Raw Data Sales'!M671:M1669, 'Raw Data Sales'!H671:H1669, LEFT(A671, FIND(" ",A671)-1), 'Raw Data Sales'!I671:I1669, MID(A671, FIND(" ",A671)+1, 100))</f>
        <v>96</v>
      </c>
      <c r="F671" s="6">
        <f>SUMIFS('Raw Data Sales'!N671:N1669, 'Raw Data Sales'!H671:H1669, LEFT(A671, FIND(" ",A671)-1), 'Raw Data Sales'!I671:I1669, MID(A671, FIND(" ",A671)+1, 100))</f>
        <v>6062.46</v>
      </c>
    </row>
    <row r="672">
      <c r="A672" s="6" t="str">
        <f>IFERROR(__xludf.DUMMYFUNCTION("UNIQUE('Raw Data Sales'!H672:H1670 &amp; "" "" &amp; 'Raw Data Sales'!I672:I1670)"),"Gerta Fletcher")</f>
        <v>Gerta Fletcher</v>
      </c>
      <c r="B672" s="6" t="str">
        <f>IFERROR(__xludf.DUMMYFUNCTION("""COMPUTED_VALUE"""),"gfletcherim@ustream.tv")</f>
        <v>gfletcherim@ustream.tv</v>
      </c>
      <c r="C672" s="6" t="str">
        <f>IFERROR(__xludf.DUMMYFUNCTION("""COMPUTED_VALUE"""),"South Korea")</f>
        <v>South Korea</v>
      </c>
      <c r="D672" s="6">
        <f>COUNTIFS('Raw Data Sales'!H672:H1670, LEFT(A672, FIND(" ",A672)-1), 'Raw Data Sales'!I672:I1670, MID(A672, FIND(" ",A672)+1, 100))</f>
        <v>1</v>
      </c>
      <c r="E672" s="6">
        <f>SUMIFS('Raw Data Sales'!M672:M1670, 'Raw Data Sales'!H672:H1670, LEFT(A672, FIND(" ",A672)-1), 'Raw Data Sales'!I672:I1670, MID(A672, FIND(" ",A672)+1, 100))</f>
        <v>10</v>
      </c>
      <c r="F672" s="6">
        <f>SUMIFS('Raw Data Sales'!N672:N1670, 'Raw Data Sales'!H672:H1670, LEFT(A672, FIND(" ",A672)-1), 'Raw Data Sales'!I672:I1670, MID(A672, FIND(" ",A672)+1, 100))</f>
        <v>767.77</v>
      </c>
    </row>
    <row r="673">
      <c r="A673" s="6" t="str">
        <f>IFERROR(__xludf.DUMMYFUNCTION("UNIQUE('Raw Data Sales'!H673:H1671 &amp; "" "" &amp; 'Raw Data Sales'!I673:I1671)"),"Petrina Vedyashkin")</f>
        <v>Petrina Vedyashkin</v>
      </c>
      <c r="B673" s="6" t="str">
        <f>IFERROR(__xludf.DUMMYFUNCTION("""COMPUTED_VALUE"""),"pvedyashkinin@wufoo.com")</f>
        <v>pvedyashkinin@wufoo.com</v>
      </c>
      <c r="C673" s="6" t="str">
        <f>IFERROR(__xludf.DUMMYFUNCTION("""COMPUTED_VALUE"""),"Thailand")</f>
        <v>Thailand</v>
      </c>
      <c r="D673" s="6">
        <f>COUNTIFS('Raw Data Sales'!H673:H1671, LEFT(A673, FIND(" ",A673)-1), 'Raw Data Sales'!I673:I1671, MID(A673, FIND(" ",A673)+1, 100))</f>
        <v>1</v>
      </c>
      <c r="E673" s="6">
        <f>SUMIFS('Raw Data Sales'!M673:M1671, 'Raw Data Sales'!H673:H1671, LEFT(A673, FIND(" ",A673)-1), 'Raw Data Sales'!I673:I1671, MID(A673, FIND(" ",A673)+1, 100))</f>
        <v>41</v>
      </c>
      <c r="F673" s="6">
        <f>SUMIFS('Raw Data Sales'!N673:N1671, 'Raw Data Sales'!H673:H1671, LEFT(A673, FIND(" ",A673)-1), 'Raw Data Sales'!I673:I1671, MID(A673, FIND(" ",A673)+1, 100))</f>
        <v>1702.51</v>
      </c>
    </row>
    <row r="674">
      <c r="A674" s="6" t="str">
        <f>IFERROR(__xludf.DUMMYFUNCTION("UNIQUE('Raw Data Sales'!H674:H1672 &amp; "" "" &amp; 'Raw Data Sales'!I674:I1672)"),"Tobie Brazelton")</f>
        <v>Tobie Brazelton</v>
      </c>
      <c r="B674" s="6" t="str">
        <f>IFERROR(__xludf.DUMMYFUNCTION("""COMPUTED_VALUE"""),"tbrazeltonio@sun.com")</f>
        <v>tbrazeltonio@sun.com</v>
      </c>
      <c r="C674" s="6" t="str">
        <f>IFERROR(__xludf.DUMMYFUNCTION("""COMPUTED_VALUE"""),"Russia")</f>
        <v>Russia</v>
      </c>
      <c r="D674" s="6">
        <f>COUNTIFS('Raw Data Sales'!H674:H1672, LEFT(A674, FIND(" ",A674)-1), 'Raw Data Sales'!I674:I1672, MID(A674, FIND(" ",A674)+1, 100))</f>
        <v>1</v>
      </c>
      <c r="E674" s="6">
        <f>SUMIFS('Raw Data Sales'!M674:M1672, 'Raw Data Sales'!H674:H1672, LEFT(A674, FIND(" ",A674)-1), 'Raw Data Sales'!I674:I1672, MID(A674, FIND(" ",A674)+1, 100))</f>
        <v>44</v>
      </c>
      <c r="F674" s="6">
        <f>SUMIFS('Raw Data Sales'!N674:N1672, 'Raw Data Sales'!H674:H1672, LEFT(A674, FIND(" ",A674)-1), 'Raw Data Sales'!I674:I1672, MID(A674, FIND(" ",A674)+1, 100))</f>
        <v>622.38</v>
      </c>
    </row>
    <row r="675">
      <c r="A675" s="6" t="str">
        <f>IFERROR(__xludf.DUMMYFUNCTION("UNIQUE('Raw Data Sales'!H675:H1673 &amp; "" "" &amp; 'Raw Data Sales'!I675:I1673)"),"Kain Proudman")</f>
        <v>Kain Proudman</v>
      </c>
      <c r="B675" s="6" t="str">
        <f>IFERROR(__xludf.DUMMYFUNCTION("""COMPUTED_VALUE"""),"kproudmanip@si.edu")</f>
        <v>kproudmanip@si.edu</v>
      </c>
      <c r="C675" s="6" t="str">
        <f>IFERROR(__xludf.DUMMYFUNCTION("""COMPUTED_VALUE"""),"Ethiopia")</f>
        <v>Ethiopia</v>
      </c>
      <c r="D675" s="6">
        <f>COUNTIFS('Raw Data Sales'!H675:H1673, LEFT(A675, FIND(" ",A675)-1), 'Raw Data Sales'!I675:I1673, MID(A675, FIND(" ",A675)+1, 100))</f>
        <v>1</v>
      </c>
      <c r="E675" s="6">
        <f>SUMIFS('Raw Data Sales'!M675:M1673, 'Raw Data Sales'!H675:H1673, LEFT(A675, FIND(" ",A675)-1), 'Raw Data Sales'!I675:I1673, MID(A675, FIND(" ",A675)+1, 100))</f>
        <v>14</v>
      </c>
      <c r="F675" s="6">
        <f>SUMIFS('Raw Data Sales'!N675:N1673, 'Raw Data Sales'!H675:H1673, LEFT(A675, FIND(" ",A675)-1), 'Raw Data Sales'!I675:I1673, MID(A675, FIND(" ",A675)+1, 100))</f>
        <v>7356.76</v>
      </c>
    </row>
    <row r="676">
      <c r="A676" s="6" t="str">
        <f>IFERROR(__xludf.DUMMYFUNCTION("UNIQUE('Raw Data Sales'!H676:H1674 &amp; "" "" &amp; 'Raw Data Sales'!I676:I1674)"),"Krystal O'Rodane")</f>
        <v>Krystal O'Rodane</v>
      </c>
      <c r="B676" s="6" t="str">
        <f>IFERROR(__xludf.DUMMYFUNCTION("""COMPUTED_VALUE"""),"korodaneiq@dailymail.co.uk")</f>
        <v>korodaneiq@dailymail.co.uk</v>
      </c>
      <c r="C676" s="6" t="str">
        <f>IFERROR(__xludf.DUMMYFUNCTION("""COMPUTED_VALUE"""),"Ethiopia")</f>
        <v>Ethiopia</v>
      </c>
      <c r="D676" s="6">
        <f>COUNTIFS('Raw Data Sales'!H676:H1674, LEFT(A676, FIND(" ",A676)-1), 'Raw Data Sales'!I676:I1674, MID(A676, FIND(" ",A676)+1, 100))</f>
        <v>1</v>
      </c>
      <c r="E676" s="6">
        <f>SUMIFS('Raw Data Sales'!M676:M1674, 'Raw Data Sales'!H676:H1674, LEFT(A676, FIND(" ",A676)-1), 'Raw Data Sales'!I676:I1674, MID(A676, FIND(" ",A676)+1, 100))</f>
        <v>93</v>
      </c>
      <c r="F676" s="6">
        <f>SUMIFS('Raw Data Sales'!N676:N1674, 'Raw Data Sales'!H676:H1674, LEFT(A676, FIND(" ",A676)-1), 'Raw Data Sales'!I676:I1674, MID(A676, FIND(" ",A676)+1, 100))</f>
        <v>5972.11</v>
      </c>
    </row>
    <row r="677">
      <c r="A677" s="6" t="str">
        <f>IFERROR(__xludf.DUMMYFUNCTION("UNIQUE('Raw Data Sales'!H677:H1675 &amp; "" "" &amp; 'Raw Data Sales'!I677:I1675)"),"Chantal Atkirk")</f>
        <v>Chantal Atkirk</v>
      </c>
      <c r="B677" s="6" t="str">
        <f>IFERROR(__xludf.DUMMYFUNCTION("""COMPUTED_VALUE"""),"catkirkir@sakura.ne.jp")</f>
        <v>catkirkir@sakura.ne.jp</v>
      </c>
      <c r="C677" s="6" t="str">
        <f>IFERROR(__xludf.DUMMYFUNCTION("""COMPUTED_VALUE"""),"Brazil")</f>
        <v>Brazil</v>
      </c>
      <c r="D677" s="6">
        <f>COUNTIFS('Raw Data Sales'!H677:H1675, LEFT(A677, FIND(" ",A677)-1), 'Raw Data Sales'!I677:I1675, MID(A677, FIND(" ",A677)+1, 100))</f>
        <v>1</v>
      </c>
      <c r="E677" s="6">
        <f>SUMIFS('Raw Data Sales'!M677:M1675, 'Raw Data Sales'!H677:H1675, LEFT(A677, FIND(" ",A677)-1), 'Raw Data Sales'!I677:I1675, MID(A677, FIND(" ",A677)+1, 100))</f>
        <v>98</v>
      </c>
      <c r="F677" s="6">
        <f>SUMIFS('Raw Data Sales'!N677:N1675, 'Raw Data Sales'!H677:H1675, LEFT(A677, FIND(" ",A677)-1), 'Raw Data Sales'!I677:I1675, MID(A677, FIND(" ",A677)+1, 100))</f>
        <v>4313.15</v>
      </c>
    </row>
    <row r="678">
      <c r="A678" s="6" t="str">
        <f>IFERROR(__xludf.DUMMYFUNCTION("UNIQUE('Raw Data Sales'!H678:H1676 &amp; "" "" &amp; 'Raw Data Sales'!I678:I1676)"),"Leonhard Held")</f>
        <v>Leonhard Held</v>
      </c>
      <c r="B678" s="6" t="str">
        <f>IFERROR(__xludf.DUMMYFUNCTION("""COMPUTED_VALUE"""),"lheldis@shareasale.com")</f>
        <v>lheldis@shareasale.com</v>
      </c>
      <c r="C678" s="6" t="str">
        <f>IFERROR(__xludf.DUMMYFUNCTION("""COMPUTED_VALUE"""),"Indonesia")</f>
        <v>Indonesia</v>
      </c>
      <c r="D678" s="6">
        <f>COUNTIFS('Raw Data Sales'!H678:H1676, LEFT(A678, FIND(" ",A678)-1), 'Raw Data Sales'!I678:I1676, MID(A678, FIND(" ",A678)+1, 100))</f>
        <v>1</v>
      </c>
      <c r="E678" s="6">
        <f>SUMIFS('Raw Data Sales'!M678:M1676, 'Raw Data Sales'!H678:H1676, LEFT(A678, FIND(" ",A678)-1), 'Raw Data Sales'!I678:I1676, MID(A678, FIND(" ",A678)+1, 100))</f>
        <v>94</v>
      </c>
      <c r="F678" s="6">
        <f>SUMIFS('Raw Data Sales'!N678:N1676, 'Raw Data Sales'!H678:H1676, LEFT(A678, FIND(" ",A678)-1), 'Raw Data Sales'!I678:I1676, MID(A678, FIND(" ",A678)+1, 100))</f>
        <v>7342.88</v>
      </c>
    </row>
    <row r="679">
      <c r="A679" s="6" t="str">
        <f>IFERROR(__xludf.DUMMYFUNCTION("UNIQUE('Raw Data Sales'!H679:H1677 &amp; "" "" &amp; 'Raw Data Sales'!I679:I1677)"),"Essie Danilchev")</f>
        <v>Essie Danilchev</v>
      </c>
      <c r="B679" s="6" t="str">
        <f>IFERROR(__xludf.DUMMYFUNCTION("""COMPUTED_VALUE"""),"edanilchevit@microsoft.com")</f>
        <v>edanilchevit@microsoft.com</v>
      </c>
      <c r="C679" s="6" t="str">
        <f>IFERROR(__xludf.DUMMYFUNCTION("""COMPUTED_VALUE"""),"Russia")</f>
        <v>Russia</v>
      </c>
      <c r="D679" s="6">
        <f>COUNTIFS('Raw Data Sales'!H679:H1677, LEFT(A679, FIND(" ",A679)-1), 'Raw Data Sales'!I679:I1677, MID(A679, FIND(" ",A679)+1, 100))</f>
        <v>1</v>
      </c>
      <c r="E679" s="6">
        <f>SUMIFS('Raw Data Sales'!M679:M1677, 'Raw Data Sales'!H679:H1677, LEFT(A679, FIND(" ",A679)-1), 'Raw Data Sales'!I679:I1677, MID(A679, FIND(" ",A679)+1, 100))</f>
        <v>100</v>
      </c>
      <c r="F679" s="6">
        <f>SUMIFS('Raw Data Sales'!N679:N1677, 'Raw Data Sales'!H679:H1677, LEFT(A679, FIND(" ",A679)-1), 'Raw Data Sales'!I679:I1677, MID(A679, FIND(" ",A679)+1, 100))</f>
        <v>3305.18</v>
      </c>
    </row>
    <row r="680">
      <c r="A680" s="6" t="str">
        <f>IFERROR(__xludf.DUMMYFUNCTION("UNIQUE('Raw Data Sales'!H680:H1678 &amp; "" "" &amp; 'Raw Data Sales'!I680:I1678)"),"Roxanna Stickel")</f>
        <v>Roxanna Stickel</v>
      </c>
      <c r="B680" s="6" t="str">
        <f>IFERROR(__xludf.DUMMYFUNCTION("""COMPUTED_VALUE"""),"rstickeliu@redcross.org")</f>
        <v>rstickeliu@redcross.org</v>
      </c>
      <c r="C680" s="6" t="str">
        <f>IFERROR(__xludf.DUMMYFUNCTION("""COMPUTED_VALUE"""),"Indonesia")</f>
        <v>Indonesia</v>
      </c>
      <c r="D680" s="6">
        <f>COUNTIFS('Raw Data Sales'!H680:H1678, LEFT(A680, FIND(" ",A680)-1), 'Raw Data Sales'!I680:I1678, MID(A680, FIND(" ",A680)+1, 100))</f>
        <v>1</v>
      </c>
      <c r="E680" s="6">
        <f>SUMIFS('Raw Data Sales'!M680:M1678, 'Raw Data Sales'!H680:H1678, LEFT(A680, FIND(" ",A680)-1), 'Raw Data Sales'!I680:I1678, MID(A680, FIND(" ",A680)+1, 100))</f>
        <v>95</v>
      </c>
      <c r="F680" s="6">
        <f>SUMIFS('Raw Data Sales'!N680:N1678, 'Raw Data Sales'!H680:H1678, LEFT(A680, FIND(" ",A680)-1), 'Raw Data Sales'!I680:I1678, MID(A680, FIND(" ",A680)+1, 100))</f>
        <v>2891.29</v>
      </c>
    </row>
    <row r="681">
      <c r="A681" s="6" t="str">
        <f>IFERROR(__xludf.DUMMYFUNCTION("UNIQUE('Raw Data Sales'!H681:H1679 &amp; "" "" &amp; 'Raw Data Sales'!I681:I1679)"),"Donna Kittle")</f>
        <v>Donna Kittle</v>
      </c>
      <c r="B681" s="6" t="str">
        <f>IFERROR(__xludf.DUMMYFUNCTION("""COMPUTED_VALUE"""),"dkittleiv@newsvine.com")</f>
        <v>dkittleiv@newsvine.com</v>
      </c>
      <c r="C681" s="6" t="str">
        <f>IFERROR(__xludf.DUMMYFUNCTION("""COMPUTED_VALUE"""),"China")</f>
        <v>China</v>
      </c>
      <c r="D681" s="6">
        <f>COUNTIFS('Raw Data Sales'!H681:H1679, LEFT(A681, FIND(" ",A681)-1), 'Raw Data Sales'!I681:I1679, MID(A681, FIND(" ",A681)+1, 100))</f>
        <v>1</v>
      </c>
      <c r="E681" s="6">
        <f>SUMIFS('Raw Data Sales'!M681:M1679, 'Raw Data Sales'!H681:H1679, LEFT(A681, FIND(" ",A681)-1), 'Raw Data Sales'!I681:I1679, MID(A681, FIND(" ",A681)+1, 100))</f>
        <v>97</v>
      </c>
      <c r="F681" s="6">
        <f>SUMIFS('Raw Data Sales'!N681:N1679, 'Raw Data Sales'!H681:H1679, LEFT(A681, FIND(" ",A681)-1), 'Raw Data Sales'!I681:I1679, MID(A681, FIND(" ",A681)+1, 100))</f>
        <v>536.5</v>
      </c>
    </row>
    <row r="682">
      <c r="A682" s="6" t="str">
        <f>IFERROR(__xludf.DUMMYFUNCTION("UNIQUE('Raw Data Sales'!H682:H1680 &amp; "" "" &amp; 'Raw Data Sales'!I682:I1680)"),"Quinn Hissett")</f>
        <v>Quinn Hissett</v>
      </c>
      <c r="B682" s="6" t="str">
        <f>IFERROR(__xludf.DUMMYFUNCTION("""COMPUTED_VALUE"""),"qhissettiw@vkontakte.ru")</f>
        <v>qhissettiw@vkontakte.ru</v>
      </c>
      <c r="C682" s="6" t="str">
        <f>IFERROR(__xludf.DUMMYFUNCTION("""COMPUTED_VALUE"""),"Indonesia")</f>
        <v>Indonesia</v>
      </c>
      <c r="D682" s="6">
        <f>COUNTIFS('Raw Data Sales'!H682:H1680, LEFT(A682, FIND(" ",A682)-1), 'Raw Data Sales'!I682:I1680, MID(A682, FIND(" ",A682)+1, 100))</f>
        <v>1</v>
      </c>
      <c r="E682" s="6">
        <f>SUMIFS('Raw Data Sales'!M682:M1680, 'Raw Data Sales'!H682:H1680, LEFT(A682, FIND(" ",A682)-1), 'Raw Data Sales'!I682:I1680, MID(A682, FIND(" ",A682)+1, 100))</f>
        <v>51</v>
      </c>
      <c r="F682" s="6">
        <f>SUMIFS('Raw Data Sales'!N682:N1680, 'Raw Data Sales'!H682:H1680, LEFT(A682, FIND(" ",A682)-1), 'Raw Data Sales'!I682:I1680, MID(A682, FIND(" ",A682)+1, 100))</f>
        <v>1355.58</v>
      </c>
    </row>
    <row r="683">
      <c r="A683" s="6" t="str">
        <f>IFERROR(__xludf.DUMMYFUNCTION("UNIQUE('Raw Data Sales'!H683:H1681 &amp; "" "" &amp; 'Raw Data Sales'!I683:I1681)"),"Jay Loxdale")</f>
        <v>Jay Loxdale</v>
      </c>
      <c r="B683" s="6" t="str">
        <f>IFERROR(__xludf.DUMMYFUNCTION("""COMPUTED_VALUE"""),"jloxdaleix@indiatimes.com")</f>
        <v>jloxdaleix@indiatimes.com</v>
      </c>
      <c r="C683" s="6" t="str">
        <f>IFERROR(__xludf.DUMMYFUNCTION("""COMPUTED_VALUE"""),"Belarus")</f>
        <v>Belarus</v>
      </c>
      <c r="D683" s="6">
        <f>COUNTIFS('Raw Data Sales'!H683:H1681, LEFT(A683, FIND(" ",A683)-1), 'Raw Data Sales'!I683:I1681, MID(A683, FIND(" ",A683)+1, 100))</f>
        <v>1</v>
      </c>
      <c r="E683" s="6">
        <f>SUMIFS('Raw Data Sales'!M683:M1681, 'Raw Data Sales'!H683:H1681, LEFT(A683, FIND(" ",A683)-1), 'Raw Data Sales'!I683:I1681, MID(A683, FIND(" ",A683)+1, 100))</f>
        <v>3</v>
      </c>
      <c r="F683" s="6">
        <f>SUMIFS('Raw Data Sales'!N683:N1681, 'Raw Data Sales'!H683:H1681, LEFT(A683, FIND(" ",A683)-1), 'Raw Data Sales'!I683:I1681, MID(A683, FIND(" ",A683)+1, 100))</f>
        <v>7381.75</v>
      </c>
    </row>
    <row r="684">
      <c r="A684" s="6" t="str">
        <f>IFERROR(__xludf.DUMMYFUNCTION("UNIQUE('Raw Data Sales'!H684:H1682 &amp; "" "" &amp; 'Raw Data Sales'!I684:I1682)"),"Elton Freeland")</f>
        <v>Elton Freeland</v>
      </c>
      <c r="B684" s="6" t="str">
        <f>IFERROR(__xludf.DUMMYFUNCTION("""COMPUTED_VALUE"""),"efreelandiy@123-reg.co.uk")</f>
        <v>efreelandiy@123-reg.co.uk</v>
      </c>
      <c r="C684" s="6" t="str">
        <f>IFERROR(__xludf.DUMMYFUNCTION("""COMPUTED_VALUE"""),"Portugal")</f>
        <v>Portugal</v>
      </c>
      <c r="D684" s="6">
        <f>COUNTIFS('Raw Data Sales'!H684:H1682, LEFT(A684, FIND(" ",A684)-1), 'Raw Data Sales'!I684:I1682, MID(A684, FIND(" ",A684)+1, 100))</f>
        <v>1</v>
      </c>
      <c r="E684" s="6">
        <f>SUMIFS('Raw Data Sales'!M684:M1682, 'Raw Data Sales'!H684:H1682, LEFT(A684, FIND(" ",A684)-1), 'Raw Data Sales'!I684:I1682, MID(A684, FIND(" ",A684)+1, 100))</f>
        <v>45</v>
      </c>
      <c r="F684" s="6">
        <f>SUMIFS('Raw Data Sales'!N684:N1682, 'Raw Data Sales'!H684:H1682, LEFT(A684, FIND(" ",A684)-1), 'Raw Data Sales'!I684:I1682, MID(A684, FIND(" ",A684)+1, 100))</f>
        <v>3415.78</v>
      </c>
    </row>
    <row r="685">
      <c r="A685" s="6" t="str">
        <f>IFERROR(__xludf.DUMMYFUNCTION("UNIQUE('Raw Data Sales'!H685:H1683 &amp; "" "" &amp; 'Raw Data Sales'!I685:I1683)"),"Edmund Wason")</f>
        <v>Edmund Wason</v>
      </c>
      <c r="B685" s="6" t="str">
        <f>IFERROR(__xludf.DUMMYFUNCTION("""COMPUTED_VALUE"""),"ewasoniz@miitbeian.gov.cn")</f>
        <v>ewasoniz@miitbeian.gov.cn</v>
      </c>
      <c r="C685" s="6" t="str">
        <f>IFERROR(__xludf.DUMMYFUNCTION("""COMPUTED_VALUE"""),"Peru")</f>
        <v>Peru</v>
      </c>
      <c r="D685" s="6">
        <f>COUNTIFS('Raw Data Sales'!H685:H1683, LEFT(A685, FIND(" ",A685)-1), 'Raw Data Sales'!I685:I1683, MID(A685, FIND(" ",A685)+1, 100))</f>
        <v>1</v>
      </c>
      <c r="E685" s="6">
        <f>SUMIFS('Raw Data Sales'!M685:M1683, 'Raw Data Sales'!H685:H1683, LEFT(A685, FIND(" ",A685)-1), 'Raw Data Sales'!I685:I1683, MID(A685, FIND(" ",A685)+1, 100))</f>
        <v>89</v>
      </c>
      <c r="F685" s="6">
        <f>SUMIFS('Raw Data Sales'!N685:N1683, 'Raw Data Sales'!H685:H1683, LEFT(A685, FIND(" ",A685)-1), 'Raw Data Sales'!I685:I1683, MID(A685, FIND(" ",A685)+1, 100))</f>
        <v>6388.38</v>
      </c>
    </row>
    <row r="686">
      <c r="A686" s="6" t="str">
        <f>IFERROR(__xludf.DUMMYFUNCTION("UNIQUE('Raw Data Sales'!H686:H1684 &amp; "" "" &amp; 'Raw Data Sales'!I686:I1684)"),"Marthe Aneley")</f>
        <v>Marthe Aneley</v>
      </c>
      <c r="B686" s="6" t="str">
        <f>IFERROR(__xludf.DUMMYFUNCTION("""COMPUTED_VALUE"""),"maneleyj0@uiuc.edu")</f>
        <v>maneleyj0@uiuc.edu</v>
      </c>
      <c r="C686" s="6" t="str">
        <f>IFERROR(__xludf.DUMMYFUNCTION("""COMPUTED_VALUE"""),"Guinea-Bissau")</f>
        <v>Guinea-Bissau</v>
      </c>
      <c r="D686" s="6">
        <f>COUNTIFS('Raw Data Sales'!H686:H1684, LEFT(A686, FIND(" ",A686)-1), 'Raw Data Sales'!I686:I1684, MID(A686, FIND(" ",A686)+1, 100))</f>
        <v>1</v>
      </c>
      <c r="E686" s="6">
        <f>SUMIFS('Raw Data Sales'!M686:M1684, 'Raw Data Sales'!H686:H1684, LEFT(A686, FIND(" ",A686)-1), 'Raw Data Sales'!I686:I1684, MID(A686, FIND(" ",A686)+1, 100))</f>
        <v>10</v>
      </c>
      <c r="F686" s="6">
        <f>SUMIFS('Raw Data Sales'!N686:N1684, 'Raw Data Sales'!H686:H1684, LEFT(A686, FIND(" ",A686)-1), 'Raw Data Sales'!I686:I1684, MID(A686, FIND(" ",A686)+1, 100))</f>
        <v>2912.67</v>
      </c>
    </row>
    <row r="687">
      <c r="A687" s="6" t="str">
        <f>IFERROR(__xludf.DUMMYFUNCTION("UNIQUE('Raw Data Sales'!H687:H1685 &amp; "" "" &amp; 'Raw Data Sales'!I687:I1685)"),"Onida Siccombe")</f>
        <v>Onida Siccombe</v>
      </c>
      <c r="B687" s="6" t="str">
        <f>IFERROR(__xludf.DUMMYFUNCTION("""COMPUTED_VALUE"""),"osiccombej1@cnbc.com")</f>
        <v>osiccombej1@cnbc.com</v>
      </c>
      <c r="C687" s="6" t="str">
        <f>IFERROR(__xludf.DUMMYFUNCTION("""COMPUTED_VALUE"""),"Egypt")</f>
        <v>Egypt</v>
      </c>
      <c r="D687" s="6">
        <f>COUNTIFS('Raw Data Sales'!H687:H1685, LEFT(A687, FIND(" ",A687)-1), 'Raw Data Sales'!I687:I1685, MID(A687, FIND(" ",A687)+1, 100))</f>
        <v>1</v>
      </c>
      <c r="E687" s="6">
        <f>SUMIFS('Raw Data Sales'!M687:M1685, 'Raw Data Sales'!H687:H1685, LEFT(A687, FIND(" ",A687)-1), 'Raw Data Sales'!I687:I1685, MID(A687, FIND(" ",A687)+1, 100))</f>
        <v>16</v>
      </c>
      <c r="F687" s="6">
        <f>SUMIFS('Raw Data Sales'!N687:N1685, 'Raw Data Sales'!H687:H1685, LEFT(A687, FIND(" ",A687)-1), 'Raw Data Sales'!I687:I1685, MID(A687, FIND(" ",A687)+1, 100))</f>
        <v>6472.76</v>
      </c>
    </row>
    <row r="688">
      <c r="A688" s="6" t="str">
        <f>IFERROR(__xludf.DUMMYFUNCTION("UNIQUE('Raw Data Sales'!H688:H1686 &amp; "" "" &amp; 'Raw Data Sales'!I688:I1686)"),"Darill Vlahos")</f>
        <v>Darill Vlahos</v>
      </c>
      <c r="B688" s="6" t="str">
        <f>IFERROR(__xludf.DUMMYFUNCTION("""COMPUTED_VALUE"""),"dvlahosj2@shareasale.com")</f>
        <v>dvlahosj2@shareasale.com</v>
      </c>
      <c r="C688" s="6" t="str">
        <f>IFERROR(__xludf.DUMMYFUNCTION("""COMPUTED_VALUE"""),"France")</f>
        <v>France</v>
      </c>
      <c r="D688" s="6">
        <f>COUNTIFS('Raw Data Sales'!H688:H1686, LEFT(A688, FIND(" ",A688)-1), 'Raw Data Sales'!I688:I1686, MID(A688, FIND(" ",A688)+1, 100))</f>
        <v>1</v>
      </c>
      <c r="E688" s="6">
        <f>SUMIFS('Raw Data Sales'!M688:M1686, 'Raw Data Sales'!H688:H1686, LEFT(A688, FIND(" ",A688)-1), 'Raw Data Sales'!I688:I1686, MID(A688, FIND(" ",A688)+1, 100))</f>
        <v>40</v>
      </c>
      <c r="F688" s="6">
        <f>SUMIFS('Raw Data Sales'!N688:N1686, 'Raw Data Sales'!H688:H1686, LEFT(A688, FIND(" ",A688)-1), 'Raw Data Sales'!I688:I1686, MID(A688, FIND(" ",A688)+1, 100))</f>
        <v>6401.91</v>
      </c>
    </row>
    <row r="689">
      <c r="A689" s="6" t="str">
        <f>IFERROR(__xludf.DUMMYFUNCTION("UNIQUE('Raw Data Sales'!H689:H1687 &amp; "" "" &amp; 'Raw Data Sales'!I689:I1687)"),"Annemarie MacKimmie")</f>
        <v>Annemarie MacKimmie</v>
      </c>
      <c r="B689" s="6" t="str">
        <f>IFERROR(__xludf.DUMMYFUNCTION("""COMPUTED_VALUE"""),"amackimmiej3@wordpress.com")</f>
        <v>amackimmiej3@wordpress.com</v>
      </c>
      <c r="C689" s="6" t="str">
        <f>IFERROR(__xludf.DUMMYFUNCTION("""COMPUTED_VALUE"""),"Iran")</f>
        <v>Iran</v>
      </c>
      <c r="D689" s="6">
        <f>COUNTIFS('Raw Data Sales'!H689:H1687, LEFT(A689, FIND(" ",A689)-1), 'Raw Data Sales'!I689:I1687, MID(A689, FIND(" ",A689)+1, 100))</f>
        <v>1</v>
      </c>
      <c r="E689" s="6">
        <f>SUMIFS('Raw Data Sales'!M689:M1687, 'Raw Data Sales'!H689:H1687, LEFT(A689, FIND(" ",A689)-1), 'Raw Data Sales'!I689:I1687, MID(A689, FIND(" ",A689)+1, 100))</f>
        <v>88</v>
      </c>
      <c r="F689" s="6">
        <f>SUMIFS('Raw Data Sales'!N689:N1687, 'Raw Data Sales'!H689:H1687, LEFT(A689, FIND(" ",A689)-1), 'Raw Data Sales'!I689:I1687, MID(A689, FIND(" ",A689)+1, 100))</f>
        <v>2797.03</v>
      </c>
    </row>
    <row r="690">
      <c r="A690" s="6" t="str">
        <f>IFERROR(__xludf.DUMMYFUNCTION("UNIQUE('Raw Data Sales'!H690:H1688 &amp; "" "" &amp; 'Raw Data Sales'!I690:I1688)"),"Leann Stoop")</f>
        <v>Leann Stoop</v>
      </c>
      <c r="B690" s="6" t="str">
        <f>IFERROR(__xludf.DUMMYFUNCTION("""COMPUTED_VALUE"""),"lstoopj4@icq.com")</f>
        <v>lstoopj4@icq.com</v>
      </c>
      <c r="C690" s="6" t="str">
        <f>IFERROR(__xludf.DUMMYFUNCTION("""COMPUTED_VALUE"""),"Indonesia")</f>
        <v>Indonesia</v>
      </c>
      <c r="D690" s="6">
        <f>COUNTIFS('Raw Data Sales'!H690:H1688, LEFT(A690, FIND(" ",A690)-1), 'Raw Data Sales'!I690:I1688, MID(A690, FIND(" ",A690)+1, 100))</f>
        <v>1</v>
      </c>
      <c r="E690" s="6">
        <f>SUMIFS('Raw Data Sales'!M690:M1688, 'Raw Data Sales'!H690:H1688, LEFT(A690, FIND(" ",A690)-1), 'Raw Data Sales'!I690:I1688, MID(A690, FIND(" ",A690)+1, 100))</f>
        <v>81</v>
      </c>
      <c r="F690" s="6">
        <f>SUMIFS('Raw Data Sales'!N690:N1688, 'Raw Data Sales'!H690:H1688, LEFT(A690, FIND(" ",A690)-1), 'Raw Data Sales'!I690:I1688, MID(A690, FIND(" ",A690)+1, 100))</f>
        <v>2691.97</v>
      </c>
    </row>
    <row r="691">
      <c r="A691" s="6" t="str">
        <f>IFERROR(__xludf.DUMMYFUNCTION("UNIQUE('Raw Data Sales'!H691:H1689 &amp; "" "" &amp; 'Raw Data Sales'!I691:I1689)"),"Daryl Senyard")</f>
        <v>Daryl Senyard</v>
      </c>
      <c r="B691" s="6" t="str">
        <f>IFERROR(__xludf.DUMMYFUNCTION("""COMPUTED_VALUE"""),"dsenyardj5@aboutads.info")</f>
        <v>dsenyardj5@aboutads.info</v>
      </c>
      <c r="C691" s="6" t="str">
        <f>IFERROR(__xludf.DUMMYFUNCTION("""COMPUTED_VALUE"""),"Indonesia")</f>
        <v>Indonesia</v>
      </c>
      <c r="D691" s="6">
        <f>COUNTIFS('Raw Data Sales'!H691:H1689, LEFT(A691, FIND(" ",A691)-1), 'Raw Data Sales'!I691:I1689, MID(A691, FIND(" ",A691)+1, 100))</f>
        <v>1</v>
      </c>
      <c r="E691" s="6">
        <f>SUMIFS('Raw Data Sales'!M691:M1689, 'Raw Data Sales'!H691:H1689, LEFT(A691, FIND(" ",A691)-1), 'Raw Data Sales'!I691:I1689, MID(A691, FIND(" ",A691)+1, 100))</f>
        <v>49</v>
      </c>
      <c r="F691" s="6">
        <f>SUMIFS('Raw Data Sales'!N691:N1689, 'Raw Data Sales'!H691:H1689, LEFT(A691, FIND(" ",A691)-1), 'Raw Data Sales'!I691:I1689, MID(A691, FIND(" ",A691)+1, 100))</f>
        <v>9797.36</v>
      </c>
    </row>
    <row r="692">
      <c r="A692" s="6" t="str">
        <f>IFERROR(__xludf.DUMMYFUNCTION("UNIQUE('Raw Data Sales'!H692:H1690 &amp; "" "" &amp; 'Raw Data Sales'!I692:I1690)"),"Corey Helbeck")</f>
        <v>Corey Helbeck</v>
      </c>
      <c r="B692" s="6" t="str">
        <f>IFERROR(__xludf.DUMMYFUNCTION("""COMPUTED_VALUE"""),"chelbeckj6@sourceforge.net")</f>
        <v>chelbeckj6@sourceforge.net</v>
      </c>
      <c r="C692" s="6" t="str">
        <f>IFERROR(__xludf.DUMMYFUNCTION("""COMPUTED_VALUE"""),"Russia")</f>
        <v>Russia</v>
      </c>
      <c r="D692" s="6">
        <f>COUNTIFS('Raw Data Sales'!H692:H1690, LEFT(A692, FIND(" ",A692)-1), 'Raw Data Sales'!I692:I1690, MID(A692, FIND(" ",A692)+1, 100))</f>
        <v>1</v>
      </c>
      <c r="E692" s="6">
        <f>SUMIFS('Raw Data Sales'!M692:M1690, 'Raw Data Sales'!H692:H1690, LEFT(A692, FIND(" ",A692)-1), 'Raw Data Sales'!I692:I1690, MID(A692, FIND(" ",A692)+1, 100))</f>
        <v>51</v>
      </c>
      <c r="F692" s="6">
        <f>SUMIFS('Raw Data Sales'!N692:N1690, 'Raw Data Sales'!H692:H1690, LEFT(A692, FIND(" ",A692)-1), 'Raw Data Sales'!I692:I1690, MID(A692, FIND(" ",A692)+1, 100))</f>
        <v>5956.89</v>
      </c>
    </row>
    <row r="693">
      <c r="A693" s="6" t="str">
        <f>IFERROR(__xludf.DUMMYFUNCTION("UNIQUE('Raw Data Sales'!H693:H1691 &amp; "" "" &amp; 'Raw Data Sales'!I693:I1691)"),"Emory Gregori")</f>
        <v>Emory Gregori</v>
      </c>
      <c r="B693" s="6" t="str">
        <f>IFERROR(__xludf.DUMMYFUNCTION("""COMPUTED_VALUE"""),"egregorij7@tinypic.com")</f>
        <v>egregorij7@tinypic.com</v>
      </c>
      <c r="C693" s="6" t="str">
        <f>IFERROR(__xludf.DUMMYFUNCTION("""COMPUTED_VALUE"""),"Ireland")</f>
        <v>Ireland</v>
      </c>
      <c r="D693" s="6">
        <f>COUNTIFS('Raw Data Sales'!H693:H1691, LEFT(A693, FIND(" ",A693)-1), 'Raw Data Sales'!I693:I1691, MID(A693, FIND(" ",A693)+1, 100))</f>
        <v>1</v>
      </c>
      <c r="E693" s="6">
        <f>SUMIFS('Raw Data Sales'!M693:M1691, 'Raw Data Sales'!H693:H1691, LEFT(A693, FIND(" ",A693)-1), 'Raw Data Sales'!I693:I1691, MID(A693, FIND(" ",A693)+1, 100))</f>
        <v>76</v>
      </c>
      <c r="F693" s="6">
        <f>SUMIFS('Raw Data Sales'!N693:N1691, 'Raw Data Sales'!H693:H1691, LEFT(A693, FIND(" ",A693)-1), 'Raw Data Sales'!I693:I1691, MID(A693, FIND(" ",A693)+1, 100))</f>
        <v>7677.94</v>
      </c>
    </row>
    <row r="694">
      <c r="A694" s="6" t="str">
        <f>IFERROR(__xludf.DUMMYFUNCTION("UNIQUE('Raw Data Sales'!H694:H1692 &amp; "" "" &amp; 'Raw Data Sales'!I694:I1692)"),"Cissy Fairy")</f>
        <v>Cissy Fairy</v>
      </c>
      <c r="B694" s="6" t="str">
        <f>IFERROR(__xludf.DUMMYFUNCTION("""COMPUTED_VALUE"""),"cfairyj8@ycombinator.com")</f>
        <v>cfairyj8@ycombinator.com</v>
      </c>
      <c r="C694" s="6" t="str">
        <f>IFERROR(__xludf.DUMMYFUNCTION("""COMPUTED_VALUE"""),"Japan")</f>
        <v>Japan</v>
      </c>
      <c r="D694" s="6">
        <f>COUNTIFS('Raw Data Sales'!H694:H1692, LEFT(A694, FIND(" ",A694)-1), 'Raw Data Sales'!I694:I1692, MID(A694, FIND(" ",A694)+1, 100))</f>
        <v>1</v>
      </c>
      <c r="E694" s="6">
        <f>SUMIFS('Raw Data Sales'!M694:M1692, 'Raw Data Sales'!H694:H1692, LEFT(A694, FIND(" ",A694)-1), 'Raw Data Sales'!I694:I1692, MID(A694, FIND(" ",A694)+1, 100))</f>
        <v>94</v>
      </c>
      <c r="F694" s="6">
        <f>SUMIFS('Raw Data Sales'!N694:N1692, 'Raw Data Sales'!H694:H1692, LEFT(A694, FIND(" ",A694)-1), 'Raw Data Sales'!I694:I1692, MID(A694, FIND(" ",A694)+1, 100))</f>
        <v>8850.69</v>
      </c>
    </row>
    <row r="695">
      <c r="A695" s="6" t="str">
        <f>IFERROR(__xludf.DUMMYFUNCTION("UNIQUE('Raw Data Sales'!H695:H1693 &amp; "" "" &amp; 'Raw Data Sales'!I695:I1693)"),"Sander Garment")</f>
        <v>Sander Garment</v>
      </c>
      <c r="B695" s="6" t="str">
        <f>IFERROR(__xludf.DUMMYFUNCTION("""COMPUTED_VALUE"""),"sgarmentj9@eventbrite.com")</f>
        <v>sgarmentj9@eventbrite.com</v>
      </c>
      <c r="C695" s="6" t="str">
        <f>IFERROR(__xludf.DUMMYFUNCTION("""COMPUTED_VALUE"""),"China")</f>
        <v>China</v>
      </c>
      <c r="D695" s="6">
        <f>COUNTIFS('Raw Data Sales'!H695:H1693, LEFT(A695, FIND(" ",A695)-1), 'Raw Data Sales'!I695:I1693, MID(A695, FIND(" ",A695)+1, 100))</f>
        <v>1</v>
      </c>
      <c r="E695" s="6">
        <f>SUMIFS('Raw Data Sales'!M695:M1693, 'Raw Data Sales'!H695:H1693, LEFT(A695, FIND(" ",A695)-1), 'Raw Data Sales'!I695:I1693, MID(A695, FIND(" ",A695)+1, 100))</f>
        <v>68</v>
      </c>
      <c r="F695" s="6">
        <f>SUMIFS('Raw Data Sales'!N695:N1693, 'Raw Data Sales'!H695:H1693, LEFT(A695, FIND(" ",A695)-1), 'Raw Data Sales'!I695:I1693, MID(A695, FIND(" ",A695)+1, 100))</f>
        <v>1014.12</v>
      </c>
    </row>
    <row r="696">
      <c r="A696" s="6" t="str">
        <f>IFERROR(__xludf.DUMMYFUNCTION("UNIQUE('Raw Data Sales'!H696:H1694 &amp; "" "" &amp; 'Raw Data Sales'!I696:I1694)"),"Robinia Summerrell")</f>
        <v>Robinia Summerrell</v>
      </c>
      <c r="B696" s="6" t="str">
        <f>IFERROR(__xludf.DUMMYFUNCTION("""COMPUTED_VALUE"""),"rsummerrellja@51.la")</f>
        <v>rsummerrellja@51.la</v>
      </c>
      <c r="C696" s="6" t="str">
        <f>IFERROR(__xludf.DUMMYFUNCTION("""COMPUTED_VALUE"""),"Brazil")</f>
        <v>Brazil</v>
      </c>
      <c r="D696" s="6">
        <f>COUNTIFS('Raw Data Sales'!H696:H1694, LEFT(A696, FIND(" ",A696)-1), 'Raw Data Sales'!I696:I1694, MID(A696, FIND(" ",A696)+1, 100))</f>
        <v>1</v>
      </c>
      <c r="E696" s="6">
        <f>SUMIFS('Raw Data Sales'!M696:M1694, 'Raw Data Sales'!H696:H1694, LEFT(A696, FIND(" ",A696)-1), 'Raw Data Sales'!I696:I1694, MID(A696, FIND(" ",A696)+1, 100))</f>
        <v>29</v>
      </c>
      <c r="F696" s="6">
        <f>SUMIFS('Raw Data Sales'!N696:N1694, 'Raw Data Sales'!H696:H1694, LEFT(A696, FIND(" ",A696)-1), 'Raw Data Sales'!I696:I1694, MID(A696, FIND(" ",A696)+1, 100))</f>
        <v>2096.1</v>
      </c>
    </row>
    <row r="697">
      <c r="A697" s="6" t="str">
        <f>IFERROR(__xludf.DUMMYFUNCTION("UNIQUE('Raw Data Sales'!H697:H1695 &amp; "" "" &amp; 'Raw Data Sales'!I697:I1695)"),"Gayleen Midlane")</f>
        <v>Gayleen Midlane</v>
      </c>
      <c r="B697" s="6" t="str">
        <f>IFERROR(__xludf.DUMMYFUNCTION("""COMPUTED_VALUE"""),"gmidlanejb@freewebs.com")</f>
        <v>gmidlanejb@freewebs.com</v>
      </c>
      <c r="C697" s="6" t="str">
        <f>IFERROR(__xludf.DUMMYFUNCTION("""COMPUTED_VALUE"""),"Russia")</f>
        <v>Russia</v>
      </c>
      <c r="D697" s="6">
        <f>COUNTIFS('Raw Data Sales'!H697:H1695, LEFT(A697, FIND(" ",A697)-1), 'Raw Data Sales'!I697:I1695, MID(A697, FIND(" ",A697)+1, 100))</f>
        <v>1</v>
      </c>
      <c r="E697" s="6">
        <f>SUMIFS('Raw Data Sales'!M697:M1695, 'Raw Data Sales'!H697:H1695, LEFT(A697, FIND(" ",A697)-1), 'Raw Data Sales'!I697:I1695, MID(A697, FIND(" ",A697)+1, 100))</f>
        <v>74</v>
      </c>
      <c r="F697" s="6">
        <f>SUMIFS('Raw Data Sales'!N697:N1695, 'Raw Data Sales'!H697:H1695, LEFT(A697, FIND(" ",A697)-1), 'Raw Data Sales'!I697:I1695, MID(A697, FIND(" ",A697)+1, 100))</f>
        <v>1877.37</v>
      </c>
    </row>
    <row r="698">
      <c r="A698" s="6" t="str">
        <f>IFERROR(__xludf.DUMMYFUNCTION("UNIQUE('Raw Data Sales'!H698:H1696 &amp; "" "" &amp; 'Raw Data Sales'!I698:I1696)"),"Kathye Stark")</f>
        <v>Kathye Stark</v>
      </c>
      <c r="B698" s="6" t="str">
        <f>IFERROR(__xludf.DUMMYFUNCTION("""COMPUTED_VALUE"""),"kstarkjc@hao123.com")</f>
        <v>kstarkjc@hao123.com</v>
      </c>
      <c r="C698" s="6" t="str">
        <f>IFERROR(__xludf.DUMMYFUNCTION("""COMPUTED_VALUE"""),"China")</f>
        <v>China</v>
      </c>
      <c r="D698" s="6">
        <f>COUNTIFS('Raw Data Sales'!H698:H1696, LEFT(A698, FIND(" ",A698)-1), 'Raw Data Sales'!I698:I1696, MID(A698, FIND(" ",A698)+1, 100))</f>
        <v>1</v>
      </c>
      <c r="E698" s="6">
        <f>SUMIFS('Raw Data Sales'!M698:M1696, 'Raw Data Sales'!H698:H1696, LEFT(A698, FIND(" ",A698)-1), 'Raw Data Sales'!I698:I1696, MID(A698, FIND(" ",A698)+1, 100))</f>
        <v>37</v>
      </c>
      <c r="F698" s="6">
        <f>SUMIFS('Raw Data Sales'!N698:N1696, 'Raw Data Sales'!H698:H1696, LEFT(A698, FIND(" ",A698)-1), 'Raw Data Sales'!I698:I1696, MID(A698, FIND(" ",A698)+1, 100))</f>
        <v>2965.91</v>
      </c>
    </row>
    <row r="699">
      <c r="A699" s="6" t="str">
        <f>IFERROR(__xludf.DUMMYFUNCTION("UNIQUE('Raw Data Sales'!H699:H1697 &amp; "" "" &amp; 'Raw Data Sales'!I699:I1697)"),"Fair Camsey")</f>
        <v>Fair Camsey</v>
      </c>
      <c r="B699" s="6" t="str">
        <f>IFERROR(__xludf.DUMMYFUNCTION("""COMPUTED_VALUE"""),"fcamseyjd@mediafire.com")</f>
        <v>fcamseyjd@mediafire.com</v>
      </c>
      <c r="C699" s="6" t="str">
        <f>IFERROR(__xludf.DUMMYFUNCTION("""COMPUTED_VALUE"""),"Mexico")</f>
        <v>Mexico</v>
      </c>
      <c r="D699" s="6">
        <f>COUNTIFS('Raw Data Sales'!H699:H1697, LEFT(A699, FIND(" ",A699)-1), 'Raw Data Sales'!I699:I1697, MID(A699, FIND(" ",A699)+1, 100))</f>
        <v>1</v>
      </c>
      <c r="E699" s="6">
        <f>SUMIFS('Raw Data Sales'!M699:M1697, 'Raw Data Sales'!H699:H1697, LEFT(A699, FIND(" ",A699)-1), 'Raw Data Sales'!I699:I1697, MID(A699, FIND(" ",A699)+1, 100))</f>
        <v>26</v>
      </c>
      <c r="F699" s="6">
        <f>SUMIFS('Raw Data Sales'!N699:N1697, 'Raw Data Sales'!H699:H1697, LEFT(A699, FIND(" ",A699)-1), 'Raw Data Sales'!I699:I1697, MID(A699, FIND(" ",A699)+1, 100))</f>
        <v>4685.28</v>
      </c>
    </row>
    <row r="700">
      <c r="A700" s="6" t="str">
        <f>IFERROR(__xludf.DUMMYFUNCTION("UNIQUE('Raw Data Sales'!H700:H1698 &amp; "" "" &amp; 'Raw Data Sales'!I700:I1698)"),"Kyle Bramley")</f>
        <v>Kyle Bramley</v>
      </c>
      <c r="B700" s="6" t="str">
        <f>IFERROR(__xludf.DUMMYFUNCTION("""COMPUTED_VALUE"""),"kbramleyje@stumbleupon.com")</f>
        <v>kbramleyje@stumbleupon.com</v>
      </c>
      <c r="C700" s="6" t="str">
        <f>IFERROR(__xludf.DUMMYFUNCTION("""COMPUTED_VALUE"""),"China")</f>
        <v>China</v>
      </c>
      <c r="D700" s="6">
        <f>COUNTIFS('Raw Data Sales'!H700:H1698, LEFT(A700, FIND(" ",A700)-1), 'Raw Data Sales'!I700:I1698, MID(A700, FIND(" ",A700)+1, 100))</f>
        <v>1</v>
      </c>
      <c r="E700" s="6">
        <f>SUMIFS('Raw Data Sales'!M700:M1698, 'Raw Data Sales'!H700:H1698, LEFT(A700, FIND(" ",A700)-1), 'Raw Data Sales'!I700:I1698, MID(A700, FIND(" ",A700)+1, 100))</f>
        <v>20</v>
      </c>
      <c r="F700" s="6">
        <f>SUMIFS('Raw Data Sales'!N700:N1698, 'Raw Data Sales'!H700:H1698, LEFT(A700, FIND(" ",A700)-1), 'Raw Data Sales'!I700:I1698, MID(A700, FIND(" ",A700)+1, 100))</f>
        <v>2460.22</v>
      </c>
    </row>
    <row r="701">
      <c r="A701" s="6" t="str">
        <f>IFERROR(__xludf.DUMMYFUNCTION("UNIQUE('Raw Data Sales'!H701:H1699 &amp; "" "" &amp; 'Raw Data Sales'!I701:I1699)"),"Sayre Girt")</f>
        <v>Sayre Girt</v>
      </c>
      <c r="B701" s="6" t="str">
        <f>IFERROR(__xludf.DUMMYFUNCTION("""COMPUTED_VALUE"""),"sgirtjf@purevolume.com")</f>
        <v>sgirtjf@purevolume.com</v>
      </c>
      <c r="C701" s="6" t="str">
        <f>IFERROR(__xludf.DUMMYFUNCTION("""COMPUTED_VALUE"""),"China")</f>
        <v>China</v>
      </c>
      <c r="D701" s="6">
        <f>COUNTIFS('Raw Data Sales'!H701:H1699, LEFT(A701, FIND(" ",A701)-1), 'Raw Data Sales'!I701:I1699, MID(A701, FIND(" ",A701)+1, 100))</f>
        <v>1</v>
      </c>
      <c r="E701" s="6">
        <f>SUMIFS('Raw Data Sales'!M701:M1699, 'Raw Data Sales'!H701:H1699, LEFT(A701, FIND(" ",A701)-1), 'Raw Data Sales'!I701:I1699, MID(A701, FIND(" ",A701)+1, 100))</f>
        <v>35</v>
      </c>
      <c r="F701" s="6">
        <f>SUMIFS('Raw Data Sales'!N701:N1699, 'Raw Data Sales'!H701:H1699, LEFT(A701, FIND(" ",A701)-1), 'Raw Data Sales'!I701:I1699, MID(A701, FIND(" ",A701)+1, 100))</f>
        <v>1272.27</v>
      </c>
    </row>
    <row r="702">
      <c r="A702" s="6" t="str">
        <f>IFERROR(__xludf.DUMMYFUNCTION("UNIQUE('Raw Data Sales'!H702:H1700 &amp; "" "" &amp; 'Raw Data Sales'!I702:I1700)"),"Herbie Collister")</f>
        <v>Herbie Collister</v>
      </c>
      <c r="B702" s="6" t="str">
        <f>IFERROR(__xludf.DUMMYFUNCTION("""COMPUTED_VALUE"""),"hcollisterjg@360.cn")</f>
        <v>hcollisterjg@360.cn</v>
      </c>
      <c r="C702" s="6" t="str">
        <f>IFERROR(__xludf.DUMMYFUNCTION("""COMPUTED_VALUE"""),"Sweden")</f>
        <v>Sweden</v>
      </c>
      <c r="D702" s="6">
        <f>COUNTIFS('Raw Data Sales'!H702:H1700, LEFT(A702, FIND(" ",A702)-1), 'Raw Data Sales'!I702:I1700, MID(A702, FIND(" ",A702)+1, 100))</f>
        <v>1</v>
      </c>
      <c r="E702" s="6">
        <f>SUMIFS('Raw Data Sales'!M702:M1700, 'Raw Data Sales'!H702:H1700, LEFT(A702, FIND(" ",A702)-1), 'Raw Data Sales'!I702:I1700, MID(A702, FIND(" ",A702)+1, 100))</f>
        <v>46</v>
      </c>
      <c r="F702" s="6">
        <f>SUMIFS('Raw Data Sales'!N702:N1700, 'Raw Data Sales'!H702:H1700, LEFT(A702, FIND(" ",A702)-1), 'Raw Data Sales'!I702:I1700, MID(A702, FIND(" ",A702)+1, 100))</f>
        <v>8533.16</v>
      </c>
    </row>
    <row r="703">
      <c r="A703" s="6" t="str">
        <f>IFERROR(__xludf.DUMMYFUNCTION("UNIQUE('Raw Data Sales'!H703:H1701 &amp; "" "" &amp; 'Raw Data Sales'!I703:I1701)"),"Dale Hollingsby")</f>
        <v>Dale Hollingsby</v>
      </c>
      <c r="B703" s="6" t="str">
        <f>IFERROR(__xludf.DUMMYFUNCTION("""COMPUTED_VALUE"""),"dhollingsbyjh@miitbeian.gov.cn")</f>
        <v>dhollingsbyjh@miitbeian.gov.cn</v>
      </c>
      <c r="C703" s="6" t="str">
        <f>IFERROR(__xludf.DUMMYFUNCTION("""COMPUTED_VALUE"""),"Japan")</f>
        <v>Japan</v>
      </c>
      <c r="D703" s="6">
        <f>COUNTIFS('Raw Data Sales'!H703:H1701, LEFT(A703, FIND(" ",A703)-1), 'Raw Data Sales'!I703:I1701, MID(A703, FIND(" ",A703)+1, 100))</f>
        <v>1</v>
      </c>
      <c r="E703" s="6">
        <f>SUMIFS('Raw Data Sales'!M703:M1701, 'Raw Data Sales'!H703:H1701, LEFT(A703, FIND(" ",A703)-1), 'Raw Data Sales'!I703:I1701, MID(A703, FIND(" ",A703)+1, 100))</f>
        <v>42</v>
      </c>
      <c r="F703" s="6">
        <f>SUMIFS('Raw Data Sales'!N703:N1701, 'Raw Data Sales'!H703:H1701, LEFT(A703, FIND(" ",A703)-1), 'Raw Data Sales'!I703:I1701, MID(A703, FIND(" ",A703)+1, 100))</f>
        <v>5405</v>
      </c>
    </row>
    <row r="704">
      <c r="A704" s="6" t="str">
        <f>IFERROR(__xludf.DUMMYFUNCTION("UNIQUE('Raw Data Sales'!H704:H1702 &amp; "" "" &amp; 'Raw Data Sales'!I704:I1702)"),"Bili D'Ambrogi")</f>
        <v>Bili D'Ambrogi</v>
      </c>
      <c r="B704" s="6" t="str">
        <f>IFERROR(__xludf.DUMMYFUNCTION("""COMPUTED_VALUE"""),"bdambrogiji@biglobe.ne.jp")</f>
        <v>bdambrogiji@biglobe.ne.jp</v>
      </c>
      <c r="C704" s="6" t="str">
        <f>IFERROR(__xludf.DUMMYFUNCTION("""COMPUTED_VALUE"""),"Indonesia")</f>
        <v>Indonesia</v>
      </c>
      <c r="D704" s="6">
        <f>COUNTIFS('Raw Data Sales'!H704:H1702, LEFT(A704, FIND(" ",A704)-1), 'Raw Data Sales'!I704:I1702, MID(A704, FIND(" ",A704)+1, 100))</f>
        <v>1</v>
      </c>
      <c r="E704" s="6">
        <f>SUMIFS('Raw Data Sales'!M704:M1702, 'Raw Data Sales'!H704:H1702, LEFT(A704, FIND(" ",A704)-1), 'Raw Data Sales'!I704:I1702, MID(A704, FIND(" ",A704)+1, 100))</f>
        <v>9</v>
      </c>
      <c r="F704" s="6">
        <f>SUMIFS('Raw Data Sales'!N704:N1702, 'Raw Data Sales'!H704:H1702, LEFT(A704, FIND(" ",A704)-1), 'Raw Data Sales'!I704:I1702, MID(A704, FIND(" ",A704)+1, 100))</f>
        <v>9605</v>
      </c>
    </row>
    <row r="705">
      <c r="A705" s="6" t="str">
        <f>IFERROR(__xludf.DUMMYFUNCTION("UNIQUE('Raw Data Sales'!H705:H1703 &amp; "" "" &amp; 'Raw Data Sales'!I705:I1703)"),"Clarette Bretherton")</f>
        <v>Clarette Bretherton</v>
      </c>
      <c r="B705" s="6" t="str">
        <f>IFERROR(__xludf.DUMMYFUNCTION("""COMPUTED_VALUE"""),"cbrethertonjj@time.com")</f>
        <v>cbrethertonjj@time.com</v>
      </c>
      <c r="C705" s="6" t="str">
        <f>IFERROR(__xludf.DUMMYFUNCTION("""COMPUTED_VALUE"""),"China")</f>
        <v>China</v>
      </c>
      <c r="D705" s="6">
        <f>COUNTIFS('Raw Data Sales'!H705:H1703, LEFT(A705, FIND(" ",A705)-1), 'Raw Data Sales'!I705:I1703, MID(A705, FIND(" ",A705)+1, 100))</f>
        <v>1</v>
      </c>
      <c r="E705" s="6">
        <f>SUMIFS('Raw Data Sales'!M705:M1703, 'Raw Data Sales'!H705:H1703, LEFT(A705, FIND(" ",A705)-1), 'Raw Data Sales'!I705:I1703, MID(A705, FIND(" ",A705)+1, 100))</f>
        <v>50</v>
      </c>
      <c r="F705" s="6">
        <f>SUMIFS('Raw Data Sales'!N705:N1703, 'Raw Data Sales'!H705:H1703, LEFT(A705, FIND(" ",A705)-1), 'Raw Data Sales'!I705:I1703, MID(A705, FIND(" ",A705)+1, 100))</f>
        <v>7943.59</v>
      </c>
    </row>
    <row r="706">
      <c r="A706" s="6" t="str">
        <f>IFERROR(__xludf.DUMMYFUNCTION("UNIQUE('Raw Data Sales'!H706:H1704 &amp; "" "" &amp; 'Raw Data Sales'!I706:I1704)"),"Griselda Skeats")</f>
        <v>Griselda Skeats</v>
      </c>
      <c r="B706" s="6" t="str">
        <f>IFERROR(__xludf.DUMMYFUNCTION("""COMPUTED_VALUE"""),"gskeatsjk@tinyurl.com")</f>
        <v>gskeatsjk@tinyurl.com</v>
      </c>
      <c r="C706" s="6" t="str">
        <f>IFERROR(__xludf.DUMMYFUNCTION("""COMPUTED_VALUE"""),"United Kingdom")</f>
        <v>United Kingdom</v>
      </c>
      <c r="D706" s="6">
        <f>COUNTIFS('Raw Data Sales'!H706:H1704, LEFT(A706, FIND(" ",A706)-1), 'Raw Data Sales'!I706:I1704, MID(A706, FIND(" ",A706)+1, 100))</f>
        <v>1</v>
      </c>
      <c r="E706" s="6">
        <f>SUMIFS('Raw Data Sales'!M706:M1704, 'Raw Data Sales'!H706:H1704, LEFT(A706, FIND(" ",A706)-1), 'Raw Data Sales'!I706:I1704, MID(A706, FIND(" ",A706)+1, 100))</f>
        <v>48</v>
      </c>
      <c r="F706" s="6">
        <f>SUMIFS('Raw Data Sales'!N706:N1704, 'Raw Data Sales'!H706:H1704, LEFT(A706, FIND(" ",A706)-1), 'Raw Data Sales'!I706:I1704, MID(A706, FIND(" ",A706)+1, 100))</f>
        <v>8324.74</v>
      </c>
    </row>
    <row r="707">
      <c r="A707" s="6" t="str">
        <f>IFERROR(__xludf.DUMMYFUNCTION("UNIQUE('Raw Data Sales'!H707:H1705 &amp; "" "" &amp; 'Raw Data Sales'!I707:I1705)"),"Burton Yashaev")</f>
        <v>Burton Yashaev</v>
      </c>
      <c r="B707" s="6" t="str">
        <f>IFERROR(__xludf.DUMMYFUNCTION("""COMPUTED_VALUE"""),"byashaevjl@ameblo.jp")</f>
        <v>byashaevjl@ameblo.jp</v>
      </c>
      <c r="C707" s="6" t="str">
        <f>IFERROR(__xludf.DUMMYFUNCTION("""COMPUTED_VALUE"""),"Philippines")</f>
        <v>Philippines</v>
      </c>
      <c r="D707" s="6">
        <f>COUNTIFS('Raw Data Sales'!H707:H1705, LEFT(A707, FIND(" ",A707)-1), 'Raw Data Sales'!I707:I1705, MID(A707, FIND(" ",A707)+1, 100))</f>
        <v>1</v>
      </c>
      <c r="E707" s="6">
        <f>SUMIFS('Raw Data Sales'!M707:M1705, 'Raw Data Sales'!H707:H1705, LEFT(A707, FIND(" ",A707)-1), 'Raw Data Sales'!I707:I1705, MID(A707, FIND(" ",A707)+1, 100))</f>
        <v>85</v>
      </c>
      <c r="F707" s="6">
        <f>SUMIFS('Raw Data Sales'!N707:N1705, 'Raw Data Sales'!H707:H1705, LEFT(A707, FIND(" ",A707)-1), 'Raw Data Sales'!I707:I1705, MID(A707, FIND(" ",A707)+1, 100))</f>
        <v>7533.04</v>
      </c>
    </row>
    <row r="708">
      <c r="A708" s="6" t="str">
        <f>IFERROR(__xludf.DUMMYFUNCTION("UNIQUE('Raw Data Sales'!H708:H1706 &amp; "" "" &amp; 'Raw Data Sales'!I708:I1706)"),"Janel Duckers")</f>
        <v>Janel Duckers</v>
      </c>
      <c r="B708" s="6" t="str">
        <f>IFERROR(__xludf.DUMMYFUNCTION("""COMPUTED_VALUE"""),"jduckersjm@sourceforge.net")</f>
        <v>jduckersjm@sourceforge.net</v>
      </c>
      <c r="C708" s="6" t="str">
        <f>IFERROR(__xludf.DUMMYFUNCTION("""COMPUTED_VALUE"""),"China")</f>
        <v>China</v>
      </c>
      <c r="D708" s="6">
        <f>COUNTIFS('Raw Data Sales'!H708:H1706, LEFT(A708, FIND(" ",A708)-1), 'Raw Data Sales'!I708:I1706, MID(A708, FIND(" ",A708)+1, 100))</f>
        <v>1</v>
      </c>
      <c r="E708" s="6">
        <f>SUMIFS('Raw Data Sales'!M708:M1706, 'Raw Data Sales'!H708:H1706, LEFT(A708, FIND(" ",A708)-1), 'Raw Data Sales'!I708:I1706, MID(A708, FIND(" ",A708)+1, 100))</f>
        <v>3</v>
      </c>
      <c r="F708" s="6">
        <f>SUMIFS('Raw Data Sales'!N708:N1706, 'Raw Data Sales'!H708:H1706, LEFT(A708, FIND(" ",A708)-1), 'Raw Data Sales'!I708:I1706, MID(A708, FIND(" ",A708)+1, 100))</f>
        <v>7368.15</v>
      </c>
    </row>
    <row r="709">
      <c r="A709" s="6" t="str">
        <f>IFERROR(__xludf.DUMMYFUNCTION("UNIQUE('Raw Data Sales'!H709:H1707 &amp; "" "" &amp; 'Raw Data Sales'!I709:I1707)"),"Barbara-anne Herreros")</f>
        <v>Barbara-anne Herreros</v>
      </c>
      <c r="B709" s="6" t="str">
        <f>IFERROR(__xludf.DUMMYFUNCTION("""COMPUTED_VALUE"""),"bherrerosjn@flavors.me")</f>
        <v>bherrerosjn@flavors.me</v>
      </c>
      <c r="C709" s="6" t="str">
        <f>IFERROR(__xludf.DUMMYFUNCTION("""COMPUTED_VALUE"""),"Portugal")</f>
        <v>Portugal</v>
      </c>
      <c r="D709" s="6">
        <f>COUNTIFS('Raw Data Sales'!H709:H1707, LEFT(A709, FIND(" ",A709)-1), 'Raw Data Sales'!I709:I1707, MID(A709, FIND(" ",A709)+1, 100))</f>
        <v>1</v>
      </c>
      <c r="E709" s="6">
        <f>SUMIFS('Raw Data Sales'!M709:M1707, 'Raw Data Sales'!H709:H1707, LEFT(A709, FIND(" ",A709)-1), 'Raw Data Sales'!I709:I1707, MID(A709, FIND(" ",A709)+1, 100))</f>
        <v>16</v>
      </c>
      <c r="F709" s="6">
        <f>SUMIFS('Raw Data Sales'!N709:N1707, 'Raw Data Sales'!H709:H1707, LEFT(A709, FIND(" ",A709)-1), 'Raw Data Sales'!I709:I1707, MID(A709, FIND(" ",A709)+1, 100))</f>
        <v>5549.32</v>
      </c>
    </row>
    <row r="710">
      <c r="A710" s="6" t="str">
        <f>IFERROR(__xludf.DUMMYFUNCTION("UNIQUE('Raw Data Sales'!H710:H1708 &amp; "" "" &amp; 'Raw Data Sales'!I710:I1708)"),"Ole Wogdon")</f>
        <v>Ole Wogdon</v>
      </c>
      <c r="B710" s="6" t="str">
        <f>IFERROR(__xludf.DUMMYFUNCTION("""COMPUTED_VALUE"""),"owogdonjo@fema.gov")</f>
        <v>owogdonjo@fema.gov</v>
      </c>
      <c r="C710" s="6" t="str">
        <f>IFERROR(__xludf.DUMMYFUNCTION("""COMPUTED_VALUE"""),"French Polynesia")</f>
        <v>French Polynesia</v>
      </c>
      <c r="D710" s="6">
        <f>COUNTIFS('Raw Data Sales'!H710:H1708, LEFT(A710, FIND(" ",A710)-1), 'Raw Data Sales'!I710:I1708, MID(A710, FIND(" ",A710)+1, 100))</f>
        <v>1</v>
      </c>
      <c r="E710" s="6">
        <f>SUMIFS('Raw Data Sales'!M710:M1708, 'Raw Data Sales'!H710:H1708, LEFT(A710, FIND(" ",A710)-1), 'Raw Data Sales'!I710:I1708, MID(A710, FIND(" ",A710)+1, 100))</f>
        <v>86</v>
      </c>
      <c r="F710" s="6">
        <f>SUMIFS('Raw Data Sales'!N710:N1708, 'Raw Data Sales'!H710:H1708, LEFT(A710, FIND(" ",A710)-1), 'Raw Data Sales'!I710:I1708, MID(A710, FIND(" ",A710)+1, 100))</f>
        <v>3728.33</v>
      </c>
    </row>
    <row r="711">
      <c r="A711" s="6" t="str">
        <f>IFERROR(__xludf.DUMMYFUNCTION("UNIQUE('Raw Data Sales'!H711:H1709 &amp; "" "" &amp; 'Raw Data Sales'!I711:I1709)"),"Mackenzie Fontin")</f>
        <v>Mackenzie Fontin</v>
      </c>
      <c r="B711" s="6" t="str">
        <f>IFERROR(__xludf.DUMMYFUNCTION("""COMPUTED_VALUE"""),"mfontinjp@ovh.net")</f>
        <v>mfontinjp@ovh.net</v>
      </c>
      <c r="C711" s="6" t="str">
        <f>IFERROR(__xludf.DUMMYFUNCTION("""COMPUTED_VALUE"""),"Indonesia")</f>
        <v>Indonesia</v>
      </c>
      <c r="D711" s="6">
        <f>COUNTIFS('Raw Data Sales'!H711:H1709, LEFT(A711, FIND(" ",A711)-1), 'Raw Data Sales'!I711:I1709, MID(A711, FIND(" ",A711)+1, 100))</f>
        <v>1</v>
      </c>
      <c r="E711" s="6">
        <f>SUMIFS('Raw Data Sales'!M711:M1709, 'Raw Data Sales'!H711:H1709, LEFT(A711, FIND(" ",A711)-1), 'Raw Data Sales'!I711:I1709, MID(A711, FIND(" ",A711)+1, 100))</f>
        <v>19</v>
      </c>
      <c r="F711" s="6">
        <f>SUMIFS('Raw Data Sales'!N711:N1709, 'Raw Data Sales'!H711:H1709, LEFT(A711, FIND(" ",A711)-1), 'Raw Data Sales'!I711:I1709, MID(A711, FIND(" ",A711)+1, 100))</f>
        <v>6338.94</v>
      </c>
    </row>
    <row r="712">
      <c r="A712" s="6" t="str">
        <f>IFERROR(__xludf.DUMMYFUNCTION("UNIQUE('Raw Data Sales'!H712:H1710 &amp; "" "" &amp; 'Raw Data Sales'!I712:I1710)"),"Leila Westerman")</f>
        <v>Leila Westerman</v>
      </c>
      <c r="B712" s="6" t="str">
        <f>IFERROR(__xludf.DUMMYFUNCTION("""COMPUTED_VALUE"""),"lwestermanjq@feedburner.com")</f>
        <v>lwestermanjq@feedburner.com</v>
      </c>
      <c r="C712" s="6" t="str">
        <f>IFERROR(__xludf.DUMMYFUNCTION("""COMPUTED_VALUE"""),"Colombia")</f>
        <v>Colombia</v>
      </c>
      <c r="D712" s="6">
        <f>COUNTIFS('Raw Data Sales'!H712:H1710, LEFT(A712, FIND(" ",A712)-1), 'Raw Data Sales'!I712:I1710, MID(A712, FIND(" ",A712)+1, 100))</f>
        <v>1</v>
      </c>
      <c r="E712" s="6">
        <f>SUMIFS('Raw Data Sales'!M712:M1710, 'Raw Data Sales'!H712:H1710, LEFT(A712, FIND(" ",A712)-1), 'Raw Data Sales'!I712:I1710, MID(A712, FIND(" ",A712)+1, 100))</f>
        <v>10</v>
      </c>
      <c r="F712" s="6">
        <f>SUMIFS('Raw Data Sales'!N712:N1710, 'Raw Data Sales'!H712:H1710, LEFT(A712, FIND(" ",A712)-1), 'Raw Data Sales'!I712:I1710, MID(A712, FIND(" ",A712)+1, 100))</f>
        <v>4608.44</v>
      </c>
    </row>
    <row r="713">
      <c r="A713" s="6" t="str">
        <f>IFERROR(__xludf.DUMMYFUNCTION("UNIQUE('Raw Data Sales'!H713:H1711 &amp; "" "" &amp; 'Raw Data Sales'!I713:I1711)"),"Rubia Betjes")</f>
        <v>Rubia Betjes</v>
      </c>
      <c r="B713" s="6" t="str">
        <f>IFERROR(__xludf.DUMMYFUNCTION("""COMPUTED_VALUE"""),"rbetjesjr@jugem.jp")</f>
        <v>rbetjesjr@jugem.jp</v>
      </c>
      <c r="C713" s="6" t="str">
        <f>IFERROR(__xludf.DUMMYFUNCTION("""COMPUTED_VALUE"""),"China")</f>
        <v>China</v>
      </c>
      <c r="D713" s="6">
        <f>COUNTIFS('Raw Data Sales'!H713:H1711, LEFT(A713, FIND(" ",A713)-1), 'Raw Data Sales'!I713:I1711, MID(A713, FIND(" ",A713)+1, 100))</f>
        <v>1</v>
      </c>
      <c r="E713" s="6">
        <f>SUMIFS('Raw Data Sales'!M713:M1711, 'Raw Data Sales'!H713:H1711, LEFT(A713, FIND(" ",A713)-1), 'Raw Data Sales'!I713:I1711, MID(A713, FIND(" ",A713)+1, 100))</f>
        <v>66</v>
      </c>
      <c r="F713" s="6">
        <f>SUMIFS('Raw Data Sales'!N713:N1711, 'Raw Data Sales'!H713:H1711, LEFT(A713, FIND(" ",A713)-1), 'Raw Data Sales'!I713:I1711, MID(A713, FIND(" ",A713)+1, 100))</f>
        <v>1058.46</v>
      </c>
    </row>
    <row r="714">
      <c r="A714" s="6" t="str">
        <f>IFERROR(__xludf.DUMMYFUNCTION("UNIQUE('Raw Data Sales'!H714:H1712 &amp; "" "" &amp; 'Raw Data Sales'!I714:I1712)"),"Carolynn Sparhawk")</f>
        <v>Carolynn Sparhawk</v>
      </c>
      <c r="B714" s="6" t="str">
        <f>IFERROR(__xludf.DUMMYFUNCTION("""COMPUTED_VALUE"""),"csparhawkjs@g.co")</f>
        <v>csparhawkjs@g.co</v>
      </c>
      <c r="C714" s="6" t="str">
        <f>IFERROR(__xludf.DUMMYFUNCTION("""COMPUTED_VALUE"""),"Ukraine")</f>
        <v>Ukraine</v>
      </c>
      <c r="D714" s="6">
        <f>COUNTIFS('Raw Data Sales'!H714:H1712, LEFT(A714, FIND(" ",A714)-1), 'Raw Data Sales'!I714:I1712, MID(A714, FIND(" ",A714)+1, 100))</f>
        <v>1</v>
      </c>
      <c r="E714" s="6">
        <f>SUMIFS('Raw Data Sales'!M714:M1712, 'Raw Data Sales'!H714:H1712, LEFT(A714, FIND(" ",A714)-1), 'Raw Data Sales'!I714:I1712, MID(A714, FIND(" ",A714)+1, 100))</f>
        <v>66</v>
      </c>
      <c r="F714" s="6">
        <f>SUMIFS('Raw Data Sales'!N714:N1712, 'Raw Data Sales'!H714:H1712, LEFT(A714, FIND(" ",A714)-1), 'Raw Data Sales'!I714:I1712, MID(A714, FIND(" ",A714)+1, 100))</f>
        <v>5685.59</v>
      </c>
    </row>
    <row r="715">
      <c r="A715" s="6" t="str">
        <f>IFERROR(__xludf.DUMMYFUNCTION("UNIQUE('Raw Data Sales'!H715:H1713 &amp; "" "" &amp; 'Raw Data Sales'!I715:I1713)"),"Clerkclaude Moverley")</f>
        <v>Clerkclaude Moverley</v>
      </c>
      <c r="B715" s="6" t="str">
        <f>IFERROR(__xludf.DUMMYFUNCTION("""COMPUTED_VALUE"""),"cmoverleyjt@blogspot.com")</f>
        <v>cmoverleyjt@blogspot.com</v>
      </c>
      <c r="C715" s="6" t="str">
        <f>IFERROR(__xludf.DUMMYFUNCTION("""COMPUTED_VALUE"""),"Indonesia")</f>
        <v>Indonesia</v>
      </c>
      <c r="D715" s="6">
        <f>COUNTIFS('Raw Data Sales'!H715:H1713, LEFT(A715, FIND(" ",A715)-1), 'Raw Data Sales'!I715:I1713, MID(A715, FIND(" ",A715)+1, 100))</f>
        <v>1</v>
      </c>
      <c r="E715" s="6">
        <f>SUMIFS('Raw Data Sales'!M715:M1713, 'Raw Data Sales'!H715:H1713, LEFT(A715, FIND(" ",A715)-1), 'Raw Data Sales'!I715:I1713, MID(A715, FIND(" ",A715)+1, 100))</f>
        <v>80</v>
      </c>
      <c r="F715" s="6">
        <f>SUMIFS('Raw Data Sales'!N715:N1713, 'Raw Data Sales'!H715:H1713, LEFT(A715, FIND(" ",A715)-1), 'Raw Data Sales'!I715:I1713, MID(A715, FIND(" ",A715)+1, 100))</f>
        <v>1626.85</v>
      </c>
    </row>
    <row r="716">
      <c r="A716" s="6" t="str">
        <f>IFERROR(__xludf.DUMMYFUNCTION("UNIQUE('Raw Data Sales'!H716:H1714 &amp; "" "" &amp; 'Raw Data Sales'!I716:I1714)"),"Melania Arent")</f>
        <v>Melania Arent</v>
      </c>
      <c r="B716" s="6" t="str">
        <f>IFERROR(__xludf.DUMMYFUNCTION("""COMPUTED_VALUE"""),"marentju@comsenz.com")</f>
        <v>marentju@comsenz.com</v>
      </c>
      <c r="C716" s="6" t="str">
        <f>IFERROR(__xludf.DUMMYFUNCTION("""COMPUTED_VALUE"""),"Brazil")</f>
        <v>Brazil</v>
      </c>
      <c r="D716" s="6">
        <f>COUNTIFS('Raw Data Sales'!H716:H1714, LEFT(A716, FIND(" ",A716)-1), 'Raw Data Sales'!I716:I1714, MID(A716, FIND(" ",A716)+1, 100))</f>
        <v>1</v>
      </c>
      <c r="E716" s="6">
        <f>SUMIFS('Raw Data Sales'!M716:M1714, 'Raw Data Sales'!H716:H1714, LEFT(A716, FIND(" ",A716)-1), 'Raw Data Sales'!I716:I1714, MID(A716, FIND(" ",A716)+1, 100))</f>
        <v>43</v>
      </c>
      <c r="F716" s="6">
        <f>SUMIFS('Raw Data Sales'!N716:N1714, 'Raw Data Sales'!H716:H1714, LEFT(A716, FIND(" ",A716)-1), 'Raw Data Sales'!I716:I1714, MID(A716, FIND(" ",A716)+1, 100))</f>
        <v>1861.58</v>
      </c>
    </row>
    <row r="717">
      <c r="A717" s="6" t="str">
        <f>IFERROR(__xludf.DUMMYFUNCTION("UNIQUE('Raw Data Sales'!H717:H1715 &amp; "" "" &amp; 'Raw Data Sales'!I717:I1715)"),"Dory Hustler")</f>
        <v>Dory Hustler</v>
      </c>
      <c r="B717" s="6" t="str">
        <f>IFERROR(__xludf.DUMMYFUNCTION("""COMPUTED_VALUE"""),"dhustlerjv@shinystat.com")</f>
        <v>dhustlerjv@shinystat.com</v>
      </c>
      <c r="C717" s="6" t="str">
        <f>IFERROR(__xludf.DUMMYFUNCTION("""COMPUTED_VALUE"""),"Russia")</f>
        <v>Russia</v>
      </c>
      <c r="D717" s="6">
        <f>COUNTIFS('Raw Data Sales'!H717:H1715, LEFT(A717, FIND(" ",A717)-1), 'Raw Data Sales'!I717:I1715, MID(A717, FIND(" ",A717)+1, 100))</f>
        <v>1</v>
      </c>
      <c r="E717" s="6">
        <f>SUMIFS('Raw Data Sales'!M717:M1715, 'Raw Data Sales'!H717:H1715, LEFT(A717, FIND(" ",A717)-1), 'Raw Data Sales'!I717:I1715, MID(A717, FIND(" ",A717)+1, 100))</f>
        <v>41</v>
      </c>
      <c r="F717" s="6">
        <f>SUMIFS('Raw Data Sales'!N717:N1715, 'Raw Data Sales'!H717:H1715, LEFT(A717, FIND(" ",A717)-1), 'Raw Data Sales'!I717:I1715, MID(A717, FIND(" ",A717)+1, 100))</f>
        <v>7582.98</v>
      </c>
    </row>
    <row r="718">
      <c r="A718" s="6" t="str">
        <f>IFERROR(__xludf.DUMMYFUNCTION("UNIQUE('Raw Data Sales'!H718:H1716 &amp; "" "" &amp; 'Raw Data Sales'!I718:I1716)"),"Hedy Screaton")</f>
        <v>Hedy Screaton</v>
      </c>
      <c r="B718" s="6" t="str">
        <f>IFERROR(__xludf.DUMMYFUNCTION("""COMPUTED_VALUE"""),"hscreatonjw@vimeo.com")</f>
        <v>hscreatonjw@vimeo.com</v>
      </c>
      <c r="C718" s="6" t="str">
        <f>IFERROR(__xludf.DUMMYFUNCTION("""COMPUTED_VALUE"""),"China")</f>
        <v>China</v>
      </c>
      <c r="D718" s="6">
        <f>COUNTIFS('Raw Data Sales'!H718:H1716, LEFT(A718, FIND(" ",A718)-1), 'Raw Data Sales'!I718:I1716, MID(A718, FIND(" ",A718)+1, 100))</f>
        <v>1</v>
      </c>
      <c r="E718" s="6">
        <f>SUMIFS('Raw Data Sales'!M718:M1716, 'Raw Data Sales'!H718:H1716, LEFT(A718, FIND(" ",A718)-1), 'Raw Data Sales'!I718:I1716, MID(A718, FIND(" ",A718)+1, 100))</f>
        <v>3</v>
      </c>
      <c r="F718" s="6">
        <f>SUMIFS('Raw Data Sales'!N718:N1716, 'Raw Data Sales'!H718:H1716, LEFT(A718, FIND(" ",A718)-1), 'Raw Data Sales'!I718:I1716, MID(A718, FIND(" ",A718)+1, 100))</f>
        <v>2086.68</v>
      </c>
    </row>
    <row r="719">
      <c r="A719" s="6" t="str">
        <f>IFERROR(__xludf.DUMMYFUNCTION("UNIQUE('Raw Data Sales'!H719:H1717 &amp; "" "" &amp; 'Raw Data Sales'!I719:I1717)"),"Allx Oakland")</f>
        <v>Allx Oakland</v>
      </c>
      <c r="B719" s="6" t="str">
        <f>IFERROR(__xludf.DUMMYFUNCTION("""COMPUTED_VALUE"""),"aoaklandjx@issuu.com")</f>
        <v>aoaklandjx@issuu.com</v>
      </c>
      <c r="C719" s="6" t="str">
        <f>IFERROR(__xludf.DUMMYFUNCTION("""COMPUTED_VALUE"""),"Indonesia")</f>
        <v>Indonesia</v>
      </c>
      <c r="D719" s="6">
        <f>COUNTIFS('Raw Data Sales'!H719:H1717, LEFT(A719, FIND(" ",A719)-1), 'Raw Data Sales'!I719:I1717, MID(A719, FIND(" ",A719)+1, 100))</f>
        <v>1</v>
      </c>
      <c r="E719" s="6">
        <f>SUMIFS('Raw Data Sales'!M719:M1717, 'Raw Data Sales'!H719:H1717, LEFT(A719, FIND(" ",A719)-1), 'Raw Data Sales'!I719:I1717, MID(A719, FIND(" ",A719)+1, 100))</f>
        <v>92</v>
      </c>
      <c r="F719" s="6">
        <f>SUMIFS('Raw Data Sales'!N719:N1717, 'Raw Data Sales'!H719:H1717, LEFT(A719, FIND(" ",A719)-1), 'Raw Data Sales'!I719:I1717, MID(A719, FIND(" ",A719)+1, 100))</f>
        <v>1457.79</v>
      </c>
    </row>
    <row r="720">
      <c r="A720" s="6" t="str">
        <f>IFERROR(__xludf.DUMMYFUNCTION("UNIQUE('Raw Data Sales'!H720:H1718 &amp; "" "" &amp; 'Raw Data Sales'!I720:I1718)"),"Bianca Saltsberger")</f>
        <v>Bianca Saltsberger</v>
      </c>
      <c r="B720" s="6" t="str">
        <f>IFERROR(__xludf.DUMMYFUNCTION("""COMPUTED_VALUE"""),"bsaltsbergerjy@google.fr")</f>
        <v>bsaltsbergerjy@google.fr</v>
      </c>
      <c r="C720" s="6" t="str">
        <f>IFERROR(__xludf.DUMMYFUNCTION("""COMPUTED_VALUE"""),"China")</f>
        <v>China</v>
      </c>
      <c r="D720" s="6">
        <f>COUNTIFS('Raw Data Sales'!H720:H1718, LEFT(A720, FIND(" ",A720)-1), 'Raw Data Sales'!I720:I1718, MID(A720, FIND(" ",A720)+1, 100))</f>
        <v>1</v>
      </c>
      <c r="E720" s="6">
        <f>SUMIFS('Raw Data Sales'!M720:M1718, 'Raw Data Sales'!H720:H1718, LEFT(A720, FIND(" ",A720)-1), 'Raw Data Sales'!I720:I1718, MID(A720, FIND(" ",A720)+1, 100))</f>
        <v>58</v>
      </c>
      <c r="F720" s="6">
        <f>SUMIFS('Raw Data Sales'!N720:N1718, 'Raw Data Sales'!H720:H1718, LEFT(A720, FIND(" ",A720)-1), 'Raw Data Sales'!I720:I1718, MID(A720, FIND(" ",A720)+1, 100))</f>
        <v>7307.2</v>
      </c>
    </row>
    <row r="721">
      <c r="A721" s="6" t="str">
        <f>IFERROR(__xludf.DUMMYFUNCTION("UNIQUE('Raw Data Sales'!H721:H1719 &amp; "" "" &amp; 'Raw Data Sales'!I721:I1719)"),"Peyton Leverage")</f>
        <v>Peyton Leverage</v>
      </c>
      <c r="B721" s="6" t="str">
        <f>IFERROR(__xludf.DUMMYFUNCTION("""COMPUTED_VALUE"""),"pleveragejz@paginegialle.it")</f>
        <v>pleveragejz@paginegialle.it</v>
      </c>
      <c r="C721" s="6" t="str">
        <f>IFERROR(__xludf.DUMMYFUNCTION("""COMPUTED_VALUE"""),"Brazil")</f>
        <v>Brazil</v>
      </c>
      <c r="D721" s="6">
        <f>COUNTIFS('Raw Data Sales'!H721:H1719, LEFT(A721, FIND(" ",A721)-1), 'Raw Data Sales'!I721:I1719, MID(A721, FIND(" ",A721)+1, 100))</f>
        <v>1</v>
      </c>
      <c r="E721" s="6">
        <f>SUMIFS('Raw Data Sales'!M721:M1719, 'Raw Data Sales'!H721:H1719, LEFT(A721, FIND(" ",A721)-1), 'Raw Data Sales'!I721:I1719, MID(A721, FIND(" ",A721)+1, 100))</f>
        <v>90</v>
      </c>
      <c r="F721" s="6">
        <f>SUMIFS('Raw Data Sales'!N721:N1719, 'Raw Data Sales'!H721:H1719, LEFT(A721, FIND(" ",A721)-1), 'Raw Data Sales'!I721:I1719, MID(A721, FIND(" ",A721)+1, 100))</f>
        <v>2683.33</v>
      </c>
    </row>
    <row r="722">
      <c r="A722" s="6" t="str">
        <f>IFERROR(__xludf.DUMMYFUNCTION("UNIQUE('Raw Data Sales'!H722:H1720 &amp; "" "" &amp; 'Raw Data Sales'!I722:I1720)"),"Ogden Grimolbie")</f>
        <v>Ogden Grimolbie</v>
      </c>
      <c r="B722" s="6" t="str">
        <f>IFERROR(__xludf.DUMMYFUNCTION("""COMPUTED_VALUE"""),"ogrimolbiek0@tinyurl.com")</f>
        <v>ogrimolbiek0@tinyurl.com</v>
      </c>
      <c r="C722" s="6" t="str">
        <f>IFERROR(__xludf.DUMMYFUNCTION("""COMPUTED_VALUE"""),"China")</f>
        <v>China</v>
      </c>
      <c r="D722" s="6">
        <f>COUNTIFS('Raw Data Sales'!H722:H1720, LEFT(A722, FIND(" ",A722)-1), 'Raw Data Sales'!I722:I1720, MID(A722, FIND(" ",A722)+1, 100))</f>
        <v>1</v>
      </c>
      <c r="E722" s="6">
        <f>SUMIFS('Raw Data Sales'!M722:M1720, 'Raw Data Sales'!H722:H1720, LEFT(A722, FIND(" ",A722)-1), 'Raw Data Sales'!I722:I1720, MID(A722, FIND(" ",A722)+1, 100))</f>
        <v>99</v>
      </c>
      <c r="F722" s="6">
        <f>SUMIFS('Raw Data Sales'!N722:N1720, 'Raw Data Sales'!H722:H1720, LEFT(A722, FIND(" ",A722)-1), 'Raw Data Sales'!I722:I1720, MID(A722, FIND(" ",A722)+1, 100))</f>
        <v>9352.52</v>
      </c>
    </row>
    <row r="723">
      <c r="A723" s="6" t="str">
        <f>IFERROR(__xludf.DUMMYFUNCTION("UNIQUE('Raw Data Sales'!H723:H1721 &amp; "" "" &amp; 'Raw Data Sales'!I723:I1721)"),"Shirleen Ferres")</f>
        <v>Shirleen Ferres</v>
      </c>
      <c r="B723" s="6" t="str">
        <f>IFERROR(__xludf.DUMMYFUNCTION("""COMPUTED_VALUE"""),"sferresk1@youtube.com")</f>
        <v>sferresk1@youtube.com</v>
      </c>
      <c r="C723" s="6" t="str">
        <f>IFERROR(__xludf.DUMMYFUNCTION("""COMPUTED_VALUE"""),"Argentina")</f>
        <v>Argentina</v>
      </c>
      <c r="D723" s="6">
        <f>COUNTIFS('Raw Data Sales'!H723:H1721, LEFT(A723, FIND(" ",A723)-1), 'Raw Data Sales'!I723:I1721, MID(A723, FIND(" ",A723)+1, 100))</f>
        <v>1</v>
      </c>
      <c r="E723" s="6">
        <f>SUMIFS('Raw Data Sales'!M723:M1721, 'Raw Data Sales'!H723:H1721, LEFT(A723, FIND(" ",A723)-1), 'Raw Data Sales'!I723:I1721, MID(A723, FIND(" ",A723)+1, 100))</f>
        <v>63</v>
      </c>
      <c r="F723" s="6">
        <f>SUMIFS('Raw Data Sales'!N723:N1721, 'Raw Data Sales'!H723:H1721, LEFT(A723, FIND(" ",A723)-1), 'Raw Data Sales'!I723:I1721, MID(A723, FIND(" ",A723)+1, 100))</f>
        <v>7749.97</v>
      </c>
    </row>
    <row r="724">
      <c r="A724" s="6" t="str">
        <f>IFERROR(__xludf.DUMMYFUNCTION("UNIQUE('Raw Data Sales'!H724:H1722 &amp; "" "" &amp; 'Raw Data Sales'!I724:I1722)"),"Gilemette Hammerson")</f>
        <v>Gilemette Hammerson</v>
      </c>
      <c r="B724" s="6" t="str">
        <f>IFERROR(__xludf.DUMMYFUNCTION("""COMPUTED_VALUE"""),"ghammersonk2@vistaprint.com")</f>
        <v>ghammersonk2@vistaprint.com</v>
      </c>
      <c r="C724" s="6" t="str">
        <f>IFERROR(__xludf.DUMMYFUNCTION("""COMPUTED_VALUE"""),"Indonesia")</f>
        <v>Indonesia</v>
      </c>
      <c r="D724" s="6">
        <f>COUNTIFS('Raw Data Sales'!H724:H1722, LEFT(A724, FIND(" ",A724)-1), 'Raw Data Sales'!I724:I1722, MID(A724, FIND(" ",A724)+1, 100))</f>
        <v>1</v>
      </c>
      <c r="E724" s="6">
        <f>SUMIFS('Raw Data Sales'!M724:M1722, 'Raw Data Sales'!H724:H1722, LEFT(A724, FIND(" ",A724)-1), 'Raw Data Sales'!I724:I1722, MID(A724, FIND(" ",A724)+1, 100))</f>
        <v>44</v>
      </c>
      <c r="F724" s="6">
        <f>SUMIFS('Raw Data Sales'!N724:N1722, 'Raw Data Sales'!H724:H1722, LEFT(A724, FIND(" ",A724)-1), 'Raw Data Sales'!I724:I1722, MID(A724, FIND(" ",A724)+1, 100))</f>
        <v>8679.3</v>
      </c>
    </row>
    <row r="725">
      <c r="A725" s="6" t="str">
        <f>IFERROR(__xludf.DUMMYFUNCTION("UNIQUE('Raw Data Sales'!H725:H1723 &amp; "" "" &amp; 'Raw Data Sales'!I725:I1723)"),"Carling Jencey")</f>
        <v>Carling Jencey</v>
      </c>
      <c r="B725" s="6" t="str">
        <f>IFERROR(__xludf.DUMMYFUNCTION("""COMPUTED_VALUE"""),"cjenceyk3@shop-pro.jp")</f>
        <v>cjenceyk3@shop-pro.jp</v>
      </c>
      <c r="C725" s="6" t="str">
        <f>IFERROR(__xludf.DUMMYFUNCTION("""COMPUTED_VALUE"""),"Portugal")</f>
        <v>Portugal</v>
      </c>
      <c r="D725" s="6">
        <f>COUNTIFS('Raw Data Sales'!H725:H1723, LEFT(A725, FIND(" ",A725)-1), 'Raw Data Sales'!I725:I1723, MID(A725, FIND(" ",A725)+1, 100))</f>
        <v>1</v>
      </c>
      <c r="E725" s="6">
        <f>SUMIFS('Raw Data Sales'!M725:M1723, 'Raw Data Sales'!H725:H1723, LEFT(A725, FIND(" ",A725)-1), 'Raw Data Sales'!I725:I1723, MID(A725, FIND(" ",A725)+1, 100))</f>
        <v>93</v>
      </c>
      <c r="F725" s="6">
        <f>SUMIFS('Raw Data Sales'!N725:N1723, 'Raw Data Sales'!H725:H1723, LEFT(A725, FIND(" ",A725)-1), 'Raw Data Sales'!I725:I1723, MID(A725, FIND(" ",A725)+1, 100))</f>
        <v>4455.07</v>
      </c>
    </row>
    <row r="726">
      <c r="A726" s="6" t="str">
        <f>IFERROR(__xludf.DUMMYFUNCTION("UNIQUE('Raw Data Sales'!H726:H1724 &amp; "" "" &amp; 'Raw Data Sales'!I726:I1724)"),"Andriette Baison")</f>
        <v>Andriette Baison</v>
      </c>
      <c r="B726" s="6" t="str">
        <f>IFERROR(__xludf.DUMMYFUNCTION("""COMPUTED_VALUE"""),"abaisonk4@flavors.me")</f>
        <v>abaisonk4@flavors.me</v>
      </c>
      <c r="C726" s="6" t="str">
        <f>IFERROR(__xludf.DUMMYFUNCTION("""COMPUTED_VALUE"""),"Croatia")</f>
        <v>Croatia</v>
      </c>
      <c r="D726" s="6">
        <f>COUNTIFS('Raw Data Sales'!H726:H1724, LEFT(A726, FIND(" ",A726)-1), 'Raw Data Sales'!I726:I1724, MID(A726, FIND(" ",A726)+1, 100))</f>
        <v>1</v>
      </c>
      <c r="E726" s="6">
        <f>SUMIFS('Raw Data Sales'!M726:M1724, 'Raw Data Sales'!H726:H1724, LEFT(A726, FIND(" ",A726)-1), 'Raw Data Sales'!I726:I1724, MID(A726, FIND(" ",A726)+1, 100))</f>
        <v>56</v>
      </c>
      <c r="F726" s="6">
        <f>SUMIFS('Raw Data Sales'!N726:N1724, 'Raw Data Sales'!H726:H1724, LEFT(A726, FIND(" ",A726)-1), 'Raw Data Sales'!I726:I1724, MID(A726, FIND(" ",A726)+1, 100))</f>
        <v>1673.04</v>
      </c>
    </row>
    <row r="727">
      <c r="A727" s="6" t="str">
        <f>IFERROR(__xludf.DUMMYFUNCTION("UNIQUE('Raw Data Sales'!H727:H1725 &amp; "" "" &amp; 'Raw Data Sales'!I727:I1725)"),"Honey Matson")</f>
        <v>Honey Matson</v>
      </c>
      <c r="B727" s="6" t="str">
        <f>IFERROR(__xludf.DUMMYFUNCTION("""COMPUTED_VALUE"""),"hmatsonk5@sohu.com")</f>
        <v>hmatsonk5@sohu.com</v>
      </c>
      <c r="C727" s="6" t="str">
        <f>IFERROR(__xludf.DUMMYFUNCTION("""COMPUTED_VALUE"""),"Ukraine")</f>
        <v>Ukraine</v>
      </c>
      <c r="D727" s="6">
        <f>COUNTIFS('Raw Data Sales'!H727:H1725, LEFT(A727, FIND(" ",A727)-1), 'Raw Data Sales'!I727:I1725, MID(A727, FIND(" ",A727)+1, 100))</f>
        <v>1</v>
      </c>
      <c r="E727" s="6">
        <f>SUMIFS('Raw Data Sales'!M727:M1725, 'Raw Data Sales'!H727:H1725, LEFT(A727, FIND(" ",A727)-1), 'Raw Data Sales'!I727:I1725, MID(A727, FIND(" ",A727)+1, 100))</f>
        <v>30</v>
      </c>
      <c r="F727" s="6">
        <f>SUMIFS('Raw Data Sales'!N727:N1725, 'Raw Data Sales'!H727:H1725, LEFT(A727, FIND(" ",A727)-1), 'Raw Data Sales'!I727:I1725, MID(A727, FIND(" ",A727)+1, 100))</f>
        <v>7443.05</v>
      </c>
    </row>
    <row r="728">
      <c r="A728" s="6" t="str">
        <f>IFERROR(__xludf.DUMMYFUNCTION("UNIQUE('Raw Data Sales'!H728:H1726 &amp; "" "" &amp; 'Raw Data Sales'!I728:I1726)"),"Analise Le-Good")</f>
        <v>Analise Le-Good</v>
      </c>
      <c r="B728" s="6" t="str">
        <f>IFERROR(__xludf.DUMMYFUNCTION("""COMPUTED_VALUE"""),"alegoodk6@hexun.com")</f>
        <v>alegoodk6@hexun.com</v>
      </c>
      <c r="C728" s="6" t="str">
        <f>IFERROR(__xludf.DUMMYFUNCTION("""COMPUTED_VALUE"""),"Russia")</f>
        <v>Russia</v>
      </c>
      <c r="D728" s="6">
        <f>COUNTIFS('Raw Data Sales'!H728:H1726, LEFT(A728, FIND(" ",A728)-1), 'Raw Data Sales'!I728:I1726, MID(A728, FIND(" ",A728)+1, 100))</f>
        <v>1</v>
      </c>
      <c r="E728" s="6">
        <f>SUMIFS('Raw Data Sales'!M728:M1726, 'Raw Data Sales'!H728:H1726, LEFT(A728, FIND(" ",A728)-1), 'Raw Data Sales'!I728:I1726, MID(A728, FIND(" ",A728)+1, 100))</f>
        <v>79</v>
      </c>
      <c r="F728" s="6">
        <f>SUMIFS('Raw Data Sales'!N728:N1726, 'Raw Data Sales'!H728:H1726, LEFT(A728, FIND(" ",A728)-1), 'Raw Data Sales'!I728:I1726, MID(A728, FIND(" ",A728)+1, 100))</f>
        <v>8864.78</v>
      </c>
    </row>
    <row r="729">
      <c r="A729" s="6" t="str">
        <f>IFERROR(__xludf.DUMMYFUNCTION("UNIQUE('Raw Data Sales'!H729:H1727 &amp; "" "" &amp; 'Raw Data Sales'!I729:I1727)"),"Lindsey Estable")</f>
        <v>Lindsey Estable</v>
      </c>
      <c r="B729" s="6" t="str">
        <f>IFERROR(__xludf.DUMMYFUNCTION("""COMPUTED_VALUE"""),"lestablek7@nifty.com")</f>
        <v>lestablek7@nifty.com</v>
      </c>
      <c r="C729" s="6" t="str">
        <f>IFERROR(__xludf.DUMMYFUNCTION("""COMPUTED_VALUE"""),"Germany")</f>
        <v>Germany</v>
      </c>
      <c r="D729" s="6">
        <f>COUNTIFS('Raw Data Sales'!H729:H1727, LEFT(A729, FIND(" ",A729)-1), 'Raw Data Sales'!I729:I1727, MID(A729, FIND(" ",A729)+1, 100))</f>
        <v>1</v>
      </c>
      <c r="E729" s="6">
        <f>SUMIFS('Raw Data Sales'!M729:M1727, 'Raw Data Sales'!H729:H1727, LEFT(A729, FIND(" ",A729)-1), 'Raw Data Sales'!I729:I1727, MID(A729, FIND(" ",A729)+1, 100))</f>
        <v>41</v>
      </c>
      <c r="F729" s="6">
        <f>SUMIFS('Raw Data Sales'!N729:N1727, 'Raw Data Sales'!H729:H1727, LEFT(A729, FIND(" ",A729)-1), 'Raw Data Sales'!I729:I1727, MID(A729, FIND(" ",A729)+1, 100))</f>
        <v>3614.19</v>
      </c>
    </row>
    <row r="730">
      <c r="A730" s="6" t="str">
        <f>IFERROR(__xludf.DUMMYFUNCTION("UNIQUE('Raw Data Sales'!H730:H1728 &amp; "" "" &amp; 'Raw Data Sales'!I730:I1728)"),"Clotilda Lenahan")</f>
        <v>Clotilda Lenahan</v>
      </c>
      <c r="B730" s="6" t="str">
        <f>IFERROR(__xludf.DUMMYFUNCTION("""COMPUTED_VALUE"""),"clenahank8@wikia.com")</f>
        <v>clenahank8@wikia.com</v>
      </c>
      <c r="C730" s="6" t="str">
        <f>IFERROR(__xludf.DUMMYFUNCTION("""COMPUTED_VALUE"""),"Bangladesh")</f>
        <v>Bangladesh</v>
      </c>
      <c r="D730" s="6">
        <f>COUNTIFS('Raw Data Sales'!H730:H1728, LEFT(A730, FIND(" ",A730)-1), 'Raw Data Sales'!I730:I1728, MID(A730, FIND(" ",A730)+1, 100))</f>
        <v>1</v>
      </c>
      <c r="E730" s="6">
        <f>SUMIFS('Raw Data Sales'!M730:M1728, 'Raw Data Sales'!H730:H1728, LEFT(A730, FIND(" ",A730)-1), 'Raw Data Sales'!I730:I1728, MID(A730, FIND(" ",A730)+1, 100))</f>
        <v>40</v>
      </c>
      <c r="F730" s="6">
        <f>SUMIFS('Raw Data Sales'!N730:N1728, 'Raw Data Sales'!H730:H1728, LEFT(A730, FIND(" ",A730)-1), 'Raw Data Sales'!I730:I1728, MID(A730, FIND(" ",A730)+1, 100))</f>
        <v>2220.69</v>
      </c>
    </row>
    <row r="731">
      <c r="A731" s="6" t="str">
        <f>IFERROR(__xludf.DUMMYFUNCTION("UNIQUE('Raw Data Sales'!H731:H1729 &amp; "" "" &amp; 'Raw Data Sales'!I731:I1729)"),"Merla Steeden")</f>
        <v>Merla Steeden</v>
      </c>
      <c r="B731" s="6" t="str">
        <f>IFERROR(__xludf.DUMMYFUNCTION("""COMPUTED_VALUE"""),"msteedenk9@tumblr.com")</f>
        <v>msteedenk9@tumblr.com</v>
      </c>
      <c r="C731" s="6" t="str">
        <f>IFERROR(__xludf.DUMMYFUNCTION("""COMPUTED_VALUE"""),"Indonesia")</f>
        <v>Indonesia</v>
      </c>
      <c r="D731" s="6">
        <f>COUNTIFS('Raw Data Sales'!H731:H1729, LEFT(A731, FIND(" ",A731)-1), 'Raw Data Sales'!I731:I1729, MID(A731, FIND(" ",A731)+1, 100))</f>
        <v>1</v>
      </c>
      <c r="E731" s="6">
        <f>SUMIFS('Raw Data Sales'!M731:M1729, 'Raw Data Sales'!H731:H1729, LEFT(A731, FIND(" ",A731)-1), 'Raw Data Sales'!I731:I1729, MID(A731, FIND(" ",A731)+1, 100))</f>
        <v>65</v>
      </c>
      <c r="F731" s="6">
        <f>SUMIFS('Raw Data Sales'!N731:N1729, 'Raw Data Sales'!H731:H1729, LEFT(A731, FIND(" ",A731)-1), 'Raw Data Sales'!I731:I1729, MID(A731, FIND(" ",A731)+1, 100))</f>
        <v>1217.71</v>
      </c>
    </row>
    <row r="732">
      <c r="A732" s="6" t="str">
        <f>IFERROR(__xludf.DUMMYFUNCTION("UNIQUE('Raw Data Sales'!H732:H1730 &amp; "" "" &amp; 'Raw Data Sales'!I732:I1730)"),"Blane Galland")</f>
        <v>Blane Galland</v>
      </c>
      <c r="B732" s="6" t="str">
        <f>IFERROR(__xludf.DUMMYFUNCTION("""COMPUTED_VALUE"""),"bgallandka@pen.io")</f>
        <v>bgallandka@pen.io</v>
      </c>
      <c r="C732" s="6" t="str">
        <f>IFERROR(__xludf.DUMMYFUNCTION("""COMPUTED_VALUE"""),"North Korea")</f>
        <v>North Korea</v>
      </c>
      <c r="D732" s="6">
        <f>COUNTIFS('Raw Data Sales'!H732:H1730, LEFT(A732, FIND(" ",A732)-1), 'Raw Data Sales'!I732:I1730, MID(A732, FIND(" ",A732)+1, 100))</f>
        <v>1</v>
      </c>
      <c r="E732" s="6">
        <f>SUMIFS('Raw Data Sales'!M732:M1730, 'Raw Data Sales'!H732:H1730, LEFT(A732, FIND(" ",A732)-1), 'Raw Data Sales'!I732:I1730, MID(A732, FIND(" ",A732)+1, 100))</f>
        <v>1</v>
      </c>
      <c r="F732" s="6">
        <f>SUMIFS('Raw Data Sales'!N732:N1730, 'Raw Data Sales'!H732:H1730, LEFT(A732, FIND(" ",A732)-1), 'Raw Data Sales'!I732:I1730, MID(A732, FIND(" ",A732)+1, 100))</f>
        <v>4528.11</v>
      </c>
    </row>
    <row r="733">
      <c r="A733" s="6" t="str">
        <f>IFERROR(__xludf.DUMMYFUNCTION("UNIQUE('Raw Data Sales'!H733:H1731 &amp; "" "" &amp; 'Raw Data Sales'!I733:I1731)"),"Siffre Torricella")</f>
        <v>Siffre Torricella</v>
      </c>
      <c r="B733" s="6" t="str">
        <f>IFERROR(__xludf.DUMMYFUNCTION("""COMPUTED_VALUE"""),"storricellakb@statcounter.com")</f>
        <v>storricellakb@statcounter.com</v>
      </c>
      <c r="C733" s="6" t="str">
        <f>IFERROR(__xludf.DUMMYFUNCTION("""COMPUTED_VALUE"""),"Mexico")</f>
        <v>Mexico</v>
      </c>
      <c r="D733" s="6">
        <f>COUNTIFS('Raw Data Sales'!H733:H1731, LEFT(A733, FIND(" ",A733)-1), 'Raw Data Sales'!I733:I1731, MID(A733, FIND(" ",A733)+1, 100))</f>
        <v>1</v>
      </c>
      <c r="E733" s="6">
        <f>SUMIFS('Raw Data Sales'!M733:M1731, 'Raw Data Sales'!H733:H1731, LEFT(A733, FIND(" ",A733)-1), 'Raw Data Sales'!I733:I1731, MID(A733, FIND(" ",A733)+1, 100))</f>
        <v>76</v>
      </c>
      <c r="F733" s="6">
        <f>SUMIFS('Raw Data Sales'!N733:N1731, 'Raw Data Sales'!H733:H1731, LEFT(A733, FIND(" ",A733)-1), 'Raw Data Sales'!I733:I1731, MID(A733, FIND(" ",A733)+1, 100))</f>
        <v>8165.38</v>
      </c>
    </row>
    <row r="734">
      <c r="A734" s="6" t="str">
        <f>IFERROR(__xludf.DUMMYFUNCTION("UNIQUE('Raw Data Sales'!H734:H1732 &amp; "" "" &amp; 'Raw Data Sales'!I734:I1732)"),"Consuela Whitmore")</f>
        <v>Consuela Whitmore</v>
      </c>
      <c r="B734" s="6" t="str">
        <f>IFERROR(__xludf.DUMMYFUNCTION("""COMPUTED_VALUE"""),"cwhitmorekc@uol.com.br")</f>
        <v>cwhitmorekc@uol.com.br</v>
      </c>
      <c r="C734" s="6" t="str">
        <f>IFERROR(__xludf.DUMMYFUNCTION("""COMPUTED_VALUE"""),"China")</f>
        <v>China</v>
      </c>
      <c r="D734" s="6">
        <f>COUNTIFS('Raw Data Sales'!H734:H1732, LEFT(A734, FIND(" ",A734)-1), 'Raw Data Sales'!I734:I1732, MID(A734, FIND(" ",A734)+1, 100))</f>
        <v>1</v>
      </c>
      <c r="E734" s="6">
        <f>SUMIFS('Raw Data Sales'!M734:M1732, 'Raw Data Sales'!H734:H1732, LEFT(A734, FIND(" ",A734)-1), 'Raw Data Sales'!I734:I1732, MID(A734, FIND(" ",A734)+1, 100))</f>
        <v>93</v>
      </c>
      <c r="F734" s="6">
        <f>SUMIFS('Raw Data Sales'!N734:N1732, 'Raw Data Sales'!H734:H1732, LEFT(A734, FIND(" ",A734)-1), 'Raw Data Sales'!I734:I1732, MID(A734, FIND(" ",A734)+1, 100))</f>
        <v>4610.52</v>
      </c>
    </row>
    <row r="735">
      <c r="A735" s="6" t="str">
        <f>IFERROR(__xludf.DUMMYFUNCTION("UNIQUE('Raw Data Sales'!H735:H1733 &amp; "" "" &amp; 'Raw Data Sales'!I735:I1733)"),"Wilhelmina Springtorp")</f>
        <v>Wilhelmina Springtorp</v>
      </c>
      <c r="B735" s="6" t="str">
        <f>IFERROR(__xludf.DUMMYFUNCTION("""COMPUTED_VALUE"""),"wspringtorpkd@europa.eu")</f>
        <v>wspringtorpkd@europa.eu</v>
      </c>
      <c r="C735" s="6" t="str">
        <f>IFERROR(__xludf.DUMMYFUNCTION("""COMPUTED_VALUE"""),"France")</f>
        <v>France</v>
      </c>
      <c r="D735" s="6">
        <f>COUNTIFS('Raw Data Sales'!H735:H1733, LEFT(A735, FIND(" ",A735)-1), 'Raw Data Sales'!I735:I1733, MID(A735, FIND(" ",A735)+1, 100))</f>
        <v>1</v>
      </c>
      <c r="E735" s="6">
        <f>SUMIFS('Raw Data Sales'!M735:M1733, 'Raw Data Sales'!H735:H1733, LEFT(A735, FIND(" ",A735)-1), 'Raw Data Sales'!I735:I1733, MID(A735, FIND(" ",A735)+1, 100))</f>
        <v>81</v>
      </c>
      <c r="F735" s="6">
        <f>SUMIFS('Raw Data Sales'!N735:N1733, 'Raw Data Sales'!H735:H1733, LEFT(A735, FIND(" ",A735)-1), 'Raw Data Sales'!I735:I1733, MID(A735, FIND(" ",A735)+1, 100))</f>
        <v>5690.73</v>
      </c>
    </row>
    <row r="736">
      <c r="A736" s="6" t="str">
        <f>IFERROR(__xludf.DUMMYFUNCTION("UNIQUE('Raw Data Sales'!H736:H1734 &amp; "" "" &amp; 'Raw Data Sales'!I736:I1734)"),"Letty Cardinale")</f>
        <v>Letty Cardinale</v>
      </c>
      <c r="B736" s="6" t="str">
        <f>IFERROR(__xludf.DUMMYFUNCTION("""COMPUTED_VALUE"""),"lcardinaleke@digg.com")</f>
        <v>lcardinaleke@digg.com</v>
      </c>
      <c r="C736" s="6" t="str">
        <f>IFERROR(__xludf.DUMMYFUNCTION("""COMPUTED_VALUE"""),"Morocco")</f>
        <v>Morocco</v>
      </c>
      <c r="D736" s="6">
        <f>COUNTIFS('Raw Data Sales'!H736:H1734, LEFT(A736, FIND(" ",A736)-1), 'Raw Data Sales'!I736:I1734, MID(A736, FIND(" ",A736)+1, 100))</f>
        <v>1</v>
      </c>
      <c r="E736" s="6">
        <f>SUMIFS('Raw Data Sales'!M736:M1734, 'Raw Data Sales'!H736:H1734, LEFT(A736, FIND(" ",A736)-1), 'Raw Data Sales'!I736:I1734, MID(A736, FIND(" ",A736)+1, 100))</f>
        <v>51</v>
      </c>
      <c r="F736" s="6">
        <f>SUMIFS('Raw Data Sales'!N736:N1734, 'Raw Data Sales'!H736:H1734, LEFT(A736, FIND(" ",A736)-1), 'Raw Data Sales'!I736:I1734, MID(A736, FIND(" ",A736)+1, 100))</f>
        <v>3449.62</v>
      </c>
    </row>
    <row r="737">
      <c r="A737" s="6" t="str">
        <f>IFERROR(__xludf.DUMMYFUNCTION("UNIQUE('Raw Data Sales'!H737:H1735 &amp; "" "" &amp; 'Raw Data Sales'!I737:I1735)"),"Herschel Winscum")</f>
        <v>Herschel Winscum</v>
      </c>
      <c r="B737" s="6" t="str">
        <f>IFERROR(__xludf.DUMMYFUNCTION("""COMPUTED_VALUE"""),"hwinscumkf@toplist.cz")</f>
        <v>hwinscumkf@toplist.cz</v>
      </c>
      <c r="C737" s="6" t="str">
        <f>IFERROR(__xludf.DUMMYFUNCTION("""COMPUTED_VALUE"""),"Tanzania")</f>
        <v>Tanzania</v>
      </c>
      <c r="D737" s="6">
        <f>COUNTIFS('Raw Data Sales'!H737:H1735, LEFT(A737, FIND(" ",A737)-1), 'Raw Data Sales'!I737:I1735, MID(A737, FIND(" ",A737)+1, 100))</f>
        <v>1</v>
      </c>
      <c r="E737" s="6">
        <f>SUMIFS('Raw Data Sales'!M737:M1735, 'Raw Data Sales'!H737:H1735, LEFT(A737, FIND(" ",A737)-1), 'Raw Data Sales'!I737:I1735, MID(A737, FIND(" ",A737)+1, 100))</f>
        <v>84</v>
      </c>
      <c r="F737" s="6">
        <f>SUMIFS('Raw Data Sales'!N737:N1735, 'Raw Data Sales'!H737:H1735, LEFT(A737, FIND(" ",A737)-1), 'Raw Data Sales'!I737:I1735, MID(A737, FIND(" ",A737)+1, 100))</f>
        <v>2747.38</v>
      </c>
    </row>
    <row r="738">
      <c r="A738" s="6" t="str">
        <f>IFERROR(__xludf.DUMMYFUNCTION("UNIQUE('Raw Data Sales'!H738:H1736 &amp; "" "" &amp; 'Raw Data Sales'!I738:I1736)"),"Fairlie Airs")</f>
        <v>Fairlie Airs</v>
      </c>
      <c r="B738" s="6" t="str">
        <f>IFERROR(__xludf.DUMMYFUNCTION("""COMPUTED_VALUE"""),"fairskg@theglobeandmail.com")</f>
        <v>fairskg@theglobeandmail.com</v>
      </c>
      <c r="C738" s="6" t="str">
        <f>IFERROR(__xludf.DUMMYFUNCTION("""COMPUTED_VALUE"""),"Kyrgyzstan")</f>
        <v>Kyrgyzstan</v>
      </c>
      <c r="D738" s="6">
        <f>COUNTIFS('Raw Data Sales'!H738:H1736, LEFT(A738, FIND(" ",A738)-1), 'Raw Data Sales'!I738:I1736, MID(A738, FIND(" ",A738)+1, 100))</f>
        <v>1</v>
      </c>
      <c r="E738" s="6">
        <f>SUMIFS('Raw Data Sales'!M738:M1736, 'Raw Data Sales'!H738:H1736, LEFT(A738, FIND(" ",A738)-1), 'Raw Data Sales'!I738:I1736, MID(A738, FIND(" ",A738)+1, 100))</f>
        <v>1</v>
      </c>
      <c r="F738" s="6">
        <f>SUMIFS('Raw Data Sales'!N738:N1736, 'Raw Data Sales'!H738:H1736, LEFT(A738, FIND(" ",A738)-1), 'Raw Data Sales'!I738:I1736, MID(A738, FIND(" ",A738)+1, 100))</f>
        <v>8609.99</v>
      </c>
    </row>
    <row r="739">
      <c r="A739" s="6" t="str">
        <f>IFERROR(__xludf.DUMMYFUNCTION("UNIQUE('Raw Data Sales'!H739:H1737 &amp; "" "" &amp; 'Raw Data Sales'!I739:I1737)"),"Bourke Habershon")</f>
        <v>Bourke Habershon</v>
      </c>
      <c r="B739" s="6" t="str">
        <f>IFERROR(__xludf.DUMMYFUNCTION("""COMPUTED_VALUE"""),"bhabershonkh@topsy.com")</f>
        <v>bhabershonkh@topsy.com</v>
      </c>
      <c r="C739" s="6" t="str">
        <f>IFERROR(__xludf.DUMMYFUNCTION("""COMPUTED_VALUE"""),"United States")</f>
        <v>United States</v>
      </c>
      <c r="D739" s="6">
        <f>COUNTIFS('Raw Data Sales'!H739:H1737, LEFT(A739, FIND(" ",A739)-1), 'Raw Data Sales'!I739:I1737, MID(A739, FIND(" ",A739)+1, 100))</f>
        <v>1</v>
      </c>
      <c r="E739" s="6">
        <f>SUMIFS('Raw Data Sales'!M739:M1737, 'Raw Data Sales'!H739:H1737, LEFT(A739, FIND(" ",A739)-1), 'Raw Data Sales'!I739:I1737, MID(A739, FIND(" ",A739)+1, 100))</f>
        <v>89</v>
      </c>
      <c r="F739" s="6">
        <f>SUMIFS('Raw Data Sales'!N739:N1737, 'Raw Data Sales'!H739:H1737, LEFT(A739, FIND(" ",A739)-1), 'Raw Data Sales'!I739:I1737, MID(A739, FIND(" ",A739)+1, 100))</f>
        <v>51.42</v>
      </c>
    </row>
    <row r="740">
      <c r="A740" s="6" t="str">
        <f>IFERROR(__xludf.DUMMYFUNCTION("UNIQUE('Raw Data Sales'!H740:H1738 &amp; "" "" &amp; 'Raw Data Sales'!I740:I1738)"),"Jervis Bonhill")</f>
        <v>Jervis Bonhill</v>
      </c>
      <c r="B740" s="6" t="str">
        <f>IFERROR(__xludf.DUMMYFUNCTION("""COMPUTED_VALUE"""),"jbonhillki@qq.com")</f>
        <v>jbonhillki@qq.com</v>
      </c>
      <c r="C740" s="6" t="str">
        <f>IFERROR(__xludf.DUMMYFUNCTION("""COMPUTED_VALUE"""),"China")</f>
        <v>China</v>
      </c>
      <c r="D740" s="6">
        <f>COUNTIFS('Raw Data Sales'!H740:H1738, LEFT(A740, FIND(" ",A740)-1), 'Raw Data Sales'!I740:I1738, MID(A740, FIND(" ",A740)+1, 100))</f>
        <v>1</v>
      </c>
      <c r="E740" s="6">
        <f>SUMIFS('Raw Data Sales'!M740:M1738, 'Raw Data Sales'!H740:H1738, LEFT(A740, FIND(" ",A740)-1), 'Raw Data Sales'!I740:I1738, MID(A740, FIND(" ",A740)+1, 100))</f>
        <v>33</v>
      </c>
      <c r="F740" s="6">
        <f>SUMIFS('Raw Data Sales'!N740:N1738, 'Raw Data Sales'!H740:H1738, LEFT(A740, FIND(" ",A740)-1), 'Raw Data Sales'!I740:I1738, MID(A740, FIND(" ",A740)+1, 100))</f>
        <v>3432.5</v>
      </c>
    </row>
    <row r="741">
      <c r="A741" s="6" t="str">
        <f>IFERROR(__xludf.DUMMYFUNCTION("UNIQUE('Raw Data Sales'!H741:H1739 &amp; "" "" &amp; 'Raw Data Sales'!I741:I1739)"),"Abbott Creagh")</f>
        <v>Abbott Creagh</v>
      </c>
      <c r="B741" s="6" t="str">
        <f>IFERROR(__xludf.DUMMYFUNCTION("""COMPUTED_VALUE"""),"acreaghkj@free.fr")</f>
        <v>acreaghkj@free.fr</v>
      </c>
      <c r="C741" s="6" t="str">
        <f>IFERROR(__xludf.DUMMYFUNCTION("""COMPUTED_VALUE"""),"Azerbaijan")</f>
        <v>Azerbaijan</v>
      </c>
      <c r="D741" s="6">
        <f>COUNTIFS('Raw Data Sales'!H741:H1739, LEFT(A741, FIND(" ",A741)-1), 'Raw Data Sales'!I741:I1739, MID(A741, FIND(" ",A741)+1, 100))</f>
        <v>1</v>
      </c>
      <c r="E741" s="6">
        <f>SUMIFS('Raw Data Sales'!M741:M1739, 'Raw Data Sales'!H741:H1739, LEFT(A741, FIND(" ",A741)-1), 'Raw Data Sales'!I741:I1739, MID(A741, FIND(" ",A741)+1, 100))</f>
        <v>25</v>
      </c>
      <c r="F741" s="6">
        <f>SUMIFS('Raw Data Sales'!N741:N1739, 'Raw Data Sales'!H741:H1739, LEFT(A741, FIND(" ",A741)-1), 'Raw Data Sales'!I741:I1739, MID(A741, FIND(" ",A741)+1, 100))</f>
        <v>7873.34</v>
      </c>
    </row>
    <row r="742">
      <c r="A742" s="6" t="str">
        <f>IFERROR(__xludf.DUMMYFUNCTION("UNIQUE('Raw Data Sales'!H742:H1740 &amp; "" "" &amp; 'Raw Data Sales'!I742:I1740)"),"Mindy Newport")</f>
        <v>Mindy Newport</v>
      </c>
      <c r="B742" s="6" t="str">
        <f>IFERROR(__xludf.DUMMYFUNCTION("""COMPUTED_VALUE"""),"mnewportkk@friendfeed.com")</f>
        <v>mnewportkk@friendfeed.com</v>
      </c>
      <c r="C742" s="6" t="str">
        <f>IFERROR(__xludf.DUMMYFUNCTION("""COMPUTED_VALUE"""),"Russia")</f>
        <v>Russia</v>
      </c>
      <c r="D742" s="6">
        <f>COUNTIFS('Raw Data Sales'!H742:H1740, LEFT(A742, FIND(" ",A742)-1), 'Raw Data Sales'!I742:I1740, MID(A742, FIND(" ",A742)+1, 100))</f>
        <v>1</v>
      </c>
      <c r="E742" s="6">
        <f>SUMIFS('Raw Data Sales'!M742:M1740, 'Raw Data Sales'!H742:H1740, LEFT(A742, FIND(" ",A742)-1), 'Raw Data Sales'!I742:I1740, MID(A742, FIND(" ",A742)+1, 100))</f>
        <v>98</v>
      </c>
      <c r="F742" s="6">
        <f>SUMIFS('Raw Data Sales'!N742:N1740, 'Raw Data Sales'!H742:H1740, LEFT(A742, FIND(" ",A742)-1), 'Raw Data Sales'!I742:I1740, MID(A742, FIND(" ",A742)+1, 100))</f>
        <v>4350.84</v>
      </c>
    </row>
    <row r="743">
      <c r="A743" s="6" t="str">
        <f>IFERROR(__xludf.DUMMYFUNCTION("UNIQUE('Raw Data Sales'!H743:H1741 &amp; "" "" &amp; 'Raw Data Sales'!I743:I1741)"),"Layton Jannaway")</f>
        <v>Layton Jannaway</v>
      </c>
      <c r="B743" s="6" t="str">
        <f>IFERROR(__xludf.DUMMYFUNCTION("""COMPUTED_VALUE"""),"ljannawaykl@cloudflare.com")</f>
        <v>ljannawaykl@cloudflare.com</v>
      </c>
      <c r="C743" s="6" t="str">
        <f>IFERROR(__xludf.DUMMYFUNCTION("""COMPUTED_VALUE"""),"Myanmar")</f>
        <v>Myanmar</v>
      </c>
      <c r="D743" s="6">
        <f>COUNTIFS('Raw Data Sales'!H743:H1741, LEFT(A743, FIND(" ",A743)-1), 'Raw Data Sales'!I743:I1741, MID(A743, FIND(" ",A743)+1, 100))</f>
        <v>1</v>
      </c>
      <c r="E743" s="6">
        <f>SUMIFS('Raw Data Sales'!M743:M1741, 'Raw Data Sales'!H743:H1741, LEFT(A743, FIND(" ",A743)-1), 'Raw Data Sales'!I743:I1741, MID(A743, FIND(" ",A743)+1, 100))</f>
        <v>12</v>
      </c>
      <c r="F743" s="6">
        <f>SUMIFS('Raw Data Sales'!N743:N1741, 'Raw Data Sales'!H743:H1741, LEFT(A743, FIND(" ",A743)-1), 'Raw Data Sales'!I743:I1741, MID(A743, FIND(" ",A743)+1, 100))</f>
        <v>1238.99</v>
      </c>
    </row>
    <row r="744">
      <c r="A744" s="6" t="str">
        <f>IFERROR(__xludf.DUMMYFUNCTION("UNIQUE('Raw Data Sales'!H744:H1742 &amp; "" "" &amp; 'Raw Data Sales'!I744:I1742)"),"Mona Degoe")</f>
        <v>Mona Degoe</v>
      </c>
      <c r="B744" s="6" t="str">
        <f>IFERROR(__xludf.DUMMYFUNCTION("""COMPUTED_VALUE"""),"mdegoekm@npr.org")</f>
        <v>mdegoekm@npr.org</v>
      </c>
      <c r="C744" s="6" t="str">
        <f>IFERROR(__xludf.DUMMYFUNCTION("""COMPUTED_VALUE"""),"Sweden")</f>
        <v>Sweden</v>
      </c>
      <c r="D744" s="6">
        <f>COUNTIFS('Raw Data Sales'!H744:H1742, LEFT(A744, FIND(" ",A744)-1), 'Raw Data Sales'!I744:I1742, MID(A744, FIND(" ",A744)+1, 100))</f>
        <v>1</v>
      </c>
      <c r="E744" s="6">
        <f>SUMIFS('Raw Data Sales'!M744:M1742, 'Raw Data Sales'!H744:H1742, LEFT(A744, FIND(" ",A744)-1), 'Raw Data Sales'!I744:I1742, MID(A744, FIND(" ",A744)+1, 100))</f>
        <v>34</v>
      </c>
      <c r="F744" s="6">
        <f>SUMIFS('Raw Data Sales'!N744:N1742, 'Raw Data Sales'!H744:H1742, LEFT(A744, FIND(" ",A744)-1), 'Raw Data Sales'!I744:I1742, MID(A744, FIND(" ",A744)+1, 100))</f>
        <v>7377.44</v>
      </c>
    </row>
    <row r="745">
      <c r="A745" s="6" t="str">
        <f>IFERROR(__xludf.DUMMYFUNCTION("UNIQUE('Raw Data Sales'!H745:H1743 &amp; "" "" &amp; 'Raw Data Sales'!I745:I1743)"),"Artur Pawlaczyk")</f>
        <v>Artur Pawlaczyk</v>
      </c>
      <c r="B745" s="6" t="str">
        <f>IFERROR(__xludf.DUMMYFUNCTION("""COMPUTED_VALUE"""),"apawlaczykkn@vistaprint.com")</f>
        <v>apawlaczykkn@vistaprint.com</v>
      </c>
      <c r="C745" s="6" t="str">
        <f>IFERROR(__xludf.DUMMYFUNCTION("""COMPUTED_VALUE"""),"France")</f>
        <v>France</v>
      </c>
      <c r="D745" s="6">
        <f>COUNTIFS('Raw Data Sales'!H745:H1743, LEFT(A745, FIND(" ",A745)-1), 'Raw Data Sales'!I745:I1743, MID(A745, FIND(" ",A745)+1, 100))</f>
        <v>1</v>
      </c>
      <c r="E745" s="6">
        <f>SUMIFS('Raw Data Sales'!M745:M1743, 'Raw Data Sales'!H745:H1743, LEFT(A745, FIND(" ",A745)-1), 'Raw Data Sales'!I745:I1743, MID(A745, FIND(" ",A745)+1, 100))</f>
        <v>19</v>
      </c>
      <c r="F745" s="6">
        <f>SUMIFS('Raw Data Sales'!N745:N1743, 'Raw Data Sales'!H745:H1743, LEFT(A745, FIND(" ",A745)-1), 'Raw Data Sales'!I745:I1743, MID(A745, FIND(" ",A745)+1, 100))</f>
        <v>6417.68</v>
      </c>
    </row>
    <row r="746">
      <c r="A746" s="6" t="str">
        <f>IFERROR(__xludf.DUMMYFUNCTION("UNIQUE('Raw Data Sales'!H746:H1744 &amp; "" "" &amp; 'Raw Data Sales'!I746:I1744)"),"Melanie Vreede")</f>
        <v>Melanie Vreede</v>
      </c>
      <c r="B746" s="6" t="str">
        <f>IFERROR(__xludf.DUMMYFUNCTION("""COMPUTED_VALUE"""),"mvreedeko@example.com")</f>
        <v>mvreedeko@example.com</v>
      </c>
      <c r="C746" s="6" t="str">
        <f>IFERROR(__xludf.DUMMYFUNCTION("""COMPUTED_VALUE"""),"Thailand")</f>
        <v>Thailand</v>
      </c>
      <c r="D746" s="6">
        <f>COUNTIFS('Raw Data Sales'!H746:H1744, LEFT(A746, FIND(" ",A746)-1), 'Raw Data Sales'!I746:I1744, MID(A746, FIND(" ",A746)+1, 100))</f>
        <v>1</v>
      </c>
      <c r="E746" s="6">
        <f>SUMIFS('Raw Data Sales'!M746:M1744, 'Raw Data Sales'!H746:H1744, LEFT(A746, FIND(" ",A746)-1), 'Raw Data Sales'!I746:I1744, MID(A746, FIND(" ",A746)+1, 100))</f>
        <v>28</v>
      </c>
      <c r="F746" s="6">
        <f>SUMIFS('Raw Data Sales'!N746:N1744, 'Raw Data Sales'!H746:H1744, LEFT(A746, FIND(" ",A746)-1), 'Raw Data Sales'!I746:I1744, MID(A746, FIND(" ",A746)+1, 100))</f>
        <v>9964.39</v>
      </c>
    </row>
    <row r="747">
      <c r="A747" s="6" t="str">
        <f>IFERROR(__xludf.DUMMYFUNCTION("UNIQUE('Raw Data Sales'!H747:H1745 &amp; "" "" &amp; 'Raw Data Sales'!I747:I1745)"),"Trever Relph")</f>
        <v>Trever Relph</v>
      </c>
      <c r="B747" s="6" t="str">
        <f>IFERROR(__xludf.DUMMYFUNCTION("""COMPUTED_VALUE"""),"trelphkp@nsw.gov.au")</f>
        <v>trelphkp@nsw.gov.au</v>
      </c>
      <c r="C747" s="6" t="str">
        <f>IFERROR(__xludf.DUMMYFUNCTION("""COMPUTED_VALUE"""),"Honduras")</f>
        <v>Honduras</v>
      </c>
      <c r="D747" s="6">
        <f>COUNTIFS('Raw Data Sales'!H747:H1745, LEFT(A747, FIND(" ",A747)-1), 'Raw Data Sales'!I747:I1745, MID(A747, FIND(" ",A747)+1, 100))</f>
        <v>1</v>
      </c>
      <c r="E747" s="6">
        <f>SUMIFS('Raw Data Sales'!M747:M1745, 'Raw Data Sales'!H747:H1745, LEFT(A747, FIND(" ",A747)-1), 'Raw Data Sales'!I747:I1745, MID(A747, FIND(" ",A747)+1, 100))</f>
        <v>2</v>
      </c>
      <c r="F747" s="6">
        <f>SUMIFS('Raw Data Sales'!N747:N1745, 'Raw Data Sales'!H747:H1745, LEFT(A747, FIND(" ",A747)-1), 'Raw Data Sales'!I747:I1745, MID(A747, FIND(" ",A747)+1, 100))</f>
        <v>852.72</v>
      </c>
    </row>
    <row r="748">
      <c r="A748" s="6" t="str">
        <f>IFERROR(__xludf.DUMMYFUNCTION("UNIQUE('Raw Data Sales'!H748:H1746 &amp; "" "" &amp; 'Raw Data Sales'!I748:I1746)"),"Lucina Pumphrey")</f>
        <v>Lucina Pumphrey</v>
      </c>
      <c r="B748" s="6" t="str">
        <f>IFERROR(__xludf.DUMMYFUNCTION("""COMPUTED_VALUE"""),"lpumphreykq@devhub.com")</f>
        <v>lpumphreykq@devhub.com</v>
      </c>
      <c r="C748" s="6" t="str">
        <f>IFERROR(__xludf.DUMMYFUNCTION("""COMPUTED_VALUE"""),"China")</f>
        <v>China</v>
      </c>
      <c r="D748" s="6">
        <f>COUNTIFS('Raw Data Sales'!H748:H1746, LEFT(A748, FIND(" ",A748)-1), 'Raw Data Sales'!I748:I1746, MID(A748, FIND(" ",A748)+1, 100))</f>
        <v>1</v>
      </c>
      <c r="E748" s="6">
        <f>SUMIFS('Raw Data Sales'!M748:M1746, 'Raw Data Sales'!H748:H1746, LEFT(A748, FIND(" ",A748)-1), 'Raw Data Sales'!I748:I1746, MID(A748, FIND(" ",A748)+1, 100))</f>
        <v>23</v>
      </c>
      <c r="F748" s="6">
        <f>SUMIFS('Raw Data Sales'!N748:N1746, 'Raw Data Sales'!H748:H1746, LEFT(A748, FIND(" ",A748)-1), 'Raw Data Sales'!I748:I1746, MID(A748, FIND(" ",A748)+1, 100))</f>
        <v>9407.93</v>
      </c>
    </row>
    <row r="749">
      <c r="A749" s="6" t="str">
        <f>IFERROR(__xludf.DUMMYFUNCTION("UNIQUE('Raw Data Sales'!H749:H1747 &amp; "" "" &amp; 'Raw Data Sales'!I749:I1747)"),"Nonah Spencers")</f>
        <v>Nonah Spencers</v>
      </c>
      <c r="B749" s="6" t="str">
        <f>IFERROR(__xludf.DUMMYFUNCTION("""COMPUTED_VALUE"""),"nspencerskr@techcrunch.com")</f>
        <v>nspencerskr@techcrunch.com</v>
      </c>
      <c r="C749" s="6" t="str">
        <f>IFERROR(__xludf.DUMMYFUNCTION("""COMPUTED_VALUE"""),"China")</f>
        <v>China</v>
      </c>
      <c r="D749" s="6">
        <f>COUNTIFS('Raw Data Sales'!H749:H1747, LEFT(A749, FIND(" ",A749)-1), 'Raw Data Sales'!I749:I1747, MID(A749, FIND(" ",A749)+1, 100))</f>
        <v>1</v>
      </c>
      <c r="E749" s="6">
        <f>SUMIFS('Raw Data Sales'!M749:M1747, 'Raw Data Sales'!H749:H1747, LEFT(A749, FIND(" ",A749)-1), 'Raw Data Sales'!I749:I1747, MID(A749, FIND(" ",A749)+1, 100))</f>
        <v>59</v>
      </c>
      <c r="F749" s="6">
        <f>SUMIFS('Raw Data Sales'!N749:N1747, 'Raw Data Sales'!H749:H1747, LEFT(A749, FIND(" ",A749)-1), 'Raw Data Sales'!I749:I1747, MID(A749, FIND(" ",A749)+1, 100))</f>
        <v>681.36</v>
      </c>
    </row>
    <row r="750">
      <c r="A750" s="6" t="str">
        <f>IFERROR(__xludf.DUMMYFUNCTION("UNIQUE('Raw Data Sales'!H750:H1748 &amp; "" "" &amp; 'Raw Data Sales'!I750:I1748)"),"Enriqueta Dominec")</f>
        <v>Enriqueta Dominec</v>
      </c>
      <c r="B750" s="6" t="str">
        <f>IFERROR(__xludf.DUMMYFUNCTION("""COMPUTED_VALUE"""),"edominecks@upenn.edu")</f>
        <v>edominecks@upenn.edu</v>
      </c>
      <c r="C750" s="6" t="str">
        <f>IFERROR(__xludf.DUMMYFUNCTION("""COMPUTED_VALUE"""),"Panama")</f>
        <v>Panama</v>
      </c>
      <c r="D750" s="6">
        <f>COUNTIFS('Raw Data Sales'!H750:H1748, LEFT(A750, FIND(" ",A750)-1), 'Raw Data Sales'!I750:I1748, MID(A750, FIND(" ",A750)+1, 100))</f>
        <v>1</v>
      </c>
      <c r="E750" s="6">
        <f>SUMIFS('Raw Data Sales'!M750:M1748, 'Raw Data Sales'!H750:H1748, LEFT(A750, FIND(" ",A750)-1), 'Raw Data Sales'!I750:I1748, MID(A750, FIND(" ",A750)+1, 100))</f>
        <v>38</v>
      </c>
      <c r="F750" s="6">
        <f>SUMIFS('Raw Data Sales'!N750:N1748, 'Raw Data Sales'!H750:H1748, LEFT(A750, FIND(" ",A750)-1), 'Raw Data Sales'!I750:I1748, MID(A750, FIND(" ",A750)+1, 100))</f>
        <v>6862.19</v>
      </c>
    </row>
    <row r="751">
      <c r="A751" s="6" t="str">
        <f>IFERROR(__xludf.DUMMYFUNCTION("UNIQUE('Raw Data Sales'!H751:H1749 &amp; "" "" &amp; 'Raw Data Sales'!I751:I1749)"),"Byrle Taffurelli")</f>
        <v>Byrle Taffurelli</v>
      </c>
      <c r="B751" s="6" t="str">
        <f>IFERROR(__xludf.DUMMYFUNCTION("""COMPUTED_VALUE"""),"btaffurellikt@cam.ac.uk")</f>
        <v>btaffurellikt@cam.ac.uk</v>
      </c>
      <c r="C751" s="6" t="str">
        <f>IFERROR(__xludf.DUMMYFUNCTION("""COMPUTED_VALUE"""),"Brazil")</f>
        <v>Brazil</v>
      </c>
      <c r="D751" s="6">
        <f>COUNTIFS('Raw Data Sales'!H751:H1749, LEFT(A751, FIND(" ",A751)-1), 'Raw Data Sales'!I751:I1749, MID(A751, FIND(" ",A751)+1, 100))</f>
        <v>1</v>
      </c>
      <c r="E751" s="6">
        <f>SUMIFS('Raw Data Sales'!M751:M1749, 'Raw Data Sales'!H751:H1749, LEFT(A751, FIND(" ",A751)-1), 'Raw Data Sales'!I751:I1749, MID(A751, FIND(" ",A751)+1, 100))</f>
        <v>58</v>
      </c>
      <c r="F751" s="6">
        <f>SUMIFS('Raw Data Sales'!N751:N1749, 'Raw Data Sales'!H751:H1749, LEFT(A751, FIND(" ",A751)-1), 'Raw Data Sales'!I751:I1749, MID(A751, FIND(" ",A751)+1, 100))</f>
        <v>6015.59</v>
      </c>
    </row>
    <row r="752">
      <c r="A752" s="6" t="str">
        <f>IFERROR(__xludf.DUMMYFUNCTION("UNIQUE('Raw Data Sales'!H752:H1750 &amp; "" "" &amp; 'Raw Data Sales'!I752:I1750)"),"Jill O' Liddy")</f>
        <v>Jill O' Liddy</v>
      </c>
      <c r="B752" s="6" t="str">
        <f>IFERROR(__xludf.DUMMYFUNCTION("""COMPUTED_VALUE"""),"joliddyku@google.fr")</f>
        <v>joliddyku@google.fr</v>
      </c>
      <c r="C752" s="6" t="str">
        <f>IFERROR(__xludf.DUMMYFUNCTION("""COMPUTED_VALUE"""),"Thailand")</f>
        <v>Thailand</v>
      </c>
      <c r="D752" s="6">
        <f>COUNTIFS('Raw Data Sales'!H752:H1750, LEFT(A752, FIND(" ",A752)-1), 'Raw Data Sales'!I752:I1750, MID(A752, FIND(" ",A752)+1, 100))</f>
        <v>1</v>
      </c>
      <c r="E752" s="6">
        <f>SUMIFS('Raw Data Sales'!M752:M1750, 'Raw Data Sales'!H752:H1750, LEFT(A752, FIND(" ",A752)-1), 'Raw Data Sales'!I752:I1750, MID(A752, FIND(" ",A752)+1, 100))</f>
        <v>95</v>
      </c>
      <c r="F752" s="6">
        <f>SUMIFS('Raw Data Sales'!N752:N1750, 'Raw Data Sales'!H752:H1750, LEFT(A752, FIND(" ",A752)-1), 'Raw Data Sales'!I752:I1750, MID(A752, FIND(" ",A752)+1, 100))</f>
        <v>3295.14</v>
      </c>
    </row>
    <row r="753">
      <c r="A753" s="6" t="str">
        <f>IFERROR(__xludf.DUMMYFUNCTION("UNIQUE('Raw Data Sales'!H753:H1751 &amp; "" "" &amp; 'Raw Data Sales'!I753:I1751)"),"Meta Torritti")</f>
        <v>Meta Torritti</v>
      </c>
      <c r="B753" s="6" t="str">
        <f>IFERROR(__xludf.DUMMYFUNCTION("""COMPUTED_VALUE"""),"mtorrittikv@imgur.com")</f>
        <v>mtorrittikv@imgur.com</v>
      </c>
      <c r="C753" s="6" t="str">
        <f>IFERROR(__xludf.DUMMYFUNCTION("""COMPUTED_VALUE"""),"France")</f>
        <v>France</v>
      </c>
      <c r="D753" s="6">
        <f>COUNTIFS('Raw Data Sales'!H753:H1751, LEFT(A753, FIND(" ",A753)-1), 'Raw Data Sales'!I753:I1751, MID(A753, FIND(" ",A753)+1, 100))</f>
        <v>1</v>
      </c>
      <c r="E753" s="6">
        <f>SUMIFS('Raw Data Sales'!M753:M1751, 'Raw Data Sales'!H753:H1751, LEFT(A753, FIND(" ",A753)-1), 'Raw Data Sales'!I753:I1751, MID(A753, FIND(" ",A753)+1, 100))</f>
        <v>17</v>
      </c>
      <c r="F753" s="6">
        <f>SUMIFS('Raw Data Sales'!N753:N1751, 'Raw Data Sales'!H753:H1751, LEFT(A753, FIND(" ",A753)-1), 'Raw Data Sales'!I753:I1751, MID(A753, FIND(" ",A753)+1, 100))</f>
        <v>1715.95</v>
      </c>
    </row>
    <row r="754">
      <c r="A754" s="6" t="str">
        <f>IFERROR(__xludf.DUMMYFUNCTION("UNIQUE('Raw Data Sales'!H754:H1752 &amp; "" "" &amp; 'Raw Data Sales'!I754:I1752)"),"Chalmers Padell")</f>
        <v>Chalmers Padell</v>
      </c>
      <c r="B754" s="6" t="str">
        <f>IFERROR(__xludf.DUMMYFUNCTION("""COMPUTED_VALUE"""),"cpadellkw@ed.gov")</f>
        <v>cpadellkw@ed.gov</v>
      </c>
      <c r="C754" s="6" t="str">
        <f>IFERROR(__xludf.DUMMYFUNCTION("""COMPUTED_VALUE"""),"Indonesia")</f>
        <v>Indonesia</v>
      </c>
      <c r="D754" s="6">
        <f>COUNTIFS('Raw Data Sales'!H754:H1752, LEFT(A754, FIND(" ",A754)-1), 'Raw Data Sales'!I754:I1752, MID(A754, FIND(" ",A754)+1, 100))</f>
        <v>1</v>
      </c>
      <c r="E754" s="6">
        <f>SUMIFS('Raw Data Sales'!M754:M1752, 'Raw Data Sales'!H754:H1752, LEFT(A754, FIND(" ",A754)-1), 'Raw Data Sales'!I754:I1752, MID(A754, FIND(" ",A754)+1, 100))</f>
        <v>99</v>
      </c>
      <c r="F754" s="6">
        <f>SUMIFS('Raw Data Sales'!N754:N1752, 'Raw Data Sales'!H754:H1752, LEFT(A754, FIND(" ",A754)-1), 'Raw Data Sales'!I754:I1752, MID(A754, FIND(" ",A754)+1, 100))</f>
        <v>3676.36</v>
      </c>
    </row>
    <row r="755">
      <c r="A755" s="6" t="str">
        <f>IFERROR(__xludf.DUMMYFUNCTION("UNIQUE('Raw Data Sales'!H755:H1753 &amp; "" "" &amp; 'Raw Data Sales'!I755:I1753)"),"Ariela Spelwood")</f>
        <v>Ariela Spelwood</v>
      </c>
      <c r="B755" s="6" t="str">
        <f>IFERROR(__xludf.DUMMYFUNCTION("""COMPUTED_VALUE"""),"aspelwoodkx@howstuffworks.com")</f>
        <v>aspelwoodkx@howstuffworks.com</v>
      </c>
      <c r="C755" s="6" t="str">
        <f>IFERROR(__xludf.DUMMYFUNCTION("""COMPUTED_VALUE"""),"China")</f>
        <v>China</v>
      </c>
      <c r="D755" s="6">
        <f>COUNTIFS('Raw Data Sales'!H755:H1753, LEFT(A755, FIND(" ",A755)-1), 'Raw Data Sales'!I755:I1753, MID(A755, FIND(" ",A755)+1, 100))</f>
        <v>1</v>
      </c>
      <c r="E755" s="6">
        <f>SUMIFS('Raw Data Sales'!M755:M1753, 'Raw Data Sales'!H755:H1753, LEFT(A755, FIND(" ",A755)-1), 'Raw Data Sales'!I755:I1753, MID(A755, FIND(" ",A755)+1, 100))</f>
        <v>95</v>
      </c>
      <c r="F755" s="6">
        <f>SUMIFS('Raw Data Sales'!N755:N1753, 'Raw Data Sales'!H755:H1753, LEFT(A755, FIND(" ",A755)-1), 'Raw Data Sales'!I755:I1753, MID(A755, FIND(" ",A755)+1, 100))</f>
        <v>5745.78</v>
      </c>
    </row>
    <row r="756">
      <c r="A756" s="6" t="str">
        <f>IFERROR(__xludf.DUMMYFUNCTION("UNIQUE('Raw Data Sales'!H756:H1754 &amp; "" "" &amp; 'Raw Data Sales'!I756:I1754)"),"Jacquenette Zack")</f>
        <v>Jacquenette Zack</v>
      </c>
      <c r="B756" s="6" t="str">
        <f>IFERROR(__xludf.DUMMYFUNCTION("""COMPUTED_VALUE"""),"jzackky@epa.gov")</f>
        <v>jzackky@epa.gov</v>
      </c>
      <c r="C756" s="6" t="str">
        <f>IFERROR(__xludf.DUMMYFUNCTION("""COMPUTED_VALUE"""),"Philippines")</f>
        <v>Philippines</v>
      </c>
      <c r="D756" s="6">
        <f>COUNTIFS('Raw Data Sales'!H756:H1754, LEFT(A756, FIND(" ",A756)-1), 'Raw Data Sales'!I756:I1754, MID(A756, FIND(" ",A756)+1, 100))</f>
        <v>1</v>
      </c>
      <c r="E756" s="6">
        <f>SUMIFS('Raw Data Sales'!M756:M1754, 'Raw Data Sales'!H756:H1754, LEFT(A756, FIND(" ",A756)-1), 'Raw Data Sales'!I756:I1754, MID(A756, FIND(" ",A756)+1, 100))</f>
        <v>12</v>
      </c>
      <c r="F756" s="6">
        <f>SUMIFS('Raw Data Sales'!N756:N1754, 'Raw Data Sales'!H756:H1754, LEFT(A756, FIND(" ",A756)-1), 'Raw Data Sales'!I756:I1754, MID(A756, FIND(" ",A756)+1, 100))</f>
        <v>6353.37</v>
      </c>
    </row>
    <row r="757">
      <c r="A757" s="6" t="str">
        <f>IFERROR(__xludf.DUMMYFUNCTION("UNIQUE('Raw Data Sales'!H757:H1755 &amp; "" "" &amp; 'Raw Data Sales'!I757:I1755)"),"Simone Faiers")</f>
        <v>Simone Faiers</v>
      </c>
      <c r="B757" s="6" t="str">
        <f>IFERROR(__xludf.DUMMYFUNCTION("""COMPUTED_VALUE"""),"sfaierskz@telegraph.co.uk")</f>
        <v>sfaierskz@telegraph.co.uk</v>
      </c>
      <c r="C757" s="6" t="str">
        <f>IFERROR(__xludf.DUMMYFUNCTION("""COMPUTED_VALUE"""),"Mexico")</f>
        <v>Mexico</v>
      </c>
      <c r="D757" s="6">
        <f>COUNTIFS('Raw Data Sales'!H757:H1755, LEFT(A757, FIND(" ",A757)-1), 'Raw Data Sales'!I757:I1755, MID(A757, FIND(" ",A757)+1, 100))</f>
        <v>1</v>
      </c>
      <c r="E757" s="6">
        <f>SUMIFS('Raw Data Sales'!M757:M1755, 'Raw Data Sales'!H757:H1755, LEFT(A757, FIND(" ",A757)-1), 'Raw Data Sales'!I757:I1755, MID(A757, FIND(" ",A757)+1, 100))</f>
        <v>78</v>
      </c>
      <c r="F757" s="6">
        <f>SUMIFS('Raw Data Sales'!N757:N1755, 'Raw Data Sales'!H757:H1755, LEFT(A757, FIND(" ",A757)-1), 'Raw Data Sales'!I757:I1755, MID(A757, FIND(" ",A757)+1, 100))</f>
        <v>16.78</v>
      </c>
    </row>
    <row r="758">
      <c r="A758" s="6" t="str">
        <f>IFERROR(__xludf.DUMMYFUNCTION("UNIQUE('Raw Data Sales'!H758:H1756 &amp; "" "" &amp; 'Raw Data Sales'!I758:I1756)"),"Alasteir Morland")</f>
        <v>Alasteir Morland</v>
      </c>
      <c r="B758" s="6" t="str">
        <f>IFERROR(__xludf.DUMMYFUNCTION("""COMPUTED_VALUE"""),"amorlandl0@chron.com")</f>
        <v>amorlandl0@chron.com</v>
      </c>
      <c r="C758" s="6" t="str">
        <f>IFERROR(__xludf.DUMMYFUNCTION("""COMPUTED_VALUE"""),"Costa Rica")</f>
        <v>Costa Rica</v>
      </c>
      <c r="D758" s="6">
        <f>COUNTIFS('Raw Data Sales'!H758:H1756, LEFT(A758, FIND(" ",A758)-1), 'Raw Data Sales'!I758:I1756, MID(A758, FIND(" ",A758)+1, 100))</f>
        <v>1</v>
      </c>
      <c r="E758" s="6">
        <f>SUMIFS('Raw Data Sales'!M758:M1756, 'Raw Data Sales'!H758:H1756, LEFT(A758, FIND(" ",A758)-1), 'Raw Data Sales'!I758:I1756, MID(A758, FIND(" ",A758)+1, 100))</f>
        <v>70</v>
      </c>
      <c r="F758" s="6">
        <f>SUMIFS('Raw Data Sales'!N758:N1756, 'Raw Data Sales'!H758:H1756, LEFT(A758, FIND(" ",A758)-1), 'Raw Data Sales'!I758:I1756, MID(A758, FIND(" ",A758)+1, 100))</f>
        <v>7517.01</v>
      </c>
    </row>
    <row r="759">
      <c r="A759" s="6" t="str">
        <f>IFERROR(__xludf.DUMMYFUNCTION("UNIQUE('Raw Data Sales'!H759:H1757 &amp; "" "" &amp; 'Raw Data Sales'!I759:I1757)"),"Annabal Greenrod")</f>
        <v>Annabal Greenrod</v>
      </c>
      <c r="B759" s="6" t="str">
        <f>IFERROR(__xludf.DUMMYFUNCTION("""COMPUTED_VALUE"""),"agreenrodl1@pagesperso-orange.fr")</f>
        <v>agreenrodl1@pagesperso-orange.fr</v>
      </c>
      <c r="C759" s="6" t="str">
        <f>IFERROR(__xludf.DUMMYFUNCTION("""COMPUTED_VALUE"""),"Philippines")</f>
        <v>Philippines</v>
      </c>
      <c r="D759" s="6">
        <f>COUNTIFS('Raw Data Sales'!H759:H1757, LEFT(A759, FIND(" ",A759)-1), 'Raw Data Sales'!I759:I1757, MID(A759, FIND(" ",A759)+1, 100))</f>
        <v>1</v>
      </c>
      <c r="E759" s="6">
        <f>SUMIFS('Raw Data Sales'!M759:M1757, 'Raw Data Sales'!H759:H1757, LEFT(A759, FIND(" ",A759)-1), 'Raw Data Sales'!I759:I1757, MID(A759, FIND(" ",A759)+1, 100))</f>
        <v>52</v>
      </c>
      <c r="F759" s="6">
        <f>SUMIFS('Raw Data Sales'!N759:N1757, 'Raw Data Sales'!H759:H1757, LEFT(A759, FIND(" ",A759)-1), 'Raw Data Sales'!I759:I1757, MID(A759, FIND(" ",A759)+1, 100))</f>
        <v>2520.92</v>
      </c>
    </row>
    <row r="760">
      <c r="A760" s="6" t="str">
        <f>IFERROR(__xludf.DUMMYFUNCTION("UNIQUE('Raw Data Sales'!H760:H1758 &amp; "" "" &amp; 'Raw Data Sales'!I760:I1758)"),"Kaitlynn Headrick")</f>
        <v>Kaitlynn Headrick</v>
      </c>
      <c r="B760" s="6" t="str">
        <f>IFERROR(__xludf.DUMMYFUNCTION("""COMPUTED_VALUE"""),"kheadrickl2@businessweek.com")</f>
        <v>kheadrickl2@businessweek.com</v>
      </c>
      <c r="C760" s="6" t="str">
        <f>IFERROR(__xludf.DUMMYFUNCTION("""COMPUTED_VALUE"""),"China")</f>
        <v>China</v>
      </c>
      <c r="D760" s="6">
        <f>COUNTIFS('Raw Data Sales'!H760:H1758, LEFT(A760, FIND(" ",A760)-1), 'Raw Data Sales'!I760:I1758, MID(A760, FIND(" ",A760)+1, 100))</f>
        <v>1</v>
      </c>
      <c r="E760" s="6">
        <f>SUMIFS('Raw Data Sales'!M760:M1758, 'Raw Data Sales'!H760:H1758, LEFT(A760, FIND(" ",A760)-1), 'Raw Data Sales'!I760:I1758, MID(A760, FIND(" ",A760)+1, 100))</f>
        <v>99</v>
      </c>
      <c r="F760" s="6">
        <f>SUMIFS('Raw Data Sales'!N760:N1758, 'Raw Data Sales'!H760:H1758, LEFT(A760, FIND(" ",A760)-1), 'Raw Data Sales'!I760:I1758, MID(A760, FIND(" ",A760)+1, 100))</f>
        <v>5053.15</v>
      </c>
    </row>
    <row r="761">
      <c r="A761" s="6" t="str">
        <f>IFERROR(__xludf.DUMMYFUNCTION("UNIQUE('Raw Data Sales'!H761:H1759 &amp; "" "" &amp; 'Raw Data Sales'!I761:I1759)"),"Karolina Keyser")</f>
        <v>Karolina Keyser</v>
      </c>
      <c r="B761" s="6" t="str">
        <f>IFERROR(__xludf.DUMMYFUNCTION("""COMPUTED_VALUE"""),"kkeyserl3@lycos.com")</f>
        <v>kkeyserl3@lycos.com</v>
      </c>
      <c r="C761" s="6" t="str">
        <f>IFERROR(__xludf.DUMMYFUNCTION("""COMPUTED_VALUE"""),"China")</f>
        <v>China</v>
      </c>
      <c r="D761" s="6">
        <f>COUNTIFS('Raw Data Sales'!H761:H1759, LEFT(A761, FIND(" ",A761)-1), 'Raw Data Sales'!I761:I1759, MID(A761, FIND(" ",A761)+1, 100))</f>
        <v>1</v>
      </c>
      <c r="E761" s="6">
        <f>SUMIFS('Raw Data Sales'!M761:M1759, 'Raw Data Sales'!H761:H1759, LEFT(A761, FIND(" ",A761)-1), 'Raw Data Sales'!I761:I1759, MID(A761, FIND(" ",A761)+1, 100))</f>
        <v>83</v>
      </c>
      <c r="F761" s="6">
        <f>SUMIFS('Raw Data Sales'!N761:N1759, 'Raw Data Sales'!H761:H1759, LEFT(A761, FIND(" ",A761)-1), 'Raw Data Sales'!I761:I1759, MID(A761, FIND(" ",A761)+1, 100))</f>
        <v>2833.17</v>
      </c>
    </row>
    <row r="762">
      <c r="A762" s="6" t="str">
        <f>IFERROR(__xludf.DUMMYFUNCTION("UNIQUE('Raw Data Sales'!H762:H1760 &amp; "" "" &amp; 'Raw Data Sales'!I762:I1760)"),"Vic Curror")</f>
        <v>Vic Curror</v>
      </c>
      <c r="B762" s="6" t="str">
        <f>IFERROR(__xludf.DUMMYFUNCTION("""COMPUTED_VALUE"""),"vcurrorl4@lycos.com")</f>
        <v>vcurrorl4@lycos.com</v>
      </c>
      <c r="C762" s="6" t="str">
        <f>IFERROR(__xludf.DUMMYFUNCTION("""COMPUTED_VALUE"""),"China")</f>
        <v>China</v>
      </c>
      <c r="D762" s="6">
        <f>COUNTIFS('Raw Data Sales'!H762:H1760, LEFT(A762, FIND(" ",A762)-1), 'Raw Data Sales'!I762:I1760, MID(A762, FIND(" ",A762)+1, 100))</f>
        <v>1</v>
      </c>
      <c r="E762" s="6">
        <f>SUMIFS('Raw Data Sales'!M762:M1760, 'Raw Data Sales'!H762:H1760, LEFT(A762, FIND(" ",A762)-1), 'Raw Data Sales'!I762:I1760, MID(A762, FIND(" ",A762)+1, 100))</f>
        <v>25</v>
      </c>
      <c r="F762" s="6">
        <f>SUMIFS('Raw Data Sales'!N762:N1760, 'Raw Data Sales'!H762:H1760, LEFT(A762, FIND(" ",A762)-1), 'Raw Data Sales'!I762:I1760, MID(A762, FIND(" ",A762)+1, 100))</f>
        <v>8504</v>
      </c>
    </row>
    <row r="763">
      <c r="A763" s="6" t="str">
        <f>IFERROR(__xludf.DUMMYFUNCTION("UNIQUE('Raw Data Sales'!H763:H1761 &amp; "" "" &amp; 'Raw Data Sales'!I763:I1761)"),"Bernette Credland")</f>
        <v>Bernette Credland</v>
      </c>
      <c r="B763" s="6" t="str">
        <f>IFERROR(__xludf.DUMMYFUNCTION("""COMPUTED_VALUE"""),"bcredlandl5@ask.com")</f>
        <v>bcredlandl5@ask.com</v>
      </c>
      <c r="C763" s="6" t="str">
        <f>IFERROR(__xludf.DUMMYFUNCTION("""COMPUTED_VALUE"""),"Yemen")</f>
        <v>Yemen</v>
      </c>
      <c r="D763" s="6">
        <f>COUNTIFS('Raw Data Sales'!H763:H1761, LEFT(A763, FIND(" ",A763)-1), 'Raw Data Sales'!I763:I1761, MID(A763, FIND(" ",A763)+1, 100))</f>
        <v>1</v>
      </c>
      <c r="E763" s="6">
        <f>SUMIFS('Raw Data Sales'!M763:M1761, 'Raw Data Sales'!H763:H1761, LEFT(A763, FIND(" ",A763)-1), 'Raw Data Sales'!I763:I1761, MID(A763, FIND(" ",A763)+1, 100))</f>
        <v>57</v>
      </c>
      <c r="F763" s="6">
        <f>SUMIFS('Raw Data Sales'!N763:N1761, 'Raw Data Sales'!H763:H1761, LEFT(A763, FIND(" ",A763)-1), 'Raw Data Sales'!I763:I1761, MID(A763, FIND(" ",A763)+1, 100))</f>
        <v>5939.67</v>
      </c>
    </row>
    <row r="764">
      <c r="A764" s="6" t="str">
        <f>IFERROR(__xludf.DUMMYFUNCTION("UNIQUE('Raw Data Sales'!H764:H1762 &amp; "" "" &amp; 'Raw Data Sales'!I764:I1762)"),"Danella Von Der Empten")</f>
        <v>Danella Von Der Empten</v>
      </c>
      <c r="B764" s="6" t="str">
        <f>IFERROR(__xludf.DUMMYFUNCTION("""COMPUTED_VALUE"""),"dvonderemptenl6@opera.com")</f>
        <v>dvonderemptenl6@opera.com</v>
      </c>
      <c r="C764" s="6" t="str">
        <f>IFERROR(__xludf.DUMMYFUNCTION("""COMPUTED_VALUE"""),"Bosnia and Herzegovina")</f>
        <v>Bosnia and Herzegovina</v>
      </c>
      <c r="D764" s="6">
        <f>COUNTIFS('Raw Data Sales'!H764:H1762, LEFT(A764, FIND(" ",A764)-1), 'Raw Data Sales'!I764:I1762, MID(A764, FIND(" ",A764)+1, 100))</f>
        <v>1</v>
      </c>
      <c r="E764" s="6">
        <f>SUMIFS('Raw Data Sales'!M764:M1762, 'Raw Data Sales'!H764:H1762, LEFT(A764, FIND(" ",A764)-1), 'Raw Data Sales'!I764:I1762, MID(A764, FIND(" ",A764)+1, 100))</f>
        <v>86</v>
      </c>
      <c r="F764" s="6">
        <f>SUMIFS('Raw Data Sales'!N764:N1762, 'Raw Data Sales'!H764:H1762, LEFT(A764, FIND(" ",A764)-1), 'Raw Data Sales'!I764:I1762, MID(A764, FIND(" ",A764)+1, 100))</f>
        <v>7010.92</v>
      </c>
    </row>
    <row r="765">
      <c r="A765" s="6" t="str">
        <f>IFERROR(__xludf.DUMMYFUNCTION("UNIQUE('Raw Data Sales'!H765:H1763 &amp; "" "" &amp; 'Raw Data Sales'!I765:I1763)"),"Hettie Carlsson")</f>
        <v>Hettie Carlsson</v>
      </c>
      <c r="B765" s="6" t="str">
        <f>IFERROR(__xludf.DUMMYFUNCTION("""COMPUTED_VALUE"""),"hcarlssonl7@weebly.com")</f>
        <v>hcarlssonl7@weebly.com</v>
      </c>
      <c r="C765" s="6" t="str">
        <f>IFERROR(__xludf.DUMMYFUNCTION("""COMPUTED_VALUE"""),"Portugal")</f>
        <v>Portugal</v>
      </c>
      <c r="D765" s="6">
        <f>COUNTIFS('Raw Data Sales'!H765:H1763, LEFT(A765, FIND(" ",A765)-1), 'Raw Data Sales'!I765:I1763, MID(A765, FIND(" ",A765)+1, 100))</f>
        <v>1</v>
      </c>
      <c r="E765" s="6">
        <f>SUMIFS('Raw Data Sales'!M765:M1763, 'Raw Data Sales'!H765:H1763, LEFT(A765, FIND(" ",A765)-1), 'Raw Data Sales'!I765:I1763, MID(A765, FIND(" ",A765)+1, 100))</f>
        <v>59</v>
      </c>
      <c r="F765" s="6">
        <f>SUMIFS('Raw Data Sales'!N765:N1763, 'Raw Data Sales'!H765:H1763, LEFT(A765, FIND(" ",A765)-1), 'Raw Data Sales'!I765:I1763, MID(A765, FIND(" ",A765)+1, 100))</f>
        <v>9572.94</v>
      </c>
    </row>
    <row r="766">
      <c r="A766" s="6" t="str">
        <f>IFERROR(__xludf.DUMMYFUNCTION("UNIQUE('Raw Data Sales'!H766:H1764 &amp; "" "" &amp; 'Raw Data Sales'!I766:I1764)"),"Hayden Elvey")</f>
        <v>Hayden Elvey</v>
      </c>
      <c r="B766" s="6" t="str">
        <f>IFERROR(__xludf.DUMMYFUNCTION("""COMPUTED_VALUE"""),"helveyl8@issuu.com")</f>
        <v>helveyl8@issuu.com</v>
      </c>
      <c r="C766" s="6" t="str">
        <f>IFERROR(__xludf.DUMMYFUNCTION("""COMPUTED_VALUE"""),"Brazil")</f>
        <v>Brazil</v>
      </c>
      <c r="D766" s="6">
        <f>COUNTIFS('Raw Data Sales'!H766:H1764, LEFT(A766, FIND(" ",A766)-1), 'Raw Data Sales'!I766:I1764, MID(A766, FIND(" ",A766)+1, 100))</f>
        <v>1</v>
      </c>
      <c r="E766" s="6">
        <f>SUMIFS('Raw Data Sales'!M766:M1764, 'Raw Data Sales'!H766:H1764, LEFT(A766, FIND(" ",A766)-1), 'Raw Data Sales'!I766:I1764, MID(A766, FIND(" ",A766)+1, 100))</f>
        <v>95</v>
      </c>
      <c r="F766" s="6">
        <f>SUMIFS('Raw Data Sales'!N766:N1764, 'Raw Data Sales'!H766:H1764, LEFT(A766, FIND(" ",A766)-1), 'Raw Data Sales'!I766:I1764, MID(A766, FIND(" ",A766)+1, 100))</f>
        <v>2442.74</v>
      </c>
    </row>
    <row r="767">
      <c r="A767" s="6" t="str">
        <f>IFERROR(__xludf.DUMMYFUNCTION("UNIQUE('Raw Data Sales'!H767:H1765 &amp; "" "" &amp; 'Raw Data Sales'!I767:I1765)"),"Ross Disbrey")</f>
        <v>Ross Disbrey</v>
      </c>
      <c r="B767" s="6" t="str">
        <f>IFERROR(__xludf.DUMMYFUNCTION("""COMPUTED_VALUE"""),"rdisbreyl9@mayoclinic.com")</f>
        <v>rdisbreyl9@mayoclinic.com</v>
      </c>
      <c r="C767" s="6" t="str">
        <f>IFERROR(__xludf.DUMMYFUNCTION("""COMPUTED_VALUE"""),"Sweden")</f>
        <v>Sweden</v>
      </c>
      <c r="D767" s="6">
        <f>COUNTIFS('Raw Data Sales'!H767:H1765, LEFT(A767, FIND(" ",A767)-1), 'Raw Data Sales'!I767:I1765, MID(A767, FIND(" ",A767)+1, 100))</f>
        <v>1</v>
      </c>
      <c r="E767" s="6">
        <f>SUMIFS('Raw Data Sales'!M767:M1765, 'Raw Data Sales'!H767:H1765, LEFT(A767, FIND(" ",A767)-1), 'Raw Data Sales'!I767:I1765, MID(A767, FIND(" ",A767)+1, 100))</f>
        <v>85</v>
      </c>
      <c r="F767" s="6">
        <f>SUMIFS('Raw Data Sales'!N767:N1765, 'Raw Data Sales'!H767:H1765, LEFT(A767, FIND(" ",A767)-1), 'Raw Data Sales'!I767:I1765, MID(A767, FIND(" ",A767)+1, 100))</f>
        <v>5979.91</v>
      </c>
    </row>
    <row r="768">
      <c r="A768" s="6" t="str">
        <f>IFERROR(__xludf.DUMMYFUNCTION("UNIQUE('Raw Data Sales'!H768:H1766 &amp; "" "" &amp; 'Raw Data Sales'!I768:I1766)"),"Romy Stonnell")</f>
        <v>Romy Stonnell</v>
      </c>
      <c r="B768" s="6" t="str">
        <f>IFERROR(__xludf.DUMMYFUNCTION("""COMPUTED_VALUE"""),"rstonnellla@marriott.com")</f>
        <v>rstonnellla@marriott.com</v>
      </c>
      <c r="C768" s="6" t="str">
        <f>IFERROR(__xludf.DUMMYFUNCTION("""COMPUTED_VALUE"""),"Canada")</f>
        <v>Canada</v>
      </c>
      <c r="D768" s="6">
        <f>COUNTIFS('Raw Data Sales'!H768:H1766, LEFT(A768, FIND(" ",A768)-1), 'Raw Data Sales'!I768:I1766, MID(A768, FIND(" ",A768)+1, 100))</f>
        <v>1</v>
      </c>
      <c r="E768" s="6">
        <f>SUMIFS('Raw Data Sales'!M768:M1766, 'Raw Data Sales'!H768:H1766, LEFT(A768, FIND(" ",A768)-1), 'Raw Data Sales'!I768:I1766, MID(A768, FIND(" ",A768)+1, 100))</f>
        <v>81</v>
      </c>
      <c r="F768" s="6">
        <f>SUMIFS('Raw Data Sales'!N768:N1766, 'Raw Data Sales'!H768:H1766, LEFT(A768, FIND(" ",A768)-1), 'Raw Data Sales'!I768:I1766, MID(A768, FIND(" ",A768)+1, 100))</f>
        <v>7907.18</v>
      </c>
    </row>
    <row r="769">
      <c r="A769" s="6" t="str">
        <f>IFERROR(__xludf.DUMMYFUNCTION("UNIQUE('Raw Data Sales'!H769:H1767 &amp; "" "" &amp; 'Raw Data Sales'!I769:I1767)"),"Johnnie Itzig")</f>
        <v>Johnnie Itzig</v>
      </c>
      <c r="B769" s="6" t="str">
        <f>IFERROR(__xludf.DUMMYFUNCTION("""COMPUTED_VALUE"""),"jitziglb@istockphoto.com")</f>
        <v>jitziglb@istockphoto.com</v>
      </c>
      <c r="C769" s="6" t="str">
        <f>IFERROR(__xludf.DUMMYFUNCTION("""COMPUTED_VALUE"""),"Georgia")</f>
        <v>Georgia</v>
      </c>
      <c r="D769" s="6">
        <f>COUNTIFS('Raw Data Sales'!H769:H1767, LEFT(A769, FIND(" ",A769)-1), 'Raw Data Sales'!I769:I1767, MID(A769, FIND(" ",A769)+1, 100))</f>
        <v>1</v>
      </c>
      <c r="E769" s="6">
        <f>SUMIFS('Raw Data Sales'!M769:M1767, 'Raw Data Sales'!H769:H1767, LEFT(A769, FIND(" ",A769)-1), 'Raw Data Sales'!I769:I1767, MID(A769, FIND(" ",A769)+1, 100))</f>
        <v>35</v>
      </c>
      <c r="F769" s="6">
        <f>SUMIFS('Raw Data Sales'!N769:N1767, 'Raw Data Sales'!H769:H1767, LEFT(A769, FIND(" ",A769)-1), 'Raw Data Sales'!I769:I1767, MID(A769, FIND(" ",A769)+1, 100))</f>
        <v>6578.16</v>
      </c>
    </row>
    <row r="770">
      <c r="A770" s="6" t="str">
        <f>IFERROR(__xludf.DUMMYFUNCTION("UNIQUE('Raw Data Sales'!H770:H1768 &amp; "" "" &amp; 'Raw Data Sales'!I770:I1768)"),"Lyssa Vivians")</f>
        <v>Lyssa Vivians</v>
      </c>
      <c r="B770" s="6" t="str">
        <f>IFERROR(__xludf.DUMMYFUNCTION("""COMPUTED_VALUE"""),"lvivianslc@eepurl.com")</f>
        <v>lvivianslc@eepurl.com</v>
      </c>
      <c r="C770" s="6" t="str">
        <f>IFERROR(__xludf.DUMMYFUNCTION("""COMPUTED_VALUE"""),"Iran")</f>
        <v>Iran</v>
      </c>
      <c r="D770" s="6">
        <f>COUNTIFS('Raw Data Sales'!H770:H1768, LEFT(A770, FIND(" ",A770)-1), 'Raw Data Sales'!I770:I1768, MID(A770, FIND(" ",A770)+1, 100))</f>
        <v>1</v>
      </c>
      <c r="E770" s="6">
        <f>SUMIFS('Raw Data Sales'!M770:M1768, 'Raw Data Sales'!H770:H1768, LEFT(A770, FIND(" ",A770)-1), 'Raw Data Sales'!I770:I1768, MID(A770, FIND(" ",A770)+1, 100))</f>
        <v>82</v>
      </c>
      <c r="F770" s="6">
        <f>SUMIFS('Raw Data Sales'!N770:N1768, 'Raw Data Sales'!H770:H1768, LEFT(A770, FIND(" ",A770)-1), 'Raw Data Sales'!I770:I1768, MID(A770, FIND(" ",A770)+1, 100))</f>
        <v>9243.93</v>
      </c>
    </row>
    <row r="771">
      <c r="A771" s="6" t="str">
        <f>IFERROR(__xludf.DUMMYFUNCTION("UNIQUE('Raw Data Sales'!H771:H1769 &amp; "" "" &amp; 'Raw Data Sales'!I771:I1769)"),"Maria Raggles")</f>
        <v>Maria Raggles</v>
      </c>
      <c r="B771" s="6" t="str">
        <f>IFERROR(__xludf.DUMMYFUNCTION("""COMPUTED_VALUE"""),"mragglesld@people.com.cn")</f>
        <v>mragglesld@people.com.cn</v>
      </c>
      <c r="C771" s="6" t="str">
        <f>IFERROR(__xludf.DUMMYFUNCTION("""COMPUTED_VALUE"""),"Indonesia")</f>
        <v>Indonesia</v>
      </c>
      <c r="D771" s="6">
        <f>COUNTIFS('Raw Data Sales'!H771:H1769, LEFT(A771, FIND(" ",A771)-1), 'Raw Data Sales'!I771:I1769, MID(A771, FIND(" ",A771)+1, 100))</f>
        <v>1</v>
      </c>
      <c r="E771" s="6">
        <f>SUMIFS('Raw Data Sales'!M771:M1769, 'Raw Data Sales'!H771:H1769, LEFT(A771, FIND(" ",A771)-1), 'Raw Data Sales'!I771:I1769, MID(A771, FIND(" ",A771)+1, 100))</f>
        <v>90</v>
      </c>
      <c r="F771" s="6">
        <f>SUMIFS('Raw Data Sales'!N771:N1769, 'Raw Data Sales'!H771:H1769, LEFT(A771, FIND(" ",A771)-1), 'Raw Data Sales'!I771:I1769, MID(A771, FIND(" ",A771)+1, 100))</f>
        <v>5423.73</v>
      </c>
    </row>
    <row r="772">
      <c r="A772" s="6" t="str">
        <f>IFERROR(__xludf.DUMMYFUNCTION("UNIQUE('Raw Data Sales'!H772:H1770 &amp; "" "" &amp; 'Raw Data Sales'!I772:I1770)"),"Fidelia Rutland")</f>
        <v>Fidelia Rutland</v>
      </c>
      <c r="B772" s="6" t="str">
        <f>IFERROR(__xludf.DUMMYFUNCTION("""COMPUTED_VALUE"""),"frutlandle@arizona.edu")</f>
        <v>frutlandle@arizona.edu</v>
      </c>
      <c r="C772" s="6" t="str">
        <f>IFERROR(__xludf.DUMMYFUNCTION("""COMPUTED_VALUE"""),"Philippines")</f>
        <v>Philippines</v>
      </c>
      <c r="D772" s="6">
        <f>COUNTIFS('Raw Data Sales'!H772:H1770, LEFT(A772, FIND(" ",A772)-1), 'Raw Data Sales'!I772:I1770, MID(A772, FIND(" ",A772)+1, 100))</f>
        <v>1</v>
      </c>
      <c r="E772" s="6">
        <f>SUMIFS('Raw Data Sales'!M772:M1770, 'Raw Data Sales'!H772:H1770, LEFT(A772, FIND(" ",A772)-1), 'Raw Data Sales'!I772:I1770, MID(A772, FIND(" ",A772)+1, 100))</f>
        <v>93</v>
      </c>
      <c r="F772" s="6">
        <f>SUMIFS('Raw Data Sales'!N772:N1770, 'Raw Data Sales'!H772:H1770, LEFT(A772, FIND(" ",A772)-1), 'Raw Data Sales'!I772:I1770, MID(A772, FIND(" ",A772)+1, 100))</f>
        <v>8660.97</v>
      </c>
    </row>
    <row r="773">
      <c r="A773" s="6" t="str">
        <f>IFERROR(__xludf.DUMMYFUNCTION("UNIQUE('Raw Data Sales'!H773:H1771 &amp; "" "" &amp; 'Raw Data Sales'!I773:I1771)"),"Aldwin Jaan")</f>
        <v>Aldwin Jaan</v>
      </c>
      <c r="B773" s="6" t="str">
        <f>IFERROR(__xludf.DUMMYFUNCTION("""COMPUTED_VALUE"""),"ajaanlf@tamu.edu")</f>
        <v>ajaanlf@tamu.edu</v>
      </c>
      <c r="C773" s="6" t="str">
        <f>IFERROR(__xludf.DUMMYFUNCTION("""COMPUTED_VALUE"""),"Ireland")</f>
        <v>Ireland</v>
      </c>
      <c r="D773" s="6">
        <f>COUNTIFS('Raw Data Sales'!H773:H1771, LEFT(A773, FIND(" ",A773)-1), 'Raw Data Sales'!I773:I1771, MID(A773, FIND(" ",A773)+1, 100))</f>
        <v>1</v>
      </c>
      <c r="E773" s="6">
        <f>SUMIFS('Raw Data Sales'!M773:M1771, 'Raw Data Sales'!H773:H1771, LEFT(A773, FIND(" ",A773)-1), 'Raw Data Sales'!I773:I1771, MID(A773, FIND(" ",A773)+1, 100))</f>
        <v>1</v>
      </c>
      <c r="F773" s="6">
        <f>SUMIFS('Raw Data Sales'!N773:N1771, 'Raw Data Sales'!H773:H1771, LEFT(A773, FIND(" ",A773)-1), 'Raw Data Sales'!I773:I1771, MID(A773, FIND(" ",A773)+1, 100))</f>
        <v>6246.65</v>
      </c>
    </row>
    <row r="774">
      <c r="A774" s="6" t="str">
        <f>IFERROR(__xludf.DUMMYFUNCTION("UNIQUE('Raw Data Sales'!H774:H1772 &amp; "" "" &amp; 'Raw Data Sales'!I774:I1772)"),"Benito O'Lehane")</f>
        <v>Benito O'Lehane</v>
      </c>
      <c r="B774" s="6" t="str">
        <f>IFERROR(__xludf.DUMMYFUNCTION("""COMPUTED_VALUE"""),"bolehanelg@va.gov")</f>
        <v>bolehanelg@va.gov</v>
      </c>
      <c r="C774" s="6" t="str">
        <f>IFERROR(__xludf.DUMMYFUNCTION("""COMPUTED_VALUE"""),"Turkmenistan")</f>
        <v>Turkmenistan</v>
      </c>
      <c r="D774" s="6">
        <f>COUNTIFS('Raw Data Sales'!H774:H1772, LEFT(A774, FIND(" ",A774)-1), 'Raw Data Sales'!I774:I1772, MID(A774, FIND(" ",A774)+1, 100))</f>
        <v>1</v>
      </c>
      <c r="E774" s="6">
        <f>SUMIFS('Raw Data Sales'!M774:M1772, 'Raw Data Sales'!H774:H1772, LEFT(A774, FIND(" ",A774)-1), 'Raw Data Sales'!I774:I1772, MID(A774, FIND(" ",A774)+1, 100))</f>
        <v>60</v>
      </c>
      <c r="F774" s="6">
        <f>SUMIFS('Raw Data Sales'!N774:N1772, 'Raw Data Sales'!H774:H1772, LEFT(A774, FIND(" ",A774)-1), 'Raw Data Sales'!I774:I1772, MID(A774, FIND(" ",A774)+1, 100))</f>
        <v>4992.68</v>
      </c>
    </row>
    <row r="775">
      <c r="A775" s="6" t="str">
        <f>IFERROR(__xludf.DUMMYFUNCTION("UNIQUE('Raw Data Sales'!H775:H1773 &amp; "" "" &amp; 'Raw Data Sales'!I775:I1773)"),"Tremaine Calow")</f>
        <v>Tremaine Calow</v>
      </c>
      <c r="B775" s="6" t="str">
        <f>IFERROR(__xludf.DUMMYFUNCTION("""COMPUTED_VALUE"""),"tcalowlh@weibo.com")</f>
        <v>tcalowlh@weibo.com</v>
      </c>
      <c r="C775" s="6" t="str">
        <f>IFERROR(__xludf.DUMMYFUNCTION("""COMPUTED_VALUE"""),"Albania")</f>
        <v>Albania</v>
      </c>
      <c r="D775" s="6">
        <f>COUNTIFS('Raw Data Sales'!H775:H1773, LEFT(A775, FIND(" ",A775)-1), 'Raw Data Sales'!I775:I1773, MID(A775, FIND(" ",A775)+1, 100))</f>
        <v>1</v>
      </c>
      <c r="E775" s="6">
        <f>SUMIFS('Raw Data Sales'!M775:M1773, 'Raw Data Sales'!H775:H1773, LEFT(A775, FIND(" ",A775)-1), 'Raw Data Sales'!I775:I1773, MID(A775, FIND(" ",A775)+1, 100))</f>
        <v>86</v>
      </c>
      <c r="F775" s="6">
        <f>SUMIFS('Raw Data Sales'!N775:N1773, 'Raw Data Sales'!H775:H1773, LEFT(A775, FIND(" ",A775)-1), 'Raw Data Sales'!I775:I1773, MID(A775, FIND(" ",A775)+1, 100))</f>
        <v>310.04</v>
      </c>
    </row>
    <row r="776">
      <c r="A776" s="6" t="str">
        <f>IFERROR(__xludf.DUMMYFUNCTION("UNIQUE('Raw Data Sales'!H776:H1774 &amp; "" "" &amp; 'Raw Data Sales'!I776:I1774)"),"Roxana Jamieson")</f>
        <v>Roxana Jamieson</v>
      </c>
      <c r="B776" s="6" t="str">
        <f>IFERROR(__xludf.DUMMYFUNCTION("""COMPUTED_VALUE"""),"rjamiesonli@china.com.cn")</f>
        <v>rjamiesonli@china.com.cn</v>
      </c>
      <c r="C776" s="6" t="str">
        <f>IFERROR(__xludf.DUMMYFUNCTION("""COMPUTED_VALUE"""),"Jamaica")</f>
        <v>Jamaica</v>
      </c>
      <c r="D776" s="6">
        <f>COUNTIFS('Raw Data Sales'!H776:H1774, LEFT(A776, FIND(" ",A776)-1), 'Raw Data Sales'!I776:I1774, MID(A776, FIND(" ",A776)+1, 100))</f>
        <v>1</v>
      </c>
      <c r="E776" s="6">
        <f>SUMIFS('Raw Data Sales'!M776:M1774, 'Raw Data Sales'!H776:H1774, LEFT(A776, FIND(" ",A776)-1), 'Raw Data Sales'!I776:I1774, MID(A776, FIND(" ",A776)+1, 100))</f>
        <v>69</v>
      </c>
      <c r="F776" s="6">
        <f>SUMIFS('Raw Data Sales'!N776:N1774, 'Raw Data Sales'!H776:H1774, LEFT(A776, FIND(" ",A776)-1), 'Raw Data Sales'!I776:I1774, MID(A776, FIND(" ",A776)+1, 100))</f>
        <v>2591.36</v>
      </c>
    </row>
    <row r="777">
      <c r="A777" s="6" t="str">
        <f>IFERROR(__xludf.DUMMYFUNCTION("UNIQUE('Raw Data Sales'!H777:H1775 &amp; "" "" &amp; 'Raw Data Sales'!I777:I1775)"),"Dolf Risborough")</f>
        <v>Dolf Risborough</v>
      </c>
      <c r="B777" s="6" t="str">
        <f>IFERROR(__xludf.DUMMYFUNCTION("""COMPUTED_VALUE"""),"drisboroughlj@nsw.gov.au")</f>
        <v>drisboroughlj@nsw.gov.au</v>
      </c>
      <c r="C777" s="6" t="str">
        <f>IFERROR(__xludf.DUMMYFUNCTION("""COMPUTED_VALUE"""),"Mongolia")</f>
        <v>Mongolia</v>
      </c>
      <c r="D777" s="6">
        <f>COUNTIFS('Raw Data Sales'!H777:H1775, LEFT(A777, FIND(" ",A777)-1), 'Raw Data Sales'!I777:I1775, MID(A777, FIND(" ",A777)+1, 100))</f>
        <v>1</v>
      </c>
      <c r="E777" s="6">
        <f>SUMIFS('Raw Data Sales'!M777:M1775, 'Raw Data Sales'!H777:H1775, LEFT(A777, FIND(" ",A777)-1), 'Raw Data Sales'!I777:I1775, MID(A777, FIND(" ",A777)+1, 100))</f>
        <v>15</v>
      </c>
      <c r="F777" s="6">
        <f>SUMIFS('Raw Data Sales'!N777:N1775, 'Raw Data Sales'!H777:H1775, LEFT(A777, FIND(" ",A777)-1), 'Raw Data Sales'!I777:I1775, MID(A777, FIND(" ",A777)+1, 100))</f>
        <v>7705.17</v>
      </c>
    </row>
    <row r="778">
      <c r="A778" s="6" t="str">
        <f>IFERROR(__xludf.DUMMYFUNCTION("UNIQUE('Raw Data Sales'!H778:H1776 &amp; "" "" &amp; 'Raw Data Sales'!I778:I1776)"),"Sara Romaines")</f>
        <v>Sara Romaines</v>
      </c>
      <c r="B778" s="6" t="str">
        <f>IFERROR(__xludf.DUMMYFUNCTION("""COMPUTED_VALUE"""),"sromaineslk@printfriendly.com")</f>
        <v>sromaineslk@printfriendly.com</v>
      </c>
      <c r="C778" s="6" t="str">
        <f>IFERROR(__xludf.DUMMYFUNCTION("""COMPUTED_VALUE"""),"Croatia")</f>
        <v>Croatia</v>
      </c>
      <c r="D778" s="6">
        <f>COUNTIFS('Raw Data Sales'!H778:H1776, LEFT(A778, FIND(" ",A778)-1), 'Raw Data Sales'!I778:I1776, MID(A778, FIND(" ",A778)+1, 100))</f>
        <v>1</v>
      </c>
      <c r="E778" s="6">
        <f>SUMIFS('Raw Data Sales'!M778:M1776, 'Raw Data Sales'!H778:H1776, LEFT(A778, FIND(" ",A778)-1), 'Raw Data Sales'!I778:I1776, MID(A778, FIND(" ",A778)+1, 100))</f>
        <v>34</v>
      </c>
      <c r="F778" s="6">
        <f>SUMIFS('Raw Data Sales'!N778:N1776, 'Raw Data Sales'!H778:H1776, LEFT(A778, FIND(" ",A778)-1), 'Raw Data Sales'!I778:I1776, MID(A778, FIND(" ",A778)+1, 100))</f>
        <v>4935.67</v>
      </c>
    </row>
    <row r="779">
      <c r="A779" s="6" t="str">
        <f>IFERROR(__xludf.DUMMYFUNCTION("UNIQUE('Raw Data Sales'!H779:H1777 &amp; "" "" &amp; 'Raw Data Sales'!I779:I1777)"),"Troy Claeskens")</f>
        <v>Troy Claeskens</v>
      </c>
      <c r="B779" s="6" t="str">
        <f>IFERROR(__xludf.DUMMYFUNCTION("""COMPUTED_VALUE"""),"tclaeskensll@census.gov")</f>
        <v>tclaeskensll@census.gov</v>
      </c>
      <c r="C779" s="6" t="str">
        <f>IFERROR(__xludf.DUMMYFUNCTION("""COMPUTED_VALUE"""),"Indonesia")</f>
        <v>Indonesia</v>
      </c>
      <c r="D779" s="6">
        <f>COUNTIFS('Raw Data Sales'!H779:H1777, LEFT(A779, FIND(" ",A779)-1), 'Raw Data Sales'!I779:I1777, MID(A779, FIND(" ",A779)+1, 100))</f>
        <v>1</v>
      </c>
      <c r="E779" s="6">
        <f>SUMIFS('Raw Data Sales'!M779:M1777, 'Raw Data Sales'!H779:H1777, LEFT(A779, FIND(" ",A779)-1), 'Raw Data Sales'!I779:I1777, MID(A779, FIND(" ",A779)+1, 100))</f>
        <v>36</v>
      </c>
      <c r="F779" s="6">
        <f>SUMIFS('Raw Data Sales'!N779:N1777, 'Raw Data Sales'!H779:H1777, LEFT(A779, FIND(" ",A779)-1), 'Raw Data Sales'!I779:I1777, MID(A779, FIND(" ",A779)+1, 100))</f>
        <v>7771.14</v>
      </c>
    </row>
    <row r="780">
      <c r="A780" s="6" t="str">
        <f>IFERROR(__xludf.DUMMYFUNCTION("UNIQUE('Raw Data Sales'!H780:H1778 &amp; "" "" &amp; 'Raw Data Sales'!I780:I1778)"),"Concordia Guyers")</f>
        <v>Concordia Guyers</v>
      </c>
      <c r="B780" s="6" t="str">
        <f>IFERROR(__xludf.DUMMYFUNCTION("""COMPUTED_VALUE"""),"cguyerslm@sphinn.com")</f>
        <v>cguyerslm@sphinn.com</v>
      </c>
      <c r="C780" s="6" t="str">
        <f>IFERROR(__xludf.DUMMYFUNCTION("""COMPUTED_VALUE"""),"Portugal")</f>
        <v>Portugal</v>
      </c>
      <c r="D780" s="6">
        <f>COUNTIFS('Raw Data Sales'!H780:H1778, LEFT(A780, FIND(" ",A780)-1), 'Raw Data Sales'!I780:I1778, MID(A780, FIND(" ",A780)+1, 100))</f>
        <v>1</v>
      </c>
      <c r="E780" s="6">
        <f>SUMIFS('Raw Data Sales'!M780:M1778, 'Raw Data Sales'!H780:H1778, LEFT(A780, FIND(" ",A780)-1), 'Raw Data Sales'!I780:I1778, MID(A780, FIND(" ",A780)+1, 100))</f>
        <v>90</v>
      </c>
      <c r="F780" s="6">
        <f>SUMIFS('Raw Data Sales'!N780:N1778, 'Raw Data Sales'!H780:H1778, LEFT(A780, FIND(" ",A780)-1), 'Raw Data Sales'!I780:I1778, MID(A780, FIND(" ",A780)+1, 100))</f>
        <v>7124.36</v>
      </c>
    </row>
    <row r="781">
      <c r="A781" s="6" t="str">
        <f>IFERROR(__xludf.DUMMYFUNCTION("UNIQUE('Raw Data Sales'!H781:H1779 &amp; "" "" &amp; 'Raw Data Sales'!I781:I1779)"),"Curry Vowells")</f>
        <v>Curry Vowells</v>
      </c>
      <c r="B781" s="6" t="str">
        <f>IFERROR(__xludf.DUMMYFUNCTION("""COMPUTED_VALUE"""),"cvowellsln@washingtonpost.com")</f>
        <v>cvowellsln@washingtonpost.com</v>
      </c>
      <c r="C781" s="6" t="str">
        <f>IFERROR(__xludf.DUMMYFUNCTION("""COMPUTED_VALUE"""),"Brazil")</f>
        <v>Brazil</v>
      </c>
      <c r="D781" s="6">
        <f>COUNTIFS('Raw Data Sales'!H781:H1779, LEFT(A781, FIND(" ",A781)-1), 'Raw Data Sales'!I781:I1779, MID(A781, FIND(" ",A781)+1, 100))</f>
        <v>1</v>
      </c>
      <c r="E781" s="6">
        <f>SUMIFS('Raw Data Sales'!M781:M1779, 'Raw Data Sales'!H781:H1779, LEFT(A781, FIND(" ",A781)-1), 'Raw Data Sales'!I781:I1779, MID(A781, FIND(" ",A781)+1, 100))</f>
        <v>75</v>
      </c>
      <c r="F781" s="6">
        <f>SUMIFS('Raw Data Sales'!N781:N1779, 'Raw Data Sales'!H781:H1779, LEFT(A781, FIND(" ",A781)-1), 'Raw Data Sales'!I781:I1779, MID(A781, FIND(" ",A781)+1, 100))</f>
        <v>399.23</v>
      </c>
    </row>
    <row r="782">
      <c r="A782" s="6" t="str">
        <f>IFERROR(__xludf.DUMMYFUNCTION("UNIQUE('Raw Data Sales'!H782:H1780 &amp; "" "" &amp; 'Raw Data Sales'!I782:I1780)"),"Marcelline Tulloch")</f>
        <v>Marcelline Tulloch</v>
      </c>
      <c r="B782" s="6" t="str">
        <f>IFERROR(__xludf.DUMMYFUNCTION("""COMPUTED_VALUE"""),"mtullochlo@whitehouse.gov")</f>
        <v>mtullochlo@whitehouse.gov</v>
      </c>
      <c r="C782" s="6" t="str">
        <f>IFERROR(__xludf.DUMMYFUNCTION("""COMPUTED_VALUE"""),"Armenia")</f>
        <v>Armenia</v>
      </c>
      <c r="D782" s="6">
        <f>COUNTIFS('Raw Data Sales'!H782:H1780, LEFT(A782, FIND(" ",A782)-1), 'Raw Data Sales'!I782:I1780, MID(A782, FIND(" ",A782)+1, 100))</f>
        <v>1</v>
      </c>
      <c r="E782" s="6">
        <f>SUMIFS('Raw Data Sales'!M782:M1780, 'Raw Data Sales'!H782:H1780, LEFT(A782, FIND(" ",A782)-1), 'Raw Data Sales'!I782:I1780, MID(A782, FIND(" ",A782)+1, 100))</f>
        <v>27</v>
      </c>
      <c r="F782" s="6">
        <f>SUMIFS('Raw Data Sales'!N782:N1780, 'Raw Data Sales'!H782:H1780, LEFT(A782, FIND(" ",A782)-1), 'Raw Data Sales'!I782:I1780, MID(A782, FIND(" ",A782)+1, 100))</f>
        <v>4568.97</v>
      </c>
    </row>
    <row r="783">
      <c r="A783" s="6" t="str">
        <f>IFERROR(__xludf.DUMMYFUNCTION("UNIQUE('Raw Data Sales'!H783:H1781 &amp; "" "" &amp; 'Raw Data Sales'!I783:I1781)"),"Montgomery Osbiston")</f>
        <v>Montgomery Osbiston</v>
      </c>
      <c r="B783" s="6" t="str">
        <f>IFERROR(__xludf.DUMMYFUNCTION("""COMPUTED_VALUE"""),"mosbistonlp@people.com.cn")</f>
        <v>mosbistonlp@people.com.cn</v>
      </c>
      <c r="C783" s="6" t="str">
        <f>IFERROR(__xludf.DUMMYFUNCTION("""COMPUTED_VALUE"""),"Argentina")</f>
        <v>Argentina</v>
      </c>
      <c r="D783" s="6">
        <f>COUNTIFS('Raw Data Sales'!H783:H1781, LEFT(A783, FIND(" ",A783)-1), 'Raw Data Sales'!I783:I1781, MID(A783, FIND(" ",A783)+1, 100))</f>
        <v>1</v>
      </c>
      <c r="E783" s="6">
        <f>SUMIFS('Raw Data Sales'!M783:M1781, 'Raw Data Sales'!H783:H1781, LEFT(A783, FIND(" ",A783)-1), 'Raw Data Sales'!I783:I1781, MID(A783, FIND(" ",A783)+1, 100))</f>
        <v>29</v>
      </c>
      <c r="F783" s="6">
        <f>SUMIFS('Raw Data Sales'!N783:N1781, 'Raw Data Sales'!H783:H1781, LEFT(A783, FIND(" ",A783)-1), 'Raw Data Sales'!I783:I1781, MID(A783, FIND(" ",A783)+1, 100))</f>
        <v>1675.71</v>
      </c>
    </row>
    <row r="784">
      <c r="A784" s="6" t="str">
        <f>IFERROR(__xludf.DUMMYFUNCTION("UNIQUE('Raw Data Sales'!H784:H1782 &amp; "" "" &amp; 'Raw Data Sales'!I784:I1782)"),"Karena Borrowman")</f>
        <v>Karena Borrowman</v>
      </c>
      <c r="B784" s="6" t="str">
        <f>IFERROR(__xludf.DUMMYFUNCTION("""COMPUTED_VALUE"""),"kborrowmanlq@ebay.com")</f>
        <v>kborrowmanlq@ebay.com</v>
      </c>
      <c r="C784" s="6" t="str">
        <f>IFERROR(__xludf.DUMMYFUNCTION("""COMPUTED_VALUE"""),"China")</f>
        <v>China</v>
      </c>
      <c r="D784" s="6">
        <f>COUNTIFS('Raw Data Sales'!H784:H1782, LEFT(A784, FIND(" ",A784)-1), 'Raw Data Sales'!I784:I1782, MID(A784, FIND(" ",A784)+1, 100))</f>
        <v>1</v>
      </c>
      <c r="E784" s="6">
        <f>SUMIFS('Raw Data Sales'!M784:M1782, 'Raw Data Sales'!H784:H1782, LEFT(A784, FIND(" ",A784)-1), 'Raw Data Sales'!I784:I1782, MID(A784, FIND(" ",A784)+1, 100))</f>
        <v>60</v>
      </c>
      <c r="F784" s="6">
        <f>SUMIFS('Raw Data Sales'!N784:N1782, 'Raw Data Sales'!H784:H1782, LEFT(A784, FIND(" ",A784)-1), 'Raw Data Sales'!I784:I1782, MID(A784, FIND(" ",A784)+1, 100))</f>
        <v>7152.6</v>
      </c>
    </row>
    <row r="785">
      <c r="A785" s="6" t="str">
        <f>IFERROR(__xludf.DUMMYFUNCTION("UNIQUE('Raw Data Sales'!H785:H1783 &amp; "" "" &amp; 'Raw Data Sales'!I785:I1783)"),"Bryant Jzak")</f>
        <v>Bryant Jzak</v>
      </c>
      <c r="B785" s="6" t="str">
        <f>IFERROR(__xludf.DUMMYFUNCTION("""COMPUTED_VALUE"""),"bjzaklr@i2i.jp")</f>
        <v>bjzaklr@i2i.jp</v>
      </c>
      <c r="C785" s="6" t="str">
        <f>IFERROR(__xludf.DUMMYFUNCTION("""COMPUTED_VALUE"""),"Namibia")</f>
        <v>Namibia</v>
      </c>
      <c r="D785" s="6">
        <f>COUNTIFS('Raw Data Sales'!H785:H1783, LEFT(A785, FIND(" ",A785)-1), 'Raw Data Sales'!I785:I1783, MID(A785, FIND(" ",A785)+1, 100))</f>
        <v>1</v>
      </c>
      <c r="E785" s="6">
        <f>SUMIFS('Raw Data Sales'!M785:M1783, 'Raw Data Sales'!H785:H1783, LEFT(A785, FIND(" ",A785)-1), 'Raw Data Sales'!I785:I1783, MID(A785, FIND(" ",A785)+1, 100))</f>
        <v>22</v>
      </c>
      <c r="F785" s="6">
        <f>SUMIFS('Raw Data Sales'!N785:N1783, 'Raw Data Sales'!H785:H1783, LEFT(A785, FIND(" ",A785)-1), 'Raw Data Sales'!I785:I1783, MID(A785, FIND(" ",A785)+1, 100))</f>
        <v>5476.85</v>
      </c>
    </row>
    <row r="786">
      <c r="A786" s="6" t="str">
        <f>IFERROR(__xludf.DUMMYFUNCTION("UNIQUE('Raw Data Sales'!H786:H1784 &amp; "" "" &amp; 'Raw Data Sales'!I786:I1784)"),"Alana Lightning")</f>
        <v>Alana Lightning</v>
      </c>
      <c r="B786" s="6" t="str">
        <f>IFERROR(__xludf.DUMMYFUNCTION("""COMPUTED_VALUE"""),"alightningls@oracle.com")</f>
        <v>alightningls@oracle.com</v>
      </c>
      <c r="C786" s="6" t="str">
        <f>IFERROR(__xludf.DUMMYFUNCTION("""COMPUTED_VALUE"""),"Ukraine")</f>
        <v>Ukraine</v>
      </c>
      <c r="D786" s="6">
        <f>COUNTIFS('Raw Data Sales'!H786:H1784, LEFT(A786, FIND(" ",A786)-1), 'Raw Data Sales'!I786:I1784, MID(A786, FIND(" ",A786)+1, 100))</f>
        <v>1</v>
      </c>
      <c r="E786" s="6">
        <f>SUMIFS('Raw Data Sales'!M786:M1784, 'Raw Data Sales'!H786:H1784, LEFT(A786, FIND(" ",A786)-1), 'Raw Data Sales'!I786:I1784, MID(A786, FIND(" ",A786)+1, 100))</f>
        <v>73</v>
      </c>
      <c r="F786" s="6">
        <f>SUMIFS('Raw Data Sales'!N786:N1784, 'Raw Data Sales'!H786:H1784, LEFT(A786, FIND(" ",A786)-1), 'Raw Data Sales'!I786:I1784, MID(A786, FIND(" ",A786)+1, 100))</f>
        <v>3643.4</v>
      </c>
    </row>
    <row r="787">
      <c r="A787" s="6" t="str">
        <f>IFERROR(__xludf.DUMMYFUNCTION("UNIQUE('Raw Data Sales'!H787:H1785 &amp; "" "" &amp; 'Raw Data Sales'!I787:I1785)"),"Maynord Cranefield")</f>
        <v>Maynord Cranefield</v>
      </c>
      <c r="B787" s="6" t="str">
        <f>IFERROR(__xludf.DUMMYFUNCTION("""COMPUTED_VALUE"""),"mcranefieldlt@ow.ly")</f>
        <v>mcranefieldlt@ow.ly</v>
      </c>
      <c r="C787" s="6" t="str">
        <f>IFERROR(__xludf.DUMMYFUNCTION("""COMPUTED_VALUE"""),"Philippines")</f>
        <v>Philippines</v>
      </c>
      <c r="D787" s="6">
        <f>COUNTIFS('Raw Data Sales'!H787:H1785, LEFT(A787, FIND(" ",A787)-1), 'Raw Data Sales'!I787:I1785, MID(A787, FIND(" ",A787)+1, 100))</f>
        <v>1</v>
      </c>
      <c r="E787" s="6">
        <f>SUMIFS('Raw Data Sales'!M787:M1785, 'Raw Data Sales'!H787:H1785, LEFT(A787, FIND(" ",A787)-1), 'Raw Data Sales'!I787:I1785, MID(A787, FIND(" ",A787)+1, 100))</f>
        <v>24</v>
      </c>
      <c r="F787" s="6">
        <f>SUMIFS('Raw Data Sales'!N787:N1785, 'Raw Data Sales'!H787:H1785, LEFT(A787, FIND(" ",A787)-1), 'Raw Data Sales'!I787:I1785, MID(A787, FIND(" ",A787)+1, 100))</f>
        <v>7446.4</v>
      </c>
    </row>
    <row r="788">
      <c r="A788" s="6" t="str">
        <f>IFERROR(__xludf.DUMMYFUNCTION("UNIQUE('Raw Data Sales'!H788:H1786 &amp; "" "" &amp; 'Raw Data Sales'!I788:I1786)"),"Olia Yakubovics")</f>
        <v>Olia Yakubovics</v>
      </c>
      <c r="B788" s="6" t="str">
        <f>IFERROR(__xludf.DUMMYFUNCTION("""COMPUTED_VALUE"""),"oyakubovicslu@skype.com")</f>
        <v>oyakubovicslu@skype.com</v>
      </c>
      <c r="C788" s="6" t="str">
        <f>IFERROR(__xludf.DUMMYFUNCTION("""COMPUTED_VALUE"""),"China")</f>
        <v>China</v>
      </c>
      <c r="D788" s="6">
        <f>COUNTIFS('Raw Data Sales'!H788:H1786, LEFT(A788, FIND(" ",A788)-1), 'Raw Data Sales'!I788:I1786, MID(A788, FIND(" ",A788)+1, 100))</f>
        <v>1</v>
      </c>
      <c r="E788" s="6">
        <f>SUMIFS('Raw Data Sales'!M788:M1786, 'Raw Data Sales'!H788:H1786, LEFT(A788, FIND(" ",A788)-1), 'Raw Data Sales'!I788:I1786, MID(A788, FIND(" ",A788)+1, 100))</f>
        <v>38</v>
      </c>
      <c r="F788" s="6">
        <f>SUMIFS('Raw Data Sales'!N788:N1786, 'Raw Data Sales'!H788:H1786, LEFT(A788, FIND(" ",A788)-1), 'Raw Data Sales'!I788:I1786, MID(A788, FIND(" ",A788)+1, 100))</f>
        <v>2837.01</v>
      </c>
    </row>
    <row r="789">
      <c r="A789" s="6" t="str">
        <f>IFERROR(__xludf.DUMMYFUNCTION("UNIQUE('Raw Data Sales'!H789:H1787 &amp; "" "" &amp; 'Raw Data Sales'!I789:I1787)"),"Gayleen Vogt")</f>
        <v>Gayleen Vogt</v>
      </c>
      <c r="B789" s="6" t="str">
        <f>IFERROR(__xludf.DUMMYFUNCTION("""COMPUTED_VALUE"""),"gvogtlv@thetimes.co.uk")</f>
        <v>gvogtlv@thetimes.co.uk</v>
      </c>
      <c r="C789" s="6" t="str">
        <f>IFERROR(__xludf.DUMMYFUNCTION("""COMPUTED_VALUE"""),"Indonesia")</f>
        <v>Indonesia</v>
      </c>
      <c r="D789" s="6">
        <f>COUNTIFS('Raw Data Sales'!H789:H1787, LEFT(A789, FIND(" ",A789)-1), 'Raw Data Sales'!I789:I1787, MID(A789, FIND(" ",A789)+1, 100))</f>
        <v>1</v>
      </c>
      <c r="E789" s="6">
        <f>SUMIFS('Raw Data Sales'!M789:M1787, 'Raw Data Sales'!H789:H1787, LEFT(A789, FIND(" ",A789)-1), 'Raw Data Sales'!I789:I1787, MID(A789, FIND(" ",A789)+1, 100))</f>
        <v>25</v>
      </c>
      <c r="F789" s="6">
        <f>SUMIFS('Raw Data Sales'!N789:N1787, 'Raw Data Sales'!H789:H1787, LEFT(A789, FIND(" ",A789)-1), 'Raw Data Sales'!I789:I1787, MID(A789, FIND(" ",A789)+1, 100))</f>
        <v>7454.65</v>
      </c>
    </row>
    <row r="790">
      <c r="A790" s="6" t="str">
        <f>IFERROR(__xludf.DUMMYFUNCTION("UNIQUE('Raw Data Sales'!H790:H1788 &amp; "" "" &amp; 'Raw Data Sales'!I790:I1788)"),"Alf Assaf")</f>
        <v>Alf Assaf</v>
      </c>
      <c r="B790" s="6" t="str">
        <f>IFERROR(__xludf.DUMMYFUNCTION("""COMPUTED_VALUE"""),"aassaflw@bing.com")</f>
        <v>aassaflw@bing.com</v>
      </c>
      <c r="C790" s="6" t="str">
        <f>IFERROR(__xludf.DUMMYFUNCTION("""COMPUTED_VALUE"""),"Vietnam")</f>
        <v>Vietnam</v>
      </c>
      <c r="D790" s="6">
        <f>COUNTIFS('Raw Data Sales'!H790:H1788, LEFT(A790, FIND(" ",A790)-1), 'Raw Data Sales'!I790:I1788, MID(A790, FIND(" ",A790)+1, 100))</f>
        <v>1</v>
      </c>
      <c r="E790" s="6">
        <f>SUMIFS('Raw Data Sales'!M790:M1788, 'Raw Data Sales'!H790:H1788, LEFT(A790, FIND(" ",A790)-1), 'Raw Data Sales'!I790:I1788, MID(A790, FIND(" ",A790)+1, 100))</f>
        <v>72</v>
      </c>
      <c r="F790" s="6">
        <f>SUMIFS('Raw Data Sales'!N790:N1788, 'Raw Data Sales'!H790:H1788, LEFT(A790, FIND(" ",A790)-1), 'Raw Data Sales'!I790:I1788, MID(A790, FIND(" ",A790)+1, 100))</f>
        <v>2529.96</v>
      </c>
    </row>
    <row r="791">
      <c r="A791" s="6" t="str">
        <f>IFERROR(__xludf.DUMMYFUNCTION("UNIQUE('Raw Data Sales'!H791:H1789 &amp; "" "" &amp; 'Raw Data Sales'!I791:I1789)"),"Vonni Barrack")</f>
        <v>Vonni Barrack</v>
      </c>
      <c r="B791" s="6" t="str">
        <f>IFERROR(__xludf.DUMMYFUNCTION("""COMPUTED_VALUE"""),"vbarracklx@naver.com")</f>
        <v>vbarracklx@naver.com</v>
      </c>
      <c r="C791" s="6" t="str">
        <f>IFERROR(__xludf.DUMMYFUNCTION("""COMPUTED_VALUE"""),"China")</f>
        <v>China</v>
      </c>
      <c r="D791" s="6">
        <f>COUNTIFS('Raw Data Sales'!H791:H1789, LEFT(A791, FIND(" ",A791)-1), 'Raw Data Sales'!I791:I1789, MID(A791, FIND(" ",A791)+1, 100))</f>
        <v>1</v>
      </c>
      <c r="E791" s="6">
        <f>SUMIFS('Raw Data Sales'!M791:M1789, 'Raw Data Sales'!H791:H1789, LEFT(A791, FIND(" ",A791)-1), 'Raw Data Sales'!I791:I1789, MID(A791, FIND(" ",A791)+1, 100))</f>
        <v>75</v>
      </c>
      <c r="F791" s="6">
        <f>SUMIFS('Raw Data Sales'!N791:N1789, 'Raw Data Sales'!H791:H1789, LEFT(A791, FIND(" ",A791)-1), 'Raw Data Sales'!I791:I1789, MID(A791, FIND(" ",A791)+1, 100))</f>
        <v>6564.74</v>
      </c>
    </row>
    <row r="792">
      <c r="A792" s="6" t="str">
        <f>IFERROR(__xludf.DUMMYFUNCTION("UNIQUE('Raw Data Sales'!H792:H1790 &amp; "" "" &amp; 'Raw Data Sales'!I792:I1790)"),"Jaquenetta Paterson")</f>
        <v>Jaquenetta Paterson</v>
      </c>
      <c r="B792" s="6" t="str">
        <f>IFERROR(__xludf.DUMMYFUNCTION("""COMPUTED_VALUE"""),"jpatersonly@instagram.com")</f>
        <v>jpatersonly@instagram.com</v>
      </c>
      <c r="C792" s="6" t="str">
        <f>IFERROR(__xludf.DUMMYFUNCTION("""COMPUTED_VALUE"""),"Indonesia")</f>
        <v>Indonesia</v>
      </c>
      <c r="D792" s="6">
        <f>COUNTIFS('Raw Data Sales'!H792:H1790, LEFT(A792, FIND(" ",A792)-1), 'Raw Data Sales'!I792:I1790, MID(A792, FIND(" ",A792)+1, 100))</f>
        <v>1</v>
      </c>
      <c r="E792" s="6">
        <f>SUMIFS('Raw Data Sales'!M792:M1790, 'Raw Data Sales'!H792:H1790, LEFT(A792, FIND(" ",A792)-1), 'Raw Data Sales'!I792:I1790, MID(A792, FIND(" ",A792)+1, 100))</f>
        <v>89</v>
      </c>
      <c r="F792" s="6">
        <f>SUMIFS('Raw Data Sales'!N792:N1790, 'Raw Data Sales'!H792:H1790, LEFT(A792, FIND(" ",A792)-1), 'Raw Data Sales'!I792:I1790, MID(A792, FIND(" ",A792)+1, 100))</f>
        <v>7632.91</v>
      </c>
    </row>
    <row r="793">
      <c r="A793" s="6" t="str">
        <f>IFERROR(__xludf.DUMMYFUNCTION("UNIQUE('Raw Data Sales'!H793:H1791 &amp; "" "" &amp; 'Raw Data Sales'!I793:I1791)"),"Russ Winterson")</f>
        <v>Russ Winterson</v>
      </c>
      <c r="B793" s="6" t="str">
        <f>IFERROR(__xludf.DUMMYFUNCTION("""COMPUTED_VALUE"""),"rwintersonlz@jugem.jp")</f>
        <v>rwintersonlz@jugem.jp</v>
      </c>
      <c r="C793" s="6" t="str">
        <f>IFERROR(__xludf.DUMMYFUNCTION("""COMPUTED_VALUE"""),"China")</f>
        <v>China</v>
      </c>
      <c r="D793" s="6">
        <f>COUNTIFS('Raw Data Sales'!H793:H1791, LEFT(A793, FIND(" ",A793)-1), 'Raw Data Sales'!I793:I1791, MID(A793, FIND(" ",A793)+1, 100))</f>
        <v>1</v>
      </c>
      <c r="E793" s="6">
        <f>SUMIFS('Raw Data Sales'!M793:M1791, 'Raw Data Sales'!H793:H1791, LEFT(A793, FIND(" ",A793)-1), 'Raw Data Sales'!I793:I1791, MID(A793, FIND(" ",A793)+1, 100))</f>
        <v>65</v>
      </c>
      <c r="F793" s="6">
        <f>SUMIFS('Raw Data Sales'!N793:N1791, 'Raw Data Sales'!H793:H1791, LEFT(A793, FIND(" ",A793)-1), 'Raw Data Sales'!I793:I1791, MID(A793, FIND(" ",A793)+1, 100))</f>
        <v>4002.49</v>
      </c>
    </row>
    <row r="794">
      <c r="A794" s="6" t="str">
        <f>IFERROR(__xludf.DUMMYFUNCTION("UNIQUE('Raw Data Sales'!H794:H1792 &amp; "" "" &amp; 'Raw Data Sales'!I794:I1792)"),"Theodora Norris")</f>
        <v>Theodora Norris</v>
      </c>
      <c r="B794" s="6" t="str">
        <f>IFERROR(__xludf.DUMMYFUNCTION("""COMPUTED_VALUE"""),"tnorrism0@reference.com")</f>
        <v>tnorrism0@reference.com</v>
      </c>
      <c r="C794" s="6" t="str">
        <f>IFERROR(__xludf.DUMMYFUNCTION("""COMPUTED_VALUE"""),"China")</f>
        <v>China</v>
      </c>
      <c r="D794" s="6">
        <f>COUNTIFS('Raw Data Sales'!H794:H1792, LEFT(A794, FIND(" ",A794)-1), 'Raw Data Sales'!I794:I1792, MID(A794, FIND(" ",A794)+1, 100))</f>
        <v>1</v>
      </c>
      <c r="E794" s="6">
        <f>SUMIFS('Raw Data Sales'!M794:M1792, 'Raw Data Sales'!H794:H1792, LEFT(A794, FIND(" ",A794)-1), 'Raw Data Sales'!I794:I1792, MID(A794, FIND(" ",A794)+1, 100))</f>
        <v>86</v>
      </c>
      <c r="F794" s="6">
        <f>SUMIFS('Raw Data Sales'!N794:N1792, 'Raw Data Sales'!H794:H1792, LEFT(A794, FIND(" ",A794)-1), 'Raw Data Sales'!I794:I1792, MID(A794, FIND(" ",A794)+1, 100))</f>
        <v>2874.55</v>
      </c>
    </row>
    <row r="795">
      <c r="A795" s="6" t="str">
        <f>IFERROR(__xludf.DUMMYFUNCTION("UNIQUE('Raw Data Sales'!H795:H1793 &amp; "" "" &amp; 'Raw Data Sales'!I795:I1793)"),"Zacherie Spehr")</f>
        <v>Zacherie Spehr</v>
      </c>
      <c r="B795" s="6" t="str">
        <f>IFERROR(__xludf.DUMMYFUNCTION("""COMPUTED_VALUE"""),"zspehrm1@intel.com")</f>
        <v>zspehrm1@intel.com</v>
      </c>
      <c r="C795" s="6" t="str">
        <f>IFERROR(__xludf.DUMMYFUNCTION("""COMPUTED_VALUE"""),"Armenia")</f>
        <v>Armenia</v>
      </c>
      <c r="D795" s="6">
        <f>COUNTIFS('Raw Data Sales'!H795:H1793, LEFT(A795, FIND(" ",A795)-1), 'Raw Data Sales'!I795:I1793, MID(A795, FIND(" ",A795)+1, 100))</f>
        <v>1</v>
      </c>
      <c r="E795" s="6">
        <f>SUMIFS('Raw Data Sales'!M795:M1793, 'Raw Data Sales'!H795:H1793, LEFT(A795, FIND(" ",A795)-1), 'Raw Data Sales'!I795:I1793, MID(A795, FIND(" ",A795)+1, 100))</f>
        <v>91</v>
      </c>
      <c r="F795" s="6">
        <f>SUMIFS('Raw Data Sales'!N795:N1793, 'Raw Data Sales'!H795:H1793, LEFT(A795, FIND(" ",A795)-1), 'Raw Data Sales'!I795:I1793, MID(A795, FIND(" ",A795)+1, 100))</f>
        <v>6946.98</v>
      </c>
    </row>
    <row r="796">
      <c r="A796" s="6" t="str">
        <f>IFERROR(__xludf.DUMMYFUNCTION("UNIQUE('Raw Data Sales'!H796:H1794 &amp; "" "" &amp; 'Raw Data Sales'!I796:I1794)"),"Winifred Dearlove")</f>
        <v>Winifred Dearlove</v>
      </c>
      <c r="B796" s="6" t="str">
        <f>IFERROR(__xludf.DUMMYFUNCTION("""COMPUTED_VALUE"""),"wdearlovem2@toplist.cz")</f>
        <v>wdearlovem2@toplist.cz</v>
      </c>
      <c r="C796" s="6" t="str">
        <f>IFERROR(__xludf.DUMMYFUNCTION("""COMPUTED_VALUE"""),"Indonesia")</f>
        <v>Indonesia</v>
      </c>
      <c r="D796" s="6">
        <f>COUNTIFS('Raw Data Sales'!H796:H1794, LEFT(A796, FIND(" ",A796)-1), 'Raw Data Sales'!I796:I1794, MID(A796, FIND(" ",A796)+1, 100))</f>
        <v>1</v>
      </c>
      <c r="E796" s="6">
        <f>SUMIFS('Raw Data Sales'!M796:M1794, 'Raw Data Sales'!H796:H1794, LEFT(A796, FIND(" ",A796)-1), 'Raw Data Sales'!I796:I1794, MID(A796, FIND(" ",A796)+1, 100))</f>
        <v>45</v>
      </c>
      <c r="F796" s="6">
        <f>SUMIFS('Raw Data Sales'!N796:N1794, 'Raw Data Sales'!H796:H1794, LEFT(A796, FIND(" ",A796)-1), 'Raw Data Sales'!I796:I1794, MID(A796, FIND(" ",A796)+1, 100))</f>
        <v>4429.94</v>
      </c>
    </row>
    <row r="797">
      <c r="A797" s="6" t="str">
        <f>IFERROR(__xludf.DUMMYFUNCTION("UNIQUE('Raw Data Sales'!H797:H1795 &amp; "" "" &amp; 'Raw Data Sales'!I797:I1795)"),"Ferdie Krishtopaittis")</f>
        <v>Ferdie Krishtopaittis</v>
      </c>
      <c r="B797" s="6" t="str">
        <f>IFERROR(__xludf.DUMMYFUNCTION("""COMPUTED_VALUE"""),"fkrishtopaittism3@wunderground.com")</f>
        <v>fkrishtopaittism3@wunderground.com</v>
      </c>
      <c r="C797" s="6" t="str">
        <f>IFERROR(__xludf.DUMMYFUNCTION("""COMPUTED_VALUE"""),"Morocco")</f>
        <v>Morocco</v>
      </c>
      <c r="D797" s="6">
        <f>COUNTIFS('Raw Data Sales'!H797:H1795, LEFT(A797, FIND(" ",A797)-1), 'Raw Data Sales'!I797:I1795, MID(A797, FIND(" ",A797)+1, 100))</f>
        <v>1</v>
      </c>
      <c r="E797" s="6">
        <f>SUMIFS('Raw Data Sales'!M797:M1795, 'Raw Data Sales'!H797:H1795, LEFT(A797, FIND(" ",A797)-1), 'Raw Data Sales'!I797:I1795, MID(A797, FIND(" ",A797)+1, 100))</f>
        <v>12</v>
      </c>
      <c r="F797" s="6">
        <f>SUMIFS('Raw Data Sales'!N797:N1795, 'Raw Data Sales'!H797:H1795, LEFT(A797, FIND(" ",A797)-1), 'Raw Data Sales'!I797:I1795, MID(A797, FIND(" ",A797)+1, 100))</f>
        <v>2555.68</v>
      </c>
    </row>
    <row r="798">
      <c r="A798" s="6" t="str">
        <f>IFERROR(__xludf.DUMMYFUNCTION("UNIQUE('Raw Data Sales'!H798:H1796 &amp; "" "" &amp; 'Raw Data Sales'!I798:I1796)"),"Jay Eitter")</f>
        <v>Jay Eitter</v>
      </c>
      <c r="B798" s="6" t="str">
        <f>IFERROR(__xludf.DUMMYFUNCTION("""COMPUTED_VALUE"""),"jeitterm4@slideshare.net")</f>
        <v>jeitterm4@slideshare.net</v>
      </c>
      <c r="C798" s="6" t="str">
        <f>IFERROR(__xludf.DUMMYFUNCTION("""COMPUTED_VALUE"""),"China")</f>
        <v>China</v>
      </c>
      <c r="D798" s="6">
        <f>COUNTIFS('Raw Data Sales'!H798:H1796, LEFT(A798, FIND(" ",A798)-1), 'Raw Data Sales'!I798:I1796, MID(A798, FIND(" ",A798)+1, 100))</f>
        <v>1</v>
      </c>
      <c r="E798" s="6">
        <f>SUMIFS('Raw Data Sales'!M798:M1796, 'Raw Data Sales'!H798:H1796, LEFT(A798, FIND(" ",A798)-1), 'Raw Data Sales'!I798:I1796, MID(A798, FIND(" ",A798)+1, 100))</f>
        <v>94</v>
      </c>
      <c r="F798" s="6">
        <f>SUMIFS('Raw Data Sales'!N798:N1796, 'Raw Data Sales'!H798:H1796, LEFT(A798, FIND(" ",A798)-1), 'Raw Data Sales'!I798:I1796, MID(A798, FIND(" ",A798)+1, 100))</f>
        <v>4596.33</v>
      </c>
    </row>
    <row r="799">
      <c r="A799" s="6" t="str">
        <f>IFERROR(__xludf.DUMMYFUNCTION("UNIQUE('Raw Data Sales'!H799:H1797 &amp; "" "" &amp; 'Raw Data Sales'!I799:I1797)"),"Jessee Drakeford")</f>
        <v>Jessee Drakeford</v>
      </c>
      <c r="B799" s="6" t="str">
        <f>IFERROR(__xludf.DUMMYFUNCTION("""COMPUTED_VALUE"""),"jdrakefordm5@dropbox.com")</f>
        <v>jdrakefordm5@dropbox.com</v>
      </c>
      <c r="C799" s="6" t="str">
        <f>IFERROR(__xludf.DUMMYFUNCTION("""COMPUTED_VALUE"""),"United States")</f>
        <v>United States</v>
      </c>
      <c r="D799" s="6">
        <f>COUNTIFS('Raw Data Sales'!H799:H1797, LEFT(A799, FIND(" ",A799)-1), 'Raw Data Sales'!I799:I1797, MID(A799, FIND(" ",A799)+1, 100))</f>
        <v>1</v>
      </c>
      <c r="E799" s="6">
        <f>SUMIFS('Raw Data Sales'!M799:M1797, 'Raw Data Sales'!H799:H1797, LEFT(A799, FIND(" ",A799)-1), 'Raw Data Sales'!I799:I1797, MID(A799, FIND(" ",A799)+1, 100))</f>
        <v>38</v>
      </c>
      <c r="F799" s="6">
        <f>SUMIFS('Raw Data Sales'!N799:N1797, 'Raw Data Sales'!H799:H1797, LEFT(A799, FIND(" ",A799)-1), 'Raw Data Sales'!I799:I1797, MID(A799, FIND(" ",A799)+1, 100))</f>
        <v>1343.33</v>
      </c>
    </row>
    <row r="800">
      <c r="A800" s="6" t="str">
        <f>IFERROR(__xludf.DUMMYFUNCTION("UNIQUE('Raw Data Sales'!H800:H1798 &amp; "" "" &amp; 'Raw Data Sales'!I800:I1798)"),"Urson Petheridge")</f>
        <v>Urson Petheridge</v>
      </c>
      <c r="B800" s="6" t="str">
        <f>IFERROR(__xludf.DUMMYFUNCTION("""COMPUTED_VALUE"""),"upetheridgem6@php.net")</f>
        <v>upetheridgem6@php.net</v>
      </c>
      <c r="C800" s="6" t="str">
        <f>IFERROR(__xludf.DUMMYFUNCTION("""COMPUTED_VALUE"""),"Tanzania")</f>
        <v>Tanzania</v>
      </c>
      <c r="D800" s="6">
        <f>COUNTIFS('Raw Data Sales'!H800:H1798, LEFT(A800, FIND(" ",A800)-1), 'Raw Data Sales'!I800:I1798, MID(A800, FIND(" ",A800)+1, 100))</f>
        <v>1</v>
      </c>
      <c r="E800" s="6">
        <f>SUMIFS('Raw Data Sales'!M800:M1798, 'Raw Data Sales'!H800:H1798, LEFT(A800, FIND(" ",A800)-1), 'Raw Data Sales'!I800:I1798, MID(A800, FIND(" ",A800)+1, 100))</f>
        <v>71</v>
      </c>
      <c r="F800" s="6">
        <f>SUMIFS('Raw Data Sales'!N800:N1798, 'Raw Data Sales'!H800:H1798, LEFT(A800, FIND(" ",A800)-1), 'Raw Data Sales'!I800:I1798, MID(A800, FIND(" ",A800)+1, 100))</f>
        <v>2742.29</v>
      </c>
    </row>
    <row r="801">
      <c r="A801" s="6" t="str">
        <f>IFERROR(__xludf.DUMMYFUNCTION("UNIQUE('Raw Data Sales'!H801:H1799 &amp; "" "" &amp; 'Raw Data Sales'!I801:I1799)"),"Barbabra O'Bruen")</f>
        <v>Barbabra O'Bruen</v>
      </c>
      <c r="B801" s="6" t="str">
        <f>IFERROR(__xludf.DUMMYFUNCTION("""COMPUTED_VALUE"""),"bobruenm7@themeforest.net")</f>
        <v>bobruenm7@themeforest.net</v>
      </c>
      <c r="C801" s="6" t="str">
        <f>IFERROR(__xludf.DUMMYFUNCTION("""COMPUTED_VALUE"""),"China")</f>
        <v>China</v>
      </c>
      <c r="D801" s="6">
        <f>COUNTIFS('Raw Data Sales'!H801:H1799, LEFT(A801, FIND(" ",A801)-1), 'Raw Data Sales'!I801:I1799, MID(A801, FIND(" ",A801)+1, 100))</f>
        <v>1</v>
      </c>
      <c r="E801" s="6">
        <f>SUMIFS('Raw Data Sales'!M801:M1799, 'Raw Data Sales'!H801:H1799, LEFT(A801, FIND(" ",A801)-1), 'Raw Data Sales'!I801:I1799, MID(A801, FIND(" ",A801)+1, 100))</f>
        <v>19</v>
      </c>
      <c r="F801" s="6">
        <f>SUMIFS('Raw Data Sales'!N801:N1799, 'Raw Data Sales'!H801:H1799, LEFT(A801, FIND(" ",A801)-1), 'Raw Data Sales'!I801:I1799, MID(A801, FIND(" ",A801)+1, 100))</f>
        <v>3873.34</v>
      </c>
    </row>
    <row r="802">
      <c r="A802" s="6" t="str">
        <f>IFERROR(__xludf.DUMMYFUNCTION("UNIQUE('Raw Data Sales'!H802:H1800 &amp; "" "" &amp; 'Raw Data Sales'!I802:I1800)"),"Ginger Everiss")</f>
        <v>Ginger Everiss</v>
      </c>
      <c r="B802" s="6" t="str">
        <f>IFERROR(__xludf.DUMMYFUNCTION("""COMPUTED_VALUE"""),"geverissm8@bloglovin.com")</f>
        <v>geverissm8@bloglovin.com</v>
      </c>
      <c r="C802" s="6" t="str">
        <f>IFERROR(__xludf.DUMMYFUNCTION("""COMPUTED_VALUE"""),"Costa Rica")</f>
        <v>Costa Rica</v>
      </c>
      <c r="D802" s="6">
        <f>COUNTIFS('Raw Data Sales'!H802:H1800, LEFT(A802, FIND(" ",A802)-1), 'Raw Data Sales'!I802:I1800, MID(A802, FIND(" ",A802)+1, 100))</f>
        <v>1</v>
      </c>
      <c r="E802" s="6">
        <f>SUMIFS('Raw Data Sales'!M802:M1800, 'Raw Data Sales'!H802:H1800, LEFT(A802, FIND(" ",A802)-1), 'Raw Data Sales'!I802:I1800, MID(A802, FIND(" ",A802)+1, 100))</f>
        <v>52</v>
      </c>
      <c r="F802" s="6">
        <f>SUMIFS('Raw Data Sales'!N802:N1800, 'Raw Data Sales'!H802:H1800, LEFT(A802, FIND(" ",A802)-1), 'Raw Data Sales'!I802:I1800, MID(A802, FIND(" ",A802)+1, 100))</f>
        <v>1887.82</v>
      </c>
    </row>
    <row r="803">
      <c r="A803" s="6" t="str">
        <f>IFERROR(__xludf.DUMMYFUNCTION("UNIQUE('Raw Data Sales'!H803:H1801 &amp; "" "" &amp; 'Raw Data Sales'!I803:I1801)"),"Rosemonde Pinshon")</f>
        <v>Rosemonde Pinshon</v>
      </c>
      <c r="B803" s="6" t="str">
        <f>IFERROR(__xludf.DUMMYFUNCTION("""COMPUTED_VALUE"""),"rpinshonm9@ted.com")</f>
        <v>rpinshonm9@ted.com</v>
      </c>
      <c r="C803" s="6" t="str">
        <f>IFERROR(__xludf.DUMMYFUNCTION("""COMPUTED_VALUE"""),"Palestinian Territory")</f>
        <v>Palestinian Territory</v>
      </c>
      <c r="D803" s="6">
        <f>COUNTIFS('Raw Data Sales'!H803:H1801, LEFT(A803, FIND(" ",A803)-1), 'Raw Data Sales'!I803:I1801, MID(A803, FIND(" ",A803)+1, 100))</f>
        <v>1</v>
      </c>
      <c r="E803" s="6">
        <f>SUMIFS('Raw Data Sales'!M803:M1801, 'Raw Data Sales'!H803:H1801, LEFT(A803, FIND(" ",A803)-1), 'Raw Data Sales'!I803:I1801, MID(A803, FIND(" ",A803)+1, 100))</f>
        <v>72</v>
      </c>
      <c r="F803" s="6">
        <f>SUMIFS('Raw Data Sales'!N803:N1801, 'Raw Data Sales'!H803:H1801, LEFT(A803, FIND(" ",A803)-1), 'Raw Data Sales'!I803:I1801, MID(A803, FIND(" ",A803)+1, 100))</f>
        <v>8319.75</v>
      </c>
    </row>
    <row r="804">
      <c r="A804" s="6" t="str">
        <f>IFERROR(__xludf.DUMMYFUNCTION("UNIQUE('Raw Data Sales'!H804:H1802 &amp; "" "" &amp; 'Raw Data Sales'!I804:I1802)"),"Bernhard Rablen")</f>
        <v>Bernhard Rablen</v>
      </c>
      <c r="B804" s="6" t="str">
        <f>IFERROR(__xludf.DUMMYFUNCTION("""COMPUTED_VALUE"""),"brablenma@tinyurl.com")</f>
        <v>brablenma@tinyurl.com</v>
      </c>
      <c r="C804" s="6" t="str">
        <f>IFERROR(__xludf.DUMMYFUNCTION("""COMPUTED_VALUE"""),"Brazil")</f>
        <v>Brazil</v>
      </c>
      <c r="D804" s="6">
        <f>COUNTIFS('Raw Data Sales'!H804:H1802, LEFT(A804, FIND(" ",A804)-1), 'Raw Data Sales'!I804:I1802, MID(A804, FIND(" ",A804)+1, 100))</f>
        <v>1</v>
      </c>
      <c r="E804" s="6">
        <f>SUMIFS('Raw Data Sales'!M804:M1802, 'Raw Data Sales'!H804:H1802, LEFT(A804, FIND(" ",A804)-1), 'Raw Data Sales'!I804:I1802, MID(A804, FIND(" ",A804)+1, 100))</f>
        <v>6</v>
      </c>
      <c r="F804" s="6">
        <f>SUMIFS('Raw Data Sales'!N804:N1802, 'Raw Data Sales'!H804:H1802, LEFT(A804, FIND(" ",A804)-1), 'Raw Data Sales'!I804:I1802, MID(A804, FIND(" ",A804)+1, 100))</f>
        <v>3870.28</v>
      </c>
    </row>
    <row r="805">
      <c r="A805" s="6" t="str">
        <f>IFERROR(__xludf.DUMMYFUNCTION("UNIQUE('Raw Data Sales'!H805:H1803 &amp; "" "" &amp; 'Raw Data Sales'!I805:I1803)"),"Anson Ammer")</f>
        <v>Anson Ammer</v>
      </c>
      <c r="B805" s="6" t="str">
        <f>IFERROR(__xludf.DUMMYFUNCTION("""COMPUTED_VALUE"""),"aammermb@e-recht24.de")</f>
        <v>aammermb@e-recht24.de</v>
      </c>
      <c r="C805" s="6" t="str">
        <f>IFERROR(__xludf.DUMMYFUNCTION("""COMPUTED_VALUE"""),"Poland")</f>
        <v>Poland</v>
      </c>
      <c r="D805" s="6">
        <f>COUNTIFS('Raw Data Sales'!H805:H1803, LEFT(A805, FIND(" ",A805)-1), 'Raw Data Sales'!I805:I1803, MID(A805, FIND(" ",A805)+1, 100))</f>
        <v>1</v>
      </c>
      <c r="E805" s="6">
        <f>SUMIFS('Raw Data Sales'!M805:M1803, 'Raw Data Sales'!H805:H1803, LEFT(A805, FIND(" ",A805)-1), 'Raw Data Sales'!I805:I1803, MID(A805, FIND(" ",A805)+1, 100))</f>
        <v>33</v>
      </c>
      <c r="F805" s="6">
        <f>SUMIFS('Raw Data Sales'!N805:N1803, 'Raw Data Sales'!H805:H1803, LEFT(A805, FIND(" ",A805)-1), 'Raw Data Sales'!I805:I1803, MID(A805, FIND(" ",A805)+1, 100))</f>
        <v>2289.12</v>
      </c>
    </row>
    <row r="806">
      <c r="A806" s="6" t="str">
        <f>IFERROR(__xludf.DUMMYFUNCTION("UNIQUE('Raw Data Sales'!H806:H1804 &amp; "" "" &amp; 'Raw Data Sales'!I806:I1804)"),"Caesar Kase")</f>
        <v>Caesar Kase</v>
      </c>
      <c r="B806" s="6" t="str">
        <f>IFERROR(__xludf.DUMMYFUNCTION("""COMPUTED_VALUE"""),"ckasemc@gravatar.com")</f>
        <v>ckasemc@gravatar.com</v>
      </c>
      <c r="C806" s="6" t="str">
        <f>IFERROR(__xludf.DUMMYFUNCTION("""COMPUTED_VALUE"""),"Philippines")</f>
        <v>Philippines</v>
      </c>
      <c r="D806" s="6">
        <f>COUNTIFS('Raw Data Sales'!H806:H1804, LEFT(A806, FIND(" ",A806)-1), 'Raw Data Sales'!I806:I1804, MID(A806, FIND(" ",A806)+1, 100))</f>
        <v>1</v>
      </c>
      <c r="E806" s="6">
        <f>SUMIFS('Raw Data Sales'!M806:M1804, 'Raw Data Sales'!H806:H1804, LEFT(A806, FIND(" ",A806)-1), 'Raw Data Sales'!I806:I1804, MID(A806, FIND(" ",A806)+1, 100))</f>
        <v>88</v>
      </c>
      <c r="F806" s="6">
        <f>SUMIFS('Raw Data Sales'!N806:N1804, 'Raw Data Sales'!H806:H1804, LEFT(A806, FIND(" ",A806)-1), 'Raw Data Sales'!I806:I1804, MID(A806, FIND(" ",A806)+1, 100))</f>
        <v>812.6</v>
      </c>
    </row>
    <row r="807">
      <c r="A807" s="6" t="str">
        <f>IFERROR(__xludf.DUMMYFUNCTION("UNIQUE('Raw Data Sales'!H807:H1805 &amp; "" "" &amp; 'Raw Data Sales'!I807:I1805)"),"Jefferey Link")</f>
        <v>Jefferey Link</v>
      </c>
      <c r="B807" s="6" t="str">
        <f>IFERROR(__xludf.DUMMYFUNCTION("""COMPUTED_VALUE"""),"jlinkmd@canalblog.com")</f>
        <v>jlinkmd@canalblog.com</v>
      </c>
      <c r="C807" s="6" t="str">
        <f>IFERROR(__xludf.DUMMYFUNCTION("""COMPUTED_VALUE"""),"Syria")</f>
        <v>Syria</v>
      </c>
      <c r="D807" s="6">
        <f>COUNTIFS('Raw Data Sales'!H807:H1805, LEFT(A807, FIND(" ",A807)-1), 'Raw Data Sales'!I807:I1805, MID(A807, FIND(" ",A807)+1, 100))</f>
        <v>1</v>
      </c>
      <c r="E807" s="6">
        <f>SUMIFS('Raw Data Sales'!M807:M1805, 'Raw Data Sales'!H807:H1805, LEFT(A807, FIND(" ",A807)-1), 'Raw Data Sales'!I807:I1805, MID(A807, FIND(" ",A807)+1, 100))</f>
        <v>96</v>
      </c>
      <c r="F807" s="6">
        <f>SUMIFS('Raw Data Sales'!N807:N1805, 'Raw Data Sales'!H807:H1805, LEFT(A807, FIND(" ",A807)-1), 'Raw Data Sales'!I807:I1805, MID(A807, FIND(" ",A807)+1, 100))</f>
        <v>4323.81</v>
      </c>
    </row>
    <row r="808">
      <c r="A808" s="6" t="str">
        <f>IFERROR(__xludf.DUMMYFUNCTION("UNIQUE('Raw Data Sales'!H808:H1806 &amp; "" "" &amp; 'Raw Data Sales'!I808:I1806)"),"Dominica Edmeads")</f>
        <v>Dominica Edmeads</v>
      </c>
      <c r="B808" s="6" t="str">
        <f>IFERROR(__xludf.DUMMYFUNCTION("""COMPUTED_VALUE"""),"dedmeadsme@cargocollective.com")</f>
        <v>dedmeadsme@cargocollective.com</v>
      </c>
      <c r="C808" s="6" t="str">
        <f>IFERROR(__xludf.DUMMYFUNCTION("""COMPUTED_VALUE"""),"Sierra Leone")</f>
        <v>Sierra Leone</v>
      </c>
      <c r="D808" s="6">
        <f>COUNTIFS('Raw Data Sales'!H808:H1806, LEFT(A808, FIND(" ",A808)-1), 'Raw Data Sales'!I808:I1806, MID(A808, FIND(" ",A808)+1, 100))</f>
        <v>1</v>
      </c>
      <c r="E808" s="6">
        <f>SUMIFS('Raw Data Sales'!M808:M1806, 'Raw Data Sales'!H808:H1806, LEFT(A808, FIND(" ",A808)-1), 'Raw Data Sales'!I808:I1806, MID(A808, FIND(" ",A808)+1, 100))</f>
        <v>17</v>
      </c>
      <c r="F808" s="6">
        <f>SUMIFS('Raw Data Sales'!N808:N1806, 'Raw Data Sales'!H808:H1806, LEFT(A808, FIND(" ",A808)-1), 'Raw Data Sales'!I808:I1806, MID(A808, FIND(" ",A808)+1, 100))</f>
        <v>1128.76</v>
      </c>
    </row>
    <row r="809">
      <c r="A809" s="6" t="str">
        <f>IFERROR(__xludf.DUMMYFUNCTION("UNIQUE('Raw Data Sales'!H809:H1807 &amp; "" "" &amp; 'Raw Data Sales'!I809:I1807)"),"Juana Stocker")</f>
        <v>Juana Stocker</v>
      </c>
      <c r="B809" s="6" t="str">
        <f>IFERROR(__xludf.DUMMYFUNCTION("""COMPUTED_VALUE"""),"jstockermf@photobucket.com")</f>
        <v>jstockermf@photobucket.com</v>
      </c>
      <c r="C809" s="6" t="str">
        <f>IFERROR(__xludf.DUMMYFUNCTION("""COMPUTED_VALUE"""),"Libya")</f>
        <v>Libya</v>
      </c>
      <c r="D809" s="6">
        <f>COUNTIFS('Raw Data Sales'!H809:H1807, LEFT(A809, FIND(" ",A809)-1), 'Raw Data Sales'!I809:I1807, MID(A809, FIND(" ",A809)+1, 100))</f>
        <v>1</v>
      </c>
      <c r="E809" s="6">
        <f>SUMIFS('Raw Data Sales'!M809:M1807, 'Raw Data Sales'!H809:H1807, LEFT(A809, FIND(" ",A809)-1), 'Raw Data Sales'!I809:I1807, MID(A809, FIND(" ",A809)+1, 100))</f>
        <v>55</v>
      </c>
      <c r="F809" s="6">
        <f>SUMIFS('Raw Data Sales'!N809:N1807, 'Raw Data Sales'!H809:H1807, LEFT(A809, FIND(" ",A809)-1), 'Raw Data Sales'!I809:I1807, MID(A809, FIND(" ",A809)+1, 100))</f>
        <v>9761</v>
      </c>
    </row>
    <row r="810">
      <c r="A810" s="6" t="str">
        <f>IFERROR(__xludf.DUMMYFUNCTION("UNIQUE('Raw Data Sales'!H810:H1808 &amp; "" "" &amp; 'Raw Data Sales'!I810:I1808)"),"Kurtis Blacksland")</f>
        <v>Kurtis Blacksland</v>
      </c>
      <c r="B810" s="6" t="str">
        <f>IFERROR(__xludf.DUMMYFUNCTION("""COMPUTED_VALUE"""),"kblackslandmg@yahoo.com")</f>
        <v>kblackslandmg@yahoo.com</v>
      </c>
      <c r="C810" s="6" t="str">
        <f>IFERROR(__xludf.DUMMYFUNCTION("""COMPUTED_VALUE"""),"Russia")</f>
        <v>Russia</v>
      </c>
      <c r="D810" s="6">
        <f>COUNTIFS('Raw Data Sales'!H810:H1808, LEFT(A810, FIND(" ",A810)-1), 'Raw Data Sales'!I810:I1808, MID(A810, FIND(" ",A810)+1, 100))</f>
        <v>1</v>
      </c>
      <c r="E810" s="6">
        <f>SUMIFS('Raw Data Sales'!M810:M1808, 'Raw Data Sales'!H810:H1808, LEFT(A810, FIND(" ",A810)-1), 'Raw Data Sales'!I810:I1808, MID(A810, FIND(" ",A810)+1, 100))</f>
        <v>3</v>
      </c>
      <c r="F810" s="6">
        <f>SUMIFS('Raw Data Sales'!N810:N1808, 'Raw Data Sales'!H810:H1808, LEFT(A810, FIND(" ",A810)-1), 'Raw Data Sales'!I810:I1808, MID(A810, FIND(" ",A810)+1, 100))</f>
        <v>3514.5</v>
      </c>
    </row>
    <row r="811">
      <c r="A811" s="6" t="str">
        <f>IFERROR(__xludf.DUMMYFUNCTION("UNIQUE('Raw Data Sales'!H811:H1809 &amp; "" "" &amp; 'Raw Data Sales'!I811:I1809)"),"Nahum Dreossi")</f>
        <v>Nahum Dreossi</v>
      </c>
      <c r="B811" s="6" t="str">
        <f>IFERROR(__xludf.DUMMYFUNCTION("""COMPUTED_VALUE"""),"ndreossimh@businesswire.com")</f>
        <v>ndreossimh@businesswire.com</v>
      </c>
      <c r="C811" s="6" t="str">
        <f>IFERROR(__xludf.DUMMYFUNCTION("""COMPUTED_VALUE"""),"China")</f>
        <v>China</v>
      </c>
      <c r="D811" s="6">
        <f>COUNTIFS('Raw Data Sales'!H811:H1809, LEFT(A811, FIND(" ",A811)-1), 'Raw Data Sales'!I811:I1809, MID(A811, FIND(" ",A811)+1, 100))</f>
        <v>1</v>
      </c>
      <c r="E811" s="6">
        <f>SUMIFS('Raw Data Sales'!M811:M1809, 'Raw Data Sales'!H811:H1809, LEFT(A811, FIND(" ",A811)-1), 'Raw Data Sales'!I811:I1809, MID(A811, FIND(" ",A811)+1, 100))</f>
        <v>20</v>
      </c>
      <c r="F811" s="6">
        <f>SUMIFS('Raw Data Sales'!N811:N1809, 'Raw Data Sales'!H811:H1809, LEFT(A811, FIND(" ",A811)-1), 'Raw Data Sales'!I811:I1809, MID(A811, FIND(" ",A811)+1, 100))</f>
        <v>6277.25</v>
      </c>
    </row>
    <row r="812">
      <c r="A812" s="6" t="str">
        <f>IFERROR(__xludf.DUMMYFUNCTION("UNIQUE('Raw Data Sales'!H812:H1810 &amp; "" "" &amp; 'Raw Data Sales'!I812:I1810)"),"Branden Portam")</f>
        <v>Branden Portam</v>
      </c>
      <c r="B812" s="6" t="str">
        <f>IFERROR(__xludf.DUMMYFUNCTION("""COMPUTED_VALUE"""),"bportammi@apple.com")</f>
        <v>bportammi@apple.com</v>
      </c>
      <c r="C812" s="6" t="str">
        <f>IFERROR(__xludf.DUMMYFUNCTION("""COMPUTED_VALUE"""),"China")</f>
        <v>China</v>
      </c>
      <c r="D812" s="6">
        <f>COUNTIFS('Raw Data Sales'!H812:H1810, LEFT(A812, FIND(" ",A812)-1), 'Raw Data Sales'!I812:I1810, MID(A812, FIND(" ",A812)+1, 100))</f>
        <v>1</v>
      </c>
      <c r="E812" s="6">
        <f>SUMIFS('Raw Data Sales'!M812:M1810, 'Raw Data Sales'!H812:H1810, LEFT(A812, FIND(" ",A812)-1), 'Raw Data Sales'!I812:I1810, MID(A812, FIND(" ",A812)+1, 100))</f>
        <v>49</v>
      </c>
      <c r="F812" s="6">
        <f>SUMIFS('Raw Data Sales'!N812:N1810, 'Raw Data Sales'!H812:H1810, LEFT(A812, FIND(" ",A812)-1), 'Raw Data Sales'!I812:I1810, MID(A812, FIND(" ",A812)+1, 100))</f>
        <v>4378.67</v>
      </c>
    </row>
    <row r="813">
      <c r="A813" s="6" t="str">
        <f>IFERROR(__xludf.DUMMYFUNCTION("UNIQUE('Raw Data Sales'!H813:H1811 &amp; "" "" &amp; 'Raw Data Sales'!I813:I1811)"),"De witt Mickelwright")</f>
        <v>De witt Mickelwright</v>
      </c>
      <c r="B813" s="6" t="str">
        <f>IFERROR(__xludf.DUMMYFUNCTION("""COMPUTED_VALUE"""),"dmickelwrightmj@timesonline.co.uk")</f>
        <v>dmickelwrightmj@timesonline.co.uk</v>
      </c>
      <c r="C813" s="6" t="str">
        <f>IFERROR(__xludf.DUMMYFUNCTION("""COMPUTED_VALUE"""),"Malta")</f>
        <v>Malta</v>
      </c>
      <c r="D813" s="6">
        <f>COUNTIFS('Raw Data Sales'!H813:H1811, LEFT(A813, FIND(" ",A813)-1), 'Raw Data Sales'!I813:I1811, MID(A813, FIND(" ",A813)+1, 100))</f>
        <v>0</v>
      </c>
      <c r="E813" s="6">
        <f>SUMIFS('Raw Data Sales'!M813:M1811, 'Raw Data Sales'!H813:H1811, LEFT(A813, FIND(" ",A813)-1), 'Raw Data Sales'!I813:I1811, MID(A813, FIND(" ",A813)+1, 100))</f>
        <v>0</v>
      </c>
      <c r="F813" s="6">
        <f>SUMIFS('Raw Data Sales'!N813:N1811, 'Raw Data Sales'!H813:H1811, LEFT(A813, FIND(" ",A813)-1), 'Raw Data Sales'!I813:I1811, MID(A813, FIND(" ",A813)+1, 100))</f>
        <v>0</v>
      </c>
    </row>
    <row r="814">
      <c r="A814" s="6" t="str">
        <f>IFERROR(__xludf.DUMMYFUNCTION("UNIQUE('Raw Data Sales'!H814:H1812 &amp; "" "" &amp; 'Raw Data Sales'!I814:I1812)"),"Lind Spencook")</f>
        <v>Lind Spencook</v>
      </c>
      <c r="B814" s="6" t="str">
        <f>IFERROR(__xludf.DUMMYFUNCTION("""COMPUTED_VALUE"""),"lspencookmk@time.com")</f>
        <v>lspencookmk@time.com</v>
      </c>
      <c r="C814" s="6" t="str">
        <f>IFERROR(__xludf.DUMMYFUNCTION("""COMPUTED_VALUE"""),"Russia")</f>
        <v>Russia</v>
      </c>
      <c r="D814" s="6">
        <f>COUNTIFS('Raw Data Sales'!H814:H1812, LEFT(A814, FIND(" ",A814)-1), 'Raw Data Sales'!I814:I1812, MID(A814, FIND(" ",A814)+1, 100))</f>
        <v>1</v>
      </c>
      <c r="E814" s="6">
        <f>SUMIFS('Raw Data Sales'!M814:M1812, 'Raw Data Sales'!H814:H1812, LEFT(A814, FIND(" ",A814)-1), 'Raw Data Sales'!I814:I1812, MID(A814, FIND(" ",A814)+1, 100))</f>
        <v>33</v>
      </c>
      <c r="F814" s="6">
        <f>SUMIFS('Raw Data Sales'!N814:N1812, 'Raw Data Sales'!H814:H1812, LEFT(A814, FIND(" ",A814)-1), 'Raw Data Sales'!I814:I1812, MID(A814, FIND(" ",A814)+1, 100))</f>
        <v>7553.34</v>
      </c>
    </row>
    <row r="815">
      <c r="A815" s="6" t="str">
        <f>IFERROR(__xludf.DUMMYFUNCTION("UNIQUE('Raw Data Sales'!H815:H1813 &amp; "" "" &amp; 'Raw Data Sales'!I815:I1813)"),"Jonas Mursell")</f>
        <v>Jonas Mursell</v>
      </c>
      <c r="B815" s="6" t="str">
        <f>IFERROR(__xludf.DUMMYFUNCTION("""COMPUTED_VALUE"""),"jmursellml@stumbleupon.com")</f>
        <v>jmursellml@stumbleupon.com</v>
      </c>
      <c r="C815" s="6" t="str">
        <f>IFERROR(__xludf.DUMMYFUNCTION("""COMPUTED_VALUE"""),"Indonesia")</f>
        <v>Indonesia</v>
      </c>
      <c r="D815" s="6">
        <f>COUNTIFS('Raw Data Sales'!H815:H1813, LEFT(A815, FIND(" ",A815)-1), 'Raw Data Sales'!I815:I1813, MID(A815, FIND(" ",A815)+1, 100))</f>
        <v>1</v>
      </c>
      <c r="E815" s="6">
        <f>SUMIFS('Raw Data Sales'!M815:M1813, 'Raw Data Sales'!H815:H1813, LEFT(A815, FIND(" ",A815)-1), 'Raw Data Sales'!I815:I1813, MID(A815, FIND(" ",A815)+1, 100))</f>
        <v>5</v>
      </c>
      <c r="F815" s="6">
        <f>SUMIFS('Raw Data Sales'!N815:N1813, 'Raw Data Sales'!H815:H1813, LEFT(A815, FIND(" ",A815)-1), 'Raw Data Sales'!I815:I1813, MID(A815, FIND(" ",A815)+1, 100))</f>
        <v>7884.78</v>
      </c>
    </row>
    <row r="816">
      <c r="A816" s="6" t="str">
        <f>IFERROR(__xludf.DUMMYFUNCTION("UNIQUE('Raw Data Sales'!H816:H1814 &amp; "" "" &amp; 'Raw Data Sales'!I816:I1814)"),"Kamila Coulthard")</f>
        <v>Kamila Coulthard</v>
      </c>
      <c r="B816" s="6" t="str">
        <f>IFERROR(__xludf.DUMMYFUNCTION("""COMPUTED_VALUE"""),"kcoulthardmm@shop-pro.jp")</f>
        <v>kcoulthardmm@shop-pro.jp</v>
      </c>
      <c r="C816" s="6" t="str">
        <f>IFERROR(__xludf.DUMMYFUNCTION("""COMPUTED_VALUE"""),"Brazil")</f>
        <v>Brazil</v>
      </c>
      <c r="D816" s="6">
        <f>COUNTIFS('Raw Data Sales'!H816:H1814, LEFT(A816, FIND(" ",A816)-1), 'Raw Data Sales'!I816:I1814, MID(A816, FIND(" ",A816)+1, 100))</f>
        <v>1</v>
      </c>
      <c r="E816" s="6">
        <f>SUMIFS('Raw Data Sales'!M816:M1814, 'Raw Data Sales'!H816:H1814, LEFT(A816, FIND(" ",A816)-1), 'Raw Data Sales'!I816:I1814, MID(A816, FIND(" ",A816)+1, 100))</f>
        <v>96</v>
      </c>
      <c r="F816" s="6">
        <f>SUMIFS('Raw Data Sales'!N816:N1814, 'Raw Data Sales'!H816:H1814, LEFT(A816, FIND(" ",A816)-1), 'Raw Data Sales'!I816:I1814, MID(A816, FIND(" ",A816)+1, 100))</f>
        <v>6840.07</v>
      </c>
    </row>
    <row r="817">
      <c r="A817" s="6" t="str">
        <f>IFERROR(__xludf.DUMMYFUNCTION("UNIQUE('Raw Data Sales'!H817:H1815 &amp; "" "" &amp; 'Raw Data Sales'!I817:I1815)"),"Morna Wigin")</f>
        <v>Morna Wigin</v>
      </c>
      <c r="B817" s="6" t="str">
        <f>IFERROR(__xludf.DUMMYFUNCTION("""COMPUTED_VALUE"""),"mwiginmn@kickstarter.com")</f>
        <v>mwiginmn@kickstarter.com</v>
      </c>
      <c r="C817" s="6" t="str">
        <f>IFERROR(__xludf.DUMMYFUNCTION("""COMPUTED_VALUE"""),"Philippines")</f>
        <v>Philippines</v>
      </c>
      <c r="D817" s="6">
        <f>COUNTIFS('Raw Data Sales'!H817:H1815, LEFT(A817, FIND(" ",A817)-1), 'Raw Data Sales'!I817:I1815, MID(A817, FIND(" ",A817)+1, 100))</f>
        <v>1</v>
      </c>
      <c r="E817" s="6">
        <f>SUMIFS('Raw Data Sales'!M817:M1815, 'Raw Data Sales'!H817:H1815, LEFT(A817, FIND(" ",A817)-1), 'Raw Data Sales'!I817:I1815, MID(A817, FIND(" ",A817)+1, 100))</f>
        <v>56</v>
      </c>
      <c r="F817" s="6">
        <f>SUMIFS('Raw Data Sales'!N817:N1815, 'Raw Data Sales'!H817:H1815, LEFT(A817, FIND(" ",A817)-1), 'Raw Data Sales'!I817:I1815, MID(A817, FIND(" ",A817)+1, 100))</f>
        <v>9157.44</v>
      </c>
    </row>
    <row r="818">
      <c r="A818" s="6" t="str">
        <f>IFERROR(__xludf.DUMMYFUNCTION("UNIQUE('Raw Data Sales'!H818:H1816 &amp; "" "" &amp; 'Raw Data Sales'!I818:I1816)"),"Jordanna Dewane")</f>
        <v>Jordanna Dewane</v>
      </c>
      <c r="B818" s="6" t="str">
        <f>IFERROR(__xludf.DUMMYFUNCTION("""COMPUTED_VALUE"""),"jdewanemo@live.com")</f>
        <v>jdewanemo@live.com</v>
      </c>
      <c r="C818" s="6" t="str">
        <f>IFERROR(__xludf.DUMMYFUNCTION("""COMPUTED_VALUE"""),"Philippines")</f>
        <v>Philippines</v>
      </c>
      <c r="D818" s="6">
        <f>COUNTIFS('Raw Data Sales'!H818:H1816, LEFT(A818, FIND(" ",A818)-1), 'Raw Data Sales'!I818:I1816, MID(A818, FIND(" ",A818)+1, 100))</f>
        <v>1</v>
      </c>
      <c r="E818" s="6">
        <f>SUMIFS('Raw Data Sales'!M818:M1816, 'Raw Data Sales'!H818:H1816, LEFT(A818, FIND(" ",A818)-1), 'Raw Data Sales'!I818:I1816, MID(A818, FIND(" ",A818)+1, 100))</f>
        <v>88</v>
      </c>
      <c r="F818" s="6">
        <f>SUMIFS('Raw Data Sales'!N818:N1816, 'Raw Data Sales'!H818:H1816, LEFT(A818, FIND(" ",A818)-1), 'Raw Data Sales'!I818:I1816, MID(A818, FIND(" ",A818)+1, 100))</f>
        <v>3174.08</v>
      </c>
    </row>
    <row r="819">
      <c r="A819" s="6" t="str">
        <f>IFERROR(__xludf.DUMMYFUNCTION("UNIQUE('Raw Data Sales'!H819:H1817 &amp; "" "" &amp; 'Raw Data Sales'!I819:I1817)"),"Lurline Lesor")</f>
        <v>Lurline Lesor</v>
      </c>
      <c r="B819" s="6" t="str">
        <f>IFERROR(__xludf.DUMMYFUNCTION("""COMPUTED_VALUE"""),"llesormp@discuz.net")</f>
        <v>llesormp@discuz.net</v>
      </c>
      <c r="C819" s="6" t="str">
        <f>IFERROR(__xludf.DUMMYFUNCTION("""COMPUTED_VALUE"""),"United States")</f>
        <v>United States</v>
      </c>
      <c r="D819" s="6">
        <f>COUNTIFS('Raw Data Sales'!H819:H1817, LEFT(A819, FIND(" ",A819)-1), 'Raw Data Sales'!I819:I1817, MID(A819, FIND(" ",A819)+1, 100))</f>
        <v>1</v>
      </c>
      <c r="E819" s="6">
        <f>SUMIFS('Raw Data Sales'!M819:M1817, 'Raw Data Sales'!H819:H1817, LEFT(A819, FIND(" ",A819)-1), 'Raw Data Sales'!I819:I1817, MID(A819, FIND(" ",A819)+1, 100))</f>
        <v>15</v>
      </c>
      <c r="F819" s="6">
        <f>SUMIFS('Raw Data Sales'!N819:N1817, 'Raw Data Sales'!H819:H1817, LEFT(A819, FIND(" ",A819)-1), 'Raw Data Sales'!I819:I1817, MID(A819, FIND(" ",A819)+1, 100))</f>
        <v>5216.19</v>
      </c>
    </row>
    <row r="820">
      <c r="A820" s="6" t="str">
        <f>IFERROR(__xludf.DUMMYFUNCTION("UNIQUE('Raw Data Sales'!H820:H1818 &amp; "" "" &amp; 'Raw Data Sales'!I820:I1818)"),"Burtie Missenden")</f>
        <v>Burtie Missenden</v>
      </c>
      <c r="B820" s="6" t="str">
        <f>IFERROR(__xludf.DUMMYFUNCTION("""COMPUTED_VALUE"""),"bmissendenmq@sina.com.cn")</f>
        <v>bmissendenmq@sina.com.cn</v>
      </c>
      <c r="C820" s="6" t="str">
        <f>IFERROR(__xludf.DUMMYFUNCTION("""COMPUTED_VALUE"""),"Sweden")</f>
        <v>Sweden</v>
      </c>
      <c r="D820" s="6">
        <f>COUNTIFS('Raw Data Sales'!H820:H1818, LEFT(A820, FIND(" ",A820)-1), 'Raw Data Sales'!I820:I1818, MID(A820, FIND(" ",A820)+1, 100))</f>
        <v>1</v>
      </c>
      <c r="E820" s="6">
        <f>SUMIFS('Raw Data Sales'!M820:M1818, 'Raw Data Sales'!H820:H1818, LEFT(A820, FIND(" ",A820)-1), 'Raw Data Sales'!I820:I1818, MID(A820, FIND(" ",A820)+1, 100))</f>
        <v>5</v>
      </c>
      <c r="F820" s="6">
        <f>SUMIFS('Raw Data Sales'!N820:N1818, 'Raw Data Sales'!H820:H1818, LEFT(A820, FIND(" ",A820)-1), 'Raw Data Sales'!I820:I1818, MID(A820, FIND(" ",A820)+1, 100))</f>
        <v>4089.74</v>
      </c>
    </row>
    <row r="821">
      <c r="A821" s="6" t="str">
        <f>IFERROR(__xludf.DUMMYFUNCTION("UNIQUE('Raw Data Sales'!H821:H1819 &amp; "" "" &amp; 'Raw Data Sales'!I821:I1819)"),"Kesley Mintrim")</f>
        <v>Kesley Mintrim</v>
      </c>
      <c r="B821" s="6" t="str">
        <f>IFERROR(__xludf.DUMMYFUNCTION("""COMPUTED_VALUE"""),"kmintrimmr@furl.net")</f>
        <v>kmintrimmr@furl.net</v>
      </c>
      <c r="C821" s="6" t="str">
        <f>IFERROR(__xludf.DUMMYFUNCTION("""COMPUTED_VALUE"""),"Japan")</f>
        <v>Japan</v>
      </c>
      <c r="D821" s="6">
        <f>COUNTIFS('Raw Data Sales'!H821:H1819, LEFT(A821, FIND(" ",A821)-1), 'Raw Data Sales'!I821:I1819, MID(A821, FIND(" ",A821)+1, 100))</f>
        <v>1</v>
      </c>
      <c r="E821" s="6">
        <f>SUMIFS('Raw Data Sales'!M821:M1819, 'Raw Data Sales'!H821:H1819, LEFT(A821, FIND(" ",A821)-1), 'Raw Data Sales'!I821:I1819, MID(A821, FIND(" ",A821)+1, 100))</f>
        <v>15</v>
      </c>
      <c r="F821" s="6">
        <f>SUMIFS('Raw Data Sales'!N821:N1819, 'Raw Data Sales'!H821:H1819, LEFT(A821, FIND(" ",A821)-1), 'Raw Data Sales'!I821:I1819, MID(A821, FIND(" ",A821)+1, 100))</f>
        <v>408.85</v>
      </c>
    </row>
    <row r="822">
      <c r="A822" s="6" t="str">
        <f>IFERROR(__xludf.DUMMYFUNCTION("UNIQUE('Raw Data Sales'!H822:H1820 &amp; "" "" &amp; 'Raw Data Sales'!I822:I1820)"),"Carlota Riteley")</f>
        <v>Carlota Riteley</v>
      </c>
      <c r="B822" s="6" t="str">
        <f>IFERROR(__xludf.DUMMYFUNCTION("""COMPUTED_VALUE"""),"criteleyms@odnoklassniki.ru")</f>
        <v>criteleyms@odnoklassniki.ru</v>
      </c>
      <c r="C822" s="6" t="str">
        <f>IFERROR(__xludf.DUMMYFUNCTION("""COMPUTED_VALUE"""),"Bhutan")</f>
        <v>Bhutan</v>
      </c>
      <c r="D822" s="6">
        <f>COUNTIFS('Raw Data Sales'!H822:H1820, LEFT(A822, FIND(" ",A822)-1), 'Raw Data Sales'!I822:I1820, MID(A822, FIND(" ",A822)+1, 100))</f>
        <v>1</v>
      </c>
      <c r="E822" s="6">
        <f>SUMIFS('Raw Data Sales'!M822:M1820, 'Raw Data Sales'!H822:H1820, LEFT(A822, FIND(" ",A822)-1), 'Raw Data Sales'!I822:I1820, MID(A822, FIND(" ",A822)+1, 100))</f>
        <v>97</v>
      </c>
      <c r="F822" s="6">
        <f>SUMIFS('Raw Data Sales'!N822:N1820, 'Raw Data Sales'!H822:H1820, LEFT(A822, FIND(" ",A822)-1), 'Raw Data Sales'!I822:I1820, MID(A822, FIND(" ",A822)+1, 100))</f>
        <v>2623.7</v>
      </c>
    </row>
    <row r="823">
      <c r="A823" s="6" t="str">
        <f>IFERROR(__xludf.DUMMYFUNCTION("UNIQUE('Raw Data Sales'!H823:H1821 &amp; "" "" &amp; 'Raw Data Sales'!I823:I1821)"),"Egor Paton")</f>
        <v>Egor Paton</v>
      </c>
      <c r="B823" s="6" t="str">
        <f>IFERROR(__xludf.DUMMYFUNCTION("""COMPUTED_VALUE"""),"epatonmt@timesonline.co.uk")</f>
        <v>epatonmt@timesonline.co.uk</v>
      </c>
      <c r="C823" s="6" t="str">
        <f>IFERROR(__xludf.DUMMYFUNCTION("""COMPUTED_VALUE"""),"Brazil")</f>
        <v>Brazil</v>
      </c>
      <c r="D823" s="6">
        <f>COUNTIFS('Raw Data Sales'!H823:H1821, LEFT(A823, FIND(" ",A823)-1), 'Raw Data Sales'!I823:I1821, MID(A823, FIND(" ",A823)+1, 100))</f>
        <v>1</v>
      </c>
      <c r="E823" s="6">
        <f>SUMIFS('Raw Data Sales'!M823:M1821, 'Raw Data Sales'!H823:H1821, LEFT(A823, FIND(" ",A823)-1), 'Raw Data Sales'!I823:I1821, MID(A823, FIND(" ",A823)+1, 100))</f>
        <v>91</v>
      </c>
      <c r="F823" s="6">
        <f>SUMIFS('Raw Data Sales'!N823:N1821, 'Raw Data Sales'!H823:H1821, LEFT(A823, FIND(" ",A823)-1), 'Raw Data Sales'!I823:I1821, MID(A823, FIND(" ",A823)+1, 100))</f>
        <v>4920.67</v>
      </c>
    </row>
    <row r="824">
      <c r="A824" s="6" t="str">
        <f>IFERROR(__xludf.DUMMYFUNCTION("UNIQUE('Raw Data Sales'!H824:H1822 &amp; "" "" &amp; 'Raw Data Sales'!I824:I1822)"),"Ted Bangs")</f>
        <v>Ted Bangs</v>
      </c>
      <c r="B824" s="6" t="str">
        <f>IFERROR(__xludf.DUMMYFUNCTION("""COMPUTED_VALUE"""),"tbangsmu@slate.com")</f>
        <v>tbangsmu@slate.com</v>
      </c>
      <c r="C824" s="6" t="str">
        <f>IFERROR(__xludf.DUMMYFUNCTION("""COMPUTED_VALUE"""),"Ukraine")</f>
        <v>Ukraine</v>
      </c>
      <c r="D824" s="6">
        <f>COUNTIFS('Raw Data Sales'!H824:H1822, LEFT(A824, FIND(" ",A824)-1), 'Raw Data Sales'!I824:I1822, MID(A824, FIND(" ",A824)+1, 100))</f>
        <v>1</v>
      </c>
      <c r="E824" s="6">
        <f>SUMIFS('Raw Data Sales'!M824:M1822, 'Raw Data Sales'!H824:H1822, LEFT(A824, FIND(" ",A824)-1), 'Raw Data Sales'!I824:I1822, MID(A824, FIND(" ",A824)+1, 100))</f>
        <v>39</v>
      </c>
      <c r="F824" s="6">
        <f>SUMIFS('Raw Data Sales'!N824:N1822, 'Raw Data Sales'!H824:H1822, LEFT(A824, FIND(" ",A824)-1), 'Raw Data Sales'!I824:I1822, MID(A824, FIND(" ",A824)+1, 100))</f>
        <v>5512.5</v>
      </c>
    </row>
    <row r="825">
      <c r="A825" s="6" t="str">
        <f>IFERROR(__xludf.DUMMYFUNCTION("UNIQUE('Raw Data Sales'!H825:H1823 &amp; "" "" &amp; 'Raw Data Sales'!I825:I1823)"),"Bennie Loraine")</f>
        <v>Bennie Loraine</v>
      </c>
      <c r="B825" s="6" t="str">
        <f>IFERROR(__xludf.DUMMYFUNCTION("""COMPUTED_VALUE"""),"blorainemv@wordpress.com")</f>
        <v>blorainemv@wordpress.com</v>
      </c>
      <c r="C825" s="6" t="str">
        <f>IFERROR(__xludf.DUMMYFUNCTION("""COMPUTED_VALUE"""),"Portugal")</f>
        <v>Portugal</v>
      </c>
      <c r="D825" s="6">
        <f>COUNTIFS('Raw Data Sales'!H825:H1823, LEFT(A825, FIND(" ",A825)-1), 'Raw Data Sales'!I825:I1823, MID(A825, FIND(" ",A825)+1, 100))</f>
        <v>1</v>
      </c>
      <c r="E825" s="6">
        <f>SUMIFS('Raw Data Sales'!M825:M1823, 'Raw Data Sales'!H825:H1823, LEFT(A825, FIND(" ",A825)-1), 'Raw Data Sales'!I825:I1823, MID(A825, FIND(" ",A825)+1, 100))</f>
        <v>44</v>
      </c>
      <c r="F825" s="6">
        <f>SUMIFS('Raw Data Sales'!N825:N1823, 'Raw Data Sales'!H825:H1823, LEFT(A825, FIND(" ",A825)-1), 'Raw Data Sales'!I825:I1823, MID(A825, FIND(" ",A825)+1, 100))</f>
        <v>326.42</v>
      </c>
    </row>
    <row r="826">
      <c r="A826" s="6" t="str">
        <f>IFERROR(__xludf.DUMMYFUNCTION("UNIQUE('Raw Data Sales'!H826:H1824 &amp; "" "" &amp; 'Raw Data Sales'!I826:I1824)"),"Lily Sneath")</f>
        <v>Lily Sneath</v>
      </c>
      <c r="B826" s="6" t="str">
        <f>IFERROR(__xludf.DUMMYFUNCTION("""COMPUTED_VALUE"""),"lsneathmw@time.com")</f>
        <v>lsneathmw@time.com</v>
      </c>
      <c r="C826" s="6" t="str">
        <f>IFERROR(__xludf.DUMMYFUNCTION("""COMPUTED_VALUE"""),"China")</f>
        <v>China</v>
      </c>
      <c r="D826" s="6">
        <f>COUNTIFS('Raw Data Sales'!H826:H1824, LEFT(A826, FIND(" ",A826)-1), 'Raw Data Sales'!I826:I1824, MID(A826, FIND(" ",A826)+1, 100))</f>
        <v>1</v>
      </c>
      <c r="E826" s="6">
        <f>SUMIFS('Raw Data Sales'!M826:M1824, 'Raw Data Sales'!H826:H1824, LEFT(A826, FIND(" ",A826)-1), 'Raw Data Sales'!I826:I1824, MID(A826, FIND(" ",A826)+1, 100))</f>
        <v>32</v>
      </c>
      <c r="F826" s="6">
        <f>SUMIFS('Raw Data Sales'!N826:N1824, 'Raw Data Sales'!H826:H1824, LEFT(A826, FIND(" ",A826)-1), 'Raw Data Sales'!I826:I1824, MID(A826, FIND(" ",A826)+1, 100))</f>
        <v>5208.86</v>
      </c>
    </row>
    <row r="827">
      <c r="A827" s="6" t="str">
        <f>IFERROR(__xludf.DUMMYFUNCTION("UNIQUE('Raw Data Sales'!H827:H1825 &amp; "" "" &amp; 'Raw Data Sales'!I827:I1825)"),"Orville Episcopi")</f>
        <v>Orville Episcopi</v>
      </c>
      <c r="B827" s="6" t="str">
        <f>IFERROR(__xludf.DUMMYFUNCTION("""COMPUTED_VALUE"""),"oepiscopimx@redcross.org")</f>
        <v>oepiscopimx@redcross.org</v>
      </c>
      <c r="C827" s="6" t="str">
        <f>IFERROR(__xludf.DUMMYFUNCTION("""COMPUTED_VALUE"""),"Kenya")</f>
        <v>Kenya</v>
      </c>
      <c r="D827" s="6">
        <f>COUNTIFS('Raw Data Sales'!H827:H1825, LEFT(A827, FIND(" ",A827)-1), 'Raw Data Sales'!I827:I1825, MID(A827, FIND(" ",A827)+1, 100))</f>
        <v>1</v>
      </c>
      <c r="E827" s="6">
        <f>SUMIFS('Raw Data Sales'!M827:M1825, 'Raw Data Sales'!H827:H1825, LEFT(A827, FIND(" ",A827)-1), 'Raw Data Sales'!I827:I1825, MID(A827, FIND(" ",A827)+1, 100))</f>
        <v>79</v>
      </c>
      <c r="F827" s="6">
        <f>SUMIFS('Raw Data Sales'!N827:N1825, 'Raw Data Sales'!H827:H1825, LEFT(A827, FIND(" ",A827)-1), 'Raw Data Sales'!I827:I1825, MID(A827, FIND(" ",A827)+1, 100))</f>
        <v>5789.34</v>
      </c>
    </row>
    <row r="828">
      <c r="A828" s="6" t="str">
        <f>IFERROR(__xludf.DUMMYFUNCTION("UNIQUE('Raw Data Sales'!H828:H1826 &amp; "" "" &amp; 'Raw Data Sales'!I828:I1826)"),"Rice Tatersale")</f>
        <v>Rice Tatersale</v>
      </c>
      <c r="B828" s="6" t="str">
        <f>IFERROR(__xludf.DUMMYFUNCTION("""COMPUTED_VALUE"""),"rtatersalemy@blogs.com")</f>
        <v>rtatersalemy@blogs.com</v>
      </c>
      <c r="C828" s="6" t="str">
        <f>IFERROR(__xludf.DUMMYFUNCTION("""COMPUTED_VALUE"""),"Russia")</f>
        <v>Russia</v>
      </c>
      <c r="D828" s="6">
        <f>COUNTIFS('Raw Data Sales'!H828:H1826, LEFT(A828, FIND(" ",A828)-1), 'Raw Data Sales'!I828:I1826, MID(A828, FIND(" ",A828)+1, 100))</f>
        <v>1</v>
      </c>
      <c r="E828" s="6">
        <f>SUMIFS('Raw Data Sales'!M828:M1826, 'Raw Data Sales'!H828:H1826, LEFT(A828, FIND(" ",A828)-1), 'Raw Data Sales'!I828:I1826, MID(A828, FIND(" ",A828)+1, 100))</f>
        <v>55</v>
      </c>
      <c r="F828" s="6">
        <f>SUMIFS('Raw Data Sales'!N828:N1826, 'Raw Data Sales'!H828:H1826, LEFT(A828, FIND(" ",A828)-1), 'Raw Data Sales'!I828:I1826, MID(A828, FIND(" ",A828)+1, 100))</f>
        <v>9370.19</v>
      </c>
    </row>
    <row r="829">
      <c r="A829" s="6" t="str">
        <f>IFERROR(__xludf.DUMMYFUNCTION("UNIQUE('Raw Data Sales'!H829:H1827 &amp; "" "" &amp; 'Raw Data Sales'!I829:I1827)"),"Hesther Bernaldez")</f>
        <v>Hesther Bernaldez</v>
      </c>
      <c r="B829" s="6" t="str">
        <f>IFERROR(__xludf.DUMMYFUNCTION("""COMPUTED_VALUE"""),"hbernaldezmz@surveymonkey.com")</f>
        <v>hbernaldezmz@surveymonkey.com</v>
      </c>
      <c r="C829" s="6" t="str">
        <f>IFERROR(__xludf.DUMMYFUNCTION("""COMPUTED_VALUE"""),"Indonesia")</f>
        <v>Indonesia</v>
      </c>
      <c r="D829" s="6">
        <f>COUNTIFS('Raw Data Sales'!H829:H1827, LEFT(A829, FIND(" ",A829)-1), 'Raw Data Sales'!I829:I1827, MID(A829, FIND(" ",A829)+1, 100))</f>
        <v>1</v>
      </c>
      <c r="E829" s="6">
        <f>SUMIFS('Raw Data Sales'!M829:M1827, 'Raw Data Sales'!H829:H1827, LEFT(A829, FIND(" ",A829)-1), 'Raw Data Sales'!I829:I1827, MID(A829, FIND(" ",A829)+1, 100))</f>
        <v>7</v>
      </c>
      <c r="F829" s="6">
        <f>SUMIFS('Raw Data Sales'!N829:N1827, 'Raw Data Sales'!H829:H1827, LEFT(A829, FIND(" ",A829)-1), 'Raw Data Sales'!I829:I1827, MID(A829, FIND(" ",A829)+1, 100))</f>
        <v>5915.13</v>
      </c>
    </row>
    <row r="830">
      <c r="A830" s="6" t="str">
        <f>IFERROR(__xludf.DUMMYFUNCTION("UNIQUE('Raw Data Sales'!H830:H1828 &amp; "" "" &amp; 'Raw Data Sales'!I830:I1828)"),"Filippo Connah")</f>
        <v>Filippo Connah</v>
      </c>
      <c r="B830" s="6" t="str">
        <f>IFERROR(__xludf.DUMMYFUNCTION("""COMPUTED_VALUE"""),"fconnahn0@xinhuanet.com")</f>
        <v>fconnahn0@xinhuanet.com</v>
      </c>
      <c r="C830" s="6" t="str">
        <f>IFERROR(__xludf.DUMMYFUNCTION("""COMPUTED_VALUE"""),"Indonesia")</f>
        <v>Indonesia</v>
      </c>
      <c r="D830" s="6">
        <f>COUNTIFS('Raw Data Sales'!H830:H1828, LEFT(A830, FIND(" ",A830)-1), 'Raw Data Sales'!I830:I1828, MID(A830, FIND(" ",A830)+1, 100))</f>
        <v>1</v>
      </c>
      <c r="E830" s="6">
        <f>SUMIFS('Raw Data Sales'!M830:M1828, 'Raw Data Sales'!H830:H1828, LEFT(A830, FIND(" ",A830)-1), 'Raw Data Sales'!I830:I1828, MID(A830, FIND(" ",A830)+1, 100))</f>
        <v>59</v>
      </c>
      <c r="F830" s="6">
        <f>SUMIFS('Raw Data Sales'!N830:N1828, 'Raw Data Sales'!H830:H1828, LEFT(A830, FIND(" ",A830)-1), 'Raw Data Sales'!I830:I1828, MID(A830, FIND(" ",A830)+1, 100))</f>
        <v>5728.84</v>
      </c>
    </row>
    <row r="831">
      <c r="A831" s="6" t="str">
        <f>IFERROR(__xludf.DUMMYFUNCTION("UNIQUE('Raw Data Sales'!H831:H1829 &amp; "" "" &amp; 'Raw Data Sales'!I831:I1829)"),"Toddy Kehoe")</f>
        <v>Toddy Kehoe</v>
      </c>
      <c r="B831" s="6" t="str">
        <f>IFERROR(__xludf.DUMMYFUNCTION("""COMPUTED_VALUE"""),"tkehoen1@devhub.com")</f>
        <v>tkehoen1@devhub.com</v>
      </c>
      <c r="C831" s="6" t="str">
        <f>IFERROR(__xludf.DUMMYFUNCTION("""COMPUTED_VALUE"""),"France")</f>
        <v>France</v>
      </c>
      <c r="D831" s="6">
        <f>COUNTIFS('Raw Data Sales'!H831:H1829, LEFT(A831, FIND(" ",A831)-1), 'Raw Data Sales'!I831:I1829, MID(A831, FIND(" ",A831)+1, 100))</f>
        <v>1</v>
      </c>
      <c r="E831" s="6">
        <f>SUMIFS('Raw Data Sales'!M831:M1829, 'Raw Data Sales'!H831:H1829, LEFT(A831, FIND(" ",A831)-1), 'Raw Data Sales'!I831:I1829, MID(A831, FIND(" ",A831)+1, 100))</f>
        <v>79</v>
      </c>
      <c r="F831" s="6">
        <f>SUMIFS('Raw Data Sales'!N831:N1829, 'Raw Data Sales'!H831:H1829, LEFT(A831, FIND(" ",A831)-1), 'Raw Data Sales'!I831:I1829, MID(A831, FIND(" ",A831)+1, 100))</f>
        <v>7011.25</v>
      </c>
    </row>
    <row r="832">
      <c r="A832" s="6" t="str">
        <f>IFERROR(__xludf.DUMMYFUNCTION("UNIQUE('Raw Data Sales'!H832:H1830 &amp; "" "" &amp; 'Raw Data Sales'!I832:I1830)"),"Brice Piken")</f>
        <v>Brice Piken</v>
      </c>
      <c r="B832" s="6" t="str">
        <f>IFERROR(__xludf.DUMMYFUNCTION("""COMPUTED_VALUE"""),"bpikenn2@dion.ne.jp")</f>
        <v>bpikenn2@dion.ne.jp</v>
      </c>
      <c r="C832" s="6" t="str">
        <f>IFERROR(__xludf.DUMMYFUNCTION("""COMPUTED_VALUE"""),"Poland")</f>
        <v>Poland</v>
      </c>
      <c r="D832" s="6">
        <f>COUNTIFS('Raw Data Sales'!H832:H1830, LEFT(A832, FIND(" ",A832)-1), 'Raw Data Sales'!I832:I1830, MID(A832, FIND(" ",A832)+1, 100))</f>
        <v>1</v>
      </c>
      <c r="E832" s="6">
        <f>SUMIFS('Raw Data Sales'!M832:M1830, 'Raw Data Sales'!H832:H1830, LEFT(A832, FIND(" ",A832)-1), 'Raw Data Sales'!I832:I1830, MID(A832, FIND(" ",A832)+1, 100))</f>
        <v>54</v>
      </c>
      <c r="F832" s="6">
        <f>SUMIFS('Raw Data Sales'!N832:N1830, 'Raw Data Sales'!H832:H1830, LEFT(A832, FIND(" ",A832)-1), 'Raw Data Sales'!I832:I1830, MID(A832, FIND(" ",A832)+1, 100))</f>
        <v>6504.61</v>
      </c>
    </row>
    <row r="833">
      <c r="A833" s="6" t="str">
        <f>IFERROR(__xludf.DUMMYFUNCTION("UNIQUE('Raw Data Sales'!H833:H1831 &amp; "" "" &amp; 'Raw Data Sales'!I833:I1831)"),"Venita Napolitano")</f>
        <v>Venita Napolitano</v>
      </c>
      <c r="B833" s="6" t="str">
        <f>IFERROR(__xludf.DUMMYFUNCTION("""COMPUTED_VALUE"""),"vnapolitanon3@imgur.com")</f>
        <v>vnapolitanon3@imgur.com</v>
      </c>
      <c r="C833" s="6" t="str">
        <f>IFERROR(__xludf.DUMMYFUNCTION("""COMPUTED_VALUE"""),"Russia")</f>
        <v>Russia</v>
      </c>
      <c r="D833" s="6">
        <f>COUNTIFS('Raw Data Sales'!H833:H1831, LEFT(A833, FIND(" ",A833)-1), 'Raw Data Sales'!I833:I1831, MID(A833, FIND(" ",A833)+1, 100))</f>
        <v>1</v>
      </c>
      <c r="E833" s="6">
        <f>SUMIFS('Raw Data Sales'!M833:M1831, 'Raw Data Sales'!H833:H1831, LEFT(A833, FIND(" ",A833)-1), 'Raw Data Sales'!I833:I1831, MID(A833, FIND(" ",A833)+1, 100))</f>
        <v>78</v>
      </c>
      <c r="F833" s="6">
        <f>SUMIFS('Raw Data Sales'!N833:N1831, 'Raw Data Sales'!H833:H1831, LEFT(A833, FIND(" ",A833)-1), 'Raw Data Sales'!I833:I1831, MID(A833, FIND(" ",A833)+1, 100))</f>
        <v>2610.3</v>
      </c>
    </row>
    <row r="834">
      <c r="A834" s="6" t="str">
        <f>IFERROR(__xludf.DUMMYFUNCTION("UNIQUE('Raw Data Sales'!H834:H1832 &amp; "" "" &amp; 'Raw Data Sales'!I834:I1832)"),"Euphemia Munn")</f>
        <v>Euphemia Munn</v>
      </c>
      <c r="B834" s="6" t="str">
        <f>IFERROR(__xludf.DUMMYFUNCTION("""COMPUTED_VALUE"""),"emunnn4@jiathis.com")</f>
        <v>emunnn4@jiathis.com</v>
      </c>
      <c r="C834" s="6" t="str">
        <f>IFERROR(__xludf.DUMMYFUNCTION("""COMPUTED_VALUE"""),"Norway")</f>
        <v>Norway</v>
      </c>
      <c r="D834" s="6">
        <f>COUNTIFS('Raw Data Sales'!H834:H1832, LEFT(A834, FIND(" ",A834)-1), 'Raw Data Sales'!I834:I1832, MID(A834, FIND(" ",A834)+1, 100))</f>
        <v>1</v>
      </c>
      <c r="E834" s="6">
        <f>SUMIFS('Raw Data Sales'!M834:M1832, 'Raw Data Sales'!H834:H1832, LEFT(A834, FIND(" ",A834)-1), 'Raw Data Sales'!I834:I1832, MID(A834, FIND(" ",A834)+1, 100))</f>
        <v>55</v>
      </c>
      <c r="F834" s="6">
        <f>SUMIFS('Raw Data Sales'!N834:N1832, 'Raw Data Sales'!H834:H1832, LEFT(A834, FIND(" ",A834)-1), 'Raw Data Sales'!I834:I1832, MID(A834, FIND(" ",A834)+1, 100))</f>
        <v>4893.03</v>
      </c>
    </row>
    <row r="835">
      <c r="A835" s="6" t="str">
        <f>IFERROR(__xludf.DUMMYFUNCTION("UNIQUE('Raw Data Sales'!H835:H1833 &amp; "" "" &amp; 'Raw Data Sales'!I835:I1833)"),"Franni Maudling")</f>
        <v>Franni Maudling</v>
      </c>
      <c r="B835" s="6" t="str">
        <f>IFERROR(__xludf.DUMMYFUNCTION("""COMPUTED_VALUE"""),"fmaudlingn5@flickr.com")</f>
        <v>fmaudlingn5@flickr.com</v>
      </c>
      <c r="C835" s="6" t="str">
        <f>IFERROR(__xludf.DUMMYFUNCTION("""COMPUTED_VALUE"""),"China")</f>
        <v>China</v>
      </c>
      <c r="D835" s="6">
        <f>COUNTIFS('Raw Data Sales'!H835:H1833, LEFT(A835, FIND(" ",A835)-1), 'Raw Data Sales'!I835:I1833, MID(A835, FIND(" ",A835)+1, 100))</f>
        <v>1</v>
      </c>
      <c r="E835" s="6">
        <f>SUMIFS('Raw Data Sales'!M835:M1833, 'Raw Data Sales'!H835:H1833, LEFT(A835, FIND(" ",A835)-1), 'Raw Data Sales'!I835:I1833, MID(A835, FIND(" ",A835)+1, 100))</f>
        <v>73</v>
      </c>
      <c r="F835" s="6">
        <f>SUMIFS('Raw Data Sales'!N835:N1833, 'Raw Data Sales'!H835:H1833, LEFT(A835, FIND(" ",A835)-1), 'Raw Data Sales'!I835:I1833, MID(A835, FIND(" ",A835)+1, 100))</f>
        <v>4175.78</v>
      </c>
    </row>
    <row r="836">
      <c r="A836" s="6" t="str">
        <f>IFERROR(__xludf.DUMMYFUNCTION("UNIQUE('Raw Data Sales'!H836:H1834 &amp; "" "" &amp; 'Raw Data Sales'!I836:I1834)"),"Dolley Shillabear")</f>
        <v>Dolley Shillabear</v>
      </c>
      <c r="B836" s="6" t="str">
        <f>IFERROR(__xludf.DUMMYFUNCTION("""COMPUTED_VALUE"""),"dshillabearn6@hc360.com")</f>
        <v>dshillabearn6@hc360.com</v>
      </c>
      <c r="C836" s="6" t="str">
        <f>IFERROR(__xludf.DUMMYFUNCTION("""COMPUTED_VALUE"""),"Peru")</f>
        <v>Peru</v>
      </c>
      <c r="D836" s="6">
        <f>COUNTIFS('Raw Data Sales'!H836:H1834, LEFT(A836, FIND(" ",A836)-1), 'Raw Data Sales'!I836:I1834, MID(A836, FIND(" ",A836)+1, 100))</f>
        <v>1</v>
      </c>
      <c r="E836" s="6">
        <f>SUMIFS('Raw Data Sales'!M836:M1834, 'Raw Data Sales'!H836:H1834, LEFT(A836, FIND(" ",A836)-1), 'Raw Data Sales'!I836:I1834, MID(A836, FIND(" ",A836)+1, 100))</f>
        <v>13</v>
      </c>
      <c r="F836" s="6">
        <f>SUMIFS('Raw Data Sales'!N836:N1834, 'Raw Data Sales'!H836:H1834, LEFT(A836, FIND(" ",A836)-1), 'Raw Data Sales'!I836:I1834, MID(A836, FIND(" ",A836)+1, 100))</f>
        <v>8259.56</v>
      </c>
    </row>
    <row r="837">
      <c r="A837" s="6" t="str">
        <f>IFERROR(__xludf.DUMMYFUNCTION("UNIQUE('Raw Data Sales'!H837:H1835 &amp; "" "" &amp; 'Raw Data Sales'!I837:I1835)"),"Isa Mash")</f>
        <v>Isa Mash</v>
      </c>
      <c r="B837" s="6" t="str">
        <f>IFERROR(__xludf.DUMMYFUNCTION("""COMPUTED_VALUE"""),"imashn7@is.gd")</f>
        <v>imashn7@is.gd</v>
      </c>
      <c r="C837" s="6" t="str">
        <f>IFERROR(__xludf.DUMMYFUNCTION("""COMPUTED_VALUE"""),"Macedonia")</f>
        <v>Macedonia</v>
      </c>
      <c r="D837" s="6">
        <f>COUNTIFS('Raw Data Sales'!H837:H1835, LEFT(A837, FIND(" ",A837)-1), 'Raw Data Sales'!I837:I1835, MID(A837, FIND(" ",A837)+1, 100))</f>
        <v>1</v>
      </c>
      <c r="E837" s="6">
        <f>SUMIFS('Raw Data Sales'!M837:M1835, 'Raw Data Sales'!H837:H1835, LEFT(A837, FIND(" ",A837)-1), 'Raw Data Sales'!I837:I1835, MID(A837, FIND(" ",A837)+1, 100))</f>
        <v>90</v>
      </c>
      <c r="F837" s="6">
        <f>SUMIFS('Raw Data Sales'!N837:N1835, 'Raw Data Sales'!H837:H1835, LEFT(A837, FIND(" ",A837)-1), 'Raw Data Sales'!I837:I1835, MID(A837, FIND(" ",A837)+1, 100))</f>
        <v>598.91</v>
      </c>
    </row>
    <row r="838">
      <c r="A838" s="6" t="str">
        <f>IFERROR(__xludf.DUMMYFUNCTION("UNIQUE('Raw Data Sales'!H838:H1836 &amp; "" "" &amp; 'Raw Data Sales'!I838:I1836)"),"Cole Barracks")</f>
        <v>Cole Barracks</v>
      </c>
      <c r="B838" s="6" t="str">
        <f>IFERROR(__xludf.DUMMYFUNCTION("""COMPUTED_VALUE"""),"cbarracksn8@discuz.net")</f>
        <v>cbarracksn8@discuz.net</v>
      </c>
      <c r="C838" s="6" t="str">
        <f>IFERROR(__xludf.DUMMYFUNCTION("""COMPUTED_VALUE"""),"Thailand")</f>
        <v>Thailand</v>
      </c>
      <c r="D838" s="6">
        <f>COUNTIFS('Raw Data Sales'!H838:H1836, LEFT(A838, FIND(" ",A838)-1), 'Raw Data Sales'!I838:I1836, MID(A838, FIND(" ",A838)+1, 100))</f>
        <v>1</v>
      </c>
      <c r="E838" s="6">
        <f>SUMIFS('Raw Data Sales'!M838:M1836, 'Raw Data Sales'!H838:H1836, LEFT(A838, FIND(" ",A838)-1), 'Raw Data Sales'!I838:I1836, MID(A838, FIND(" ",A838)+1, 100))</f>
        <v>63</v>
      </c>
      <c r="F838" s="6">
        <f>SUMIFS('Raw Data Sales'!N838:N1836, 'Raw Data Sales'!H838:H1836, LEFT(A838, FIND(" ",A838)-1), 'Raw Data Sales'!I838:I1836, MID(A838, FIND(" ",A838)+1, 100))</f>
        <v>5560.28</v>
      </c>
    </row>
    <row r="839">
      <c r="A839" s="6" t="str">
        <f>IFERROR(__xludf.DUMMYFUNCTION("UNIQUE('Raw Data Sales'!H839:H1837 &amp; "" "" &amp; 'Raw Data Sales'!I839:I1837)"),"Kendricks Seeds")</f>
        <v>Kendricks Seeds</v>
      </c>
      <c r="B839" s="6" t="str">
        <f>IFERROR(__xludf.DUMMYFUNCTION("""COMPUTED_VALUE"""),"kseedsn9@weibo.com")</f>
        <v>kseedsn9@weibo.com</v>
      </c>
      <c r="C839" s="6" t="str">
        <f>IFERROR(__xludf.DUMMYFUNCTION("""COMPUTED_VALUE"""),"Chile")</f>
        <v>Chile</v>
      </c>
      <c r="D839" s="6">
        <f>COUNTIFS('Raw Data Sales'!H839:H1837, LEFT(A839, FIND(" ",A839)-1), 'Raw Data Sales'!I839:I1837, MID(A839, FIND(" ",A839)+1, 100))</f>
        <v>1</v>
      </c>
      <c r="E839" s="6">
        <f>SUMIFS('Raw Data Sales'!M839:M1837, 'Raw Data Sales'!H839:H1837, LEFT(A839, FIND(" ",A839)-1), 'Raw Data Sales'!I839:I1837, MID(A839, FIND(" ",A839)+1, 100))</f>
        <v>85</v>
      </c>
      <c r="F839" s="6">
        <f>SUMIFS('Raw Data Sales'!N839:N1837, 'Raw Data Sales'!H839:H1837, LEFT(A839, FIND(" ",A839)-1), 'Raw Data Sales'!I839:I1837, MID(A839, FIND(" ",A839)+1, 100))</f>
        <v>4349.5</v>
      </c>
    </row>
    <row r="840">
      <c r="A840" s="6" t="str">
        <f>IFERROR(__xludf.DUMMYFUNCTION("UNIQUE('Raw Data Sales'!H840:H1838 &amp; "" "" &amp; 'Raw Data Sales'!I840:I1838)"),"Maria Pryor")</f>
        <v>Maria Pryor</v>
      </c>
      <c r="B840" s="6" t="str">
        <f>IFERROR(__xludf.DUMMYFUNCTION("""COMPUTED_VALUE"""),"mpryorna@businessweek.com")</f>
        <v>mpryorna@businessweek.com</v>
      </c>
      <c r="C840" s="6" t="str">
        <f>IFERROR(__xludf.DUMMYFUNCTION("""COMPUTED_VALUE"""),"Ukraine")</f>
        <v>Ukraine</v>
      </c>
      <c r="D840" s="6">
        <f>COUNTIFS('Raw Data Sales'!H840:H1838, LEFT(A840, FIND(" ",A840)-1), 'Raw Data Sales'!I840:I1838, MID(A840, FIND(" ",A840)+1, 100))</f>
        <v>1</v>
      </c>
      <c r="E840" s="6">
        <f>SUMIFS('Raw Data Sales'!M840:M1838, 'Raw Data Sales'!H840:H1838, LEFT(A840, FIND(" ",A840)-1), 'Raw Data Sales'!I840:I1838, MID(A840, FIND(" ",A840)+1, 100))</f>
        <v>88</v>
      </c>
      <c r="F840" s="6">
        <f>SUMIFS('Raw Data Sales'!N840:N1838, 'Raw Data Sales'!H840:H1838, LEFT(A840, FIND(" ",A840)-1), 'Raw Data Sales'!I840:I1838, MID(A840, FIND(" ",A840)+1, 100))</f>
        <v>194.11</v>
      </c>
    </row>
    <row r="841">
      <c r="A841" s="6" t="str">
        <f>IFERROR(__xludf.DUMMYFUNCTION("UNIQUE('Raw Data Sales'!H841:H1839 &amp; "" "" &amp; 'Raw Data Sales'!I841:I1839)"),"Miof mela Dowzell")</f>
        <v>Miof mela Dowzell</v>
      </c>
      <c r="B841" s="6" t="str">
        <f>IFERROR(__xludf.DUMMYFUNCTION("""COMPUTED_VALUE"""),"mdowzellnb@booking.com")</f>
        <v>mdowzellnb@booking.com</v>
      </c>
      <c r="C841" s="6" t="str">
        <f>IFERROR(__xludf.DUMMYFUNCTION("""COMPUTED_VALUE"""),"United States")</f>
        <v>United States</v>
      </c>
      <c r="D841" s="6">
        <f>COUNTIFS('Raw Data Sales'!H841:H1839, LEFT(A841, FIND(" ",A841)-1), 'Raw Data Sales'!I841:I1839, MID(A841, FIND(" ",A841)+1, 100))</f>
        <v>0</v>
      </c>
      <c r="E841" s="6">
        <f>SUMIFS('Raw Data Sales'!M841:M1839, 'Raw Data Sales'!H841:H1839, LEFT(A841, FIND(" ",A841)-1), 'Raw Data Sales'!I841:I1839, MID(A841, FIND(" ",A841)+1, 100))</f>
        <v>0</v>
      </c>
      <c r="F841" s="6">
        <f>SUMIFS('Raw Data Sales'!N841:N1839, 'Raw Data Sales'!H841:H1839, LEFT(A841, FIND(" ",A841)-1), 'Raw Data Sales'!I841:I1839, MID(A841, FIND(" ",A841)+1, 100))</f>
        <v>0</v>
      </c>
    </row>
    <row r="842">
      <c r="A842" s="6" t="str">
        <f>IFERROR(__xludf.DUMMYFUNCTION("UNIQUE('Raw Data Sales'!H842:H1840 &amp; "" "" &amp; 'Raw Data Sales'!I842:I1840)"),"Ettore Ebsworth")</f>
        <v>Ettore Ebsworth</v>
      </c>
      <c r="B842" s="6" t="str">
        <f>IFERROR(__xludf.DUMMYFUNCTION("""COMPUTED_VALUE"""),"eebsworthnc@printfriendly.com")</f>
        <v>eebsworthnc@printfriendly.com</v>
      </c>
      <c r="C842" s="6" t="str">
        <f>IFERROR(__xludf.DUMMYFUNCTION("""COMPUTED_VALUE"""),"Portugal")</f>
        <v>Portugal</v>
      </c>
      <c r="D842" s="6">
        <f>COUNTIFS('Raw Data Sales'!H842:H1840, LEFT(A842, FIND(" ",A842)-1), 'Raw Data Sales'!I842:I1840, MID(A842, FIND(" ",A842)+1, 100))</f>
        <v>1</v>
      </c>
      <c r="E842" s="6">
        <f>SUMIFS('Raw Data Sales'!M842:M1840, 'Raw Data Sales'!H842:H1840, LEFT(A842, FIND(" ",A842)-1), 'Raw Data Sales'!I842:I1840, MID(A842, FIND(" ",A842)+1, 100))</f>
        <v>28</v>
      </c>
      <c r="F842" s="6">
        <f>SUMIFS('Raw Data Sales'!N842:N1840, 'Raw Data Sales'!H842:H1840, LEFT(A842, FIND(" ",A842)-1), 'Raw Data Sales'!I842:I1840, MID(A842, FIND(" ",A842)+1, 100))</f>
        <v>2954.1</v>
      </c>
    </row>
    <row r="843">
      <c r="A843" s="6" t="str">
        <f>IFERROR(__xludf.DUMMYFUNCTION("UNIQUE('Raw Data Sales'!H843:H1841 &amp; "" "" &amp; 'Raw Data Sales'!I843:I1841)"),"Richard Penton")</f>
        <v>Richard Penton</v>
      </c>
      <c r="B843" s="6" t="str">
        <f>IFERROR(__xludf.DUMMYFUNCTION("""COMPUTED_VALUE"""),"rpentonnd@toplist.cz")</f>
        <v>rpentonnd@toplist.cz</v>
      </c>
      <c r="C843" s="6" t="str">
        <f>IFERROR(__xludf.DUMMYFUNCTION("""COMPUTED_VALUE"""),"Indonesia")</f>
        <v>Indonesia</v>
      </c>
      <c r="D843" s="6">
        <f>COUNTIFS('Raw Data Sales'!H843:H1841, LEFT(A843, FIND(" ",A843)-1), 'Raw Data Sales'!I843:I1841, MID(A843, FIND(" ",A843)+1, 100))</f>
        <v>1</v>
      </c>
      <c r="E843" s="6">
        <f>SUMIFS('Raw Data Sales'!M843:M1841, 'Raw Data Sales'!H843:H1841, LEFT(A843, FIND(" ",A843)-1), 'Raw Data Sales'!I843:I1841, MID(A843, FIND(" ",A843)+1, 100))</f>
        <v>57</v>
      </c>
      <c r="F843" s="6">
        <f>SUMIFS('Raw Data Sales'!N843:N1841, 'Raw Data Sales'!H843:H1841, LEFT(A843, FIND(" ",A843)-1), 'Raw Data Sales'!I843:I1841, MID(A843, FIND(" ",A843)+1, 100))</f>
        <v>5496.3</v>
      </c>
    </row>
    <row r="844">
      <c r="A844" s="6" t="str">
        <f>IFERROR(__xludf.DUMMYFUNCTION("UNIQUE('Raw Data Sales'!H844:H1842 &amp; "" "" &amp; 'Raw Data Sales'!I844:I1842)"),"Jobie Brookshaw")</f>
        <v>Jobie Brookshaw</v>
      </c>
      <c r="B844" s="6" t="str">
        <f>IFERROR(__xludf.DUMMYFUNCTION("""COMPUTED_VALUE"""),"jbrookshawne@xing.com")</f>
        <v>jbrookshawne@xing.com</v>
      </c>
      <c r="C844" s="6" t="str">
        <f>IFERROR(__xludf.DUMMYFUNCTION("""COMPUTED_VALUE"""),"Indonesia")</f>
        <v>Indonesia</v>
      </c>
      <c r="D844" s="6">
        <f>COUNTIFS('Raw Data Sales'!H844:H1842, LEFT(A844, FIND(" ",A844)-1), 'Raw Data Sales'!I844:I1842, MID(A844, FIND(" ",A844)+1, 100))</f>
        <v>1</v>
      </c>
      <c r="E844" s="6">
        <f>SUMIFS('Raw Data Sales'!M844:M1842, 'Raw Data Sales'!H844:H1842, LEFT(A844, FIND(" ",A844)-1), 'Raw Data Sales'!I844:I1842, MID(A844, FIND(" ",A844)+1, 100))</f>
        <v>68</v>
      </c>
      <c r="F844" s="6">
        <f>SUMIFS('Raw Data Sales'!N844:N1842, 'Raw Data Sales'!H844:H1842, LEFT(A844, FIND(" ",A844)-1), 'Raw Data Sales'!I844:I1842, MID(A844, FIND(" ",A844)+1, 100))</f>
        <v>2741.51</v>
      </c>
    </row>
    <row r="845">
      <c r="A845" s="6" t="str">
        <f>IFERROR(__xludf.DUMMYFUNCTION("UNIQUE('Raw Data Sales'!H845:H1843 &amp; "" "" &amp; 'Raw Data Sales'!I845:I1843)"),"Hannie Gonzalvo")</f>
        <v>Hannie Gonzalvo</v>
      </c>
      <c r="B845" s="6" t="str">
        <f>IFERROR(__xludf.DUMMYFUNCTION("""COMPUTED_VALUE"""),"hgonzalvonf@reuters.com")</f>
        <v>hgonzalvonf@reuters.com</v>
      </c>
      <c r="C845" s="6" t="str">
        <f>IFERROR(__xludf.DUMMYFUNCTION("""COMPUTED_VALUE"""),"Brazil")</f>
        <v>Brazil</v>
      </c>
      <c r="D845" s="6">
        <f>COUNTIFS('Raw Data Sales'!H845:H1843, LEFT(A845, FIND(" ",A845)-1), 'Raw Data Sales'!I845:I1843, MID(A845, FIND(" ",A845)+1, 100))</f>
        <v>1</v>
      </c>
      <c r="E845" s="6">
        <f>SUMIFS('Raw Data Sales'!M845:M1843, 'Raw Data Sales'!H845:H1843, LEFT(A845, FIND(" ",A845)-1), 'Raw Data Sales'!I845:I1843, MID(A845, FIND(" ",A845)+1, 100))</f>
        <v>14</v>
      </c>
      <c r="F845" s="6">
        <f>SUMIFS('Raw Data Sales'!N845:N1843, 'Raw Data Sales'!H845:H1843, LEFT(A845, FIND(" ",A845)-1), 'Raw Data Sales'!I845:I1843, MID(A845, FIND(" ",A845)+1, 100))</f>
        <v>5415.48</v>
      </c>
    </row>
    <row r="846">
      <c r="A846" s="6" t="str">
        <f>IFERROR(__xludf.DUMMYFUNCTION("UNIQUE('Raw Data Sales'!H846:H1844 &amp; "" "" &amp; 'Raw Data Sales'!I846:I1844)"),"Karen Wildgoose")</f>
        <v>Karen Wildgoose</v>
      </c>
      <c r="B846" s="6" t="str">
        <f>IFERROR(__xludf.DUMMYFUNCTION("""COMPUTED_VALUE"""),"kwildgooseng@sphinn.com")</f>
        <v>kwildgooseng@sphinn.com</v>
      </c>
      <c r="C846" s="6" t="str">
        <f>IFERROR(__xludf.DUMMYFUNCTION("""COMPUTED_VALUE"""),"China")</f>
        <v>China</v>
      </c>
      <c r="D846" s="6">
        <f>COUNTIFS('Raw Data Sales'!H846:H1844, LEFT(A846, FIND(" ",A846)-1), 'Raw Data Sales'!I846:I1844, MID(A846, FIND(" ",A846)+1, 100))</f>
        <v>1</v>
      </c>
      <c r="E846" s="6">
        <f>SUMIFS('Raw Data Sales'!M846:M1844, 'Raw Data Sales'!H846:H1844, LEFT(A846, FIND(" ",A846)-1), 'Raw Data Sales'!I846:I1844, MID(A846, FIND(" ",A846)+1, 100))</f>
        <v>37</v>
      </c>
      <c r="F846" s="6">
        <f>SUMIFS('Raw Data Sales'!N846:N1844, 'Raw Data Sales'!H846:H1844, LEFT(A846, FIND(" ",A846)-1), 'Raw Data Sales'!I846:I1844, MID(A846, FIND(" ",A846)+1, 100))</f>
        <v>6349.11</v>
      </c>
    </row>
    <row r="847">
      <c r="A847" s="6" t="str">
        <f>IFERROR(__xludf.DUMMYFUNCTION("UNIQUE('Raw Data Sales'!H847:H1845 &amp; "" "" &amp; 'Raw Data Sales'!I847:I1845)"),"Janel Perin")</f>
        <v>Janel Perin</v>
      </c>
      <c r="B847" s="6" t="str">
        <f>IFERROR(__xludf.DUMMYFUNCTION("""COMPUTED_VALUE"""),"jperinnh@newyorker.com")</f>
        <v>jperinnh@newyorker.com</v>
      </c>
      <c r="C847" s="6" t="str">
        <f>IFERROR(__xludf.DUMMYFUNCTION("""COMPUTED_VALUE"""),"China")</f>
        <v>China</v>
      </c>
      <c r="D847" s="6">
        <f>COUNTIFS('Raw Data Sales'!H847:H1845, LEFT(A847, FIND(" ",A847)-1), 'Raw Data Sales'!I847:I1845, MID(A847, FIND(" ",A847)+1, 100))</f>
        <v>1</v>
      </c>
      <c r="E847" s="6">
        <f>SUMIFS('Raw Data Sales'!M847:M1845, 'Raw Data Sales'!H847:H1845, LEFT(A847, FIND(" ",A847)-1), 'Raw Data Sales'!I847:I1845, MID(A847, FIND(" ",A847)+1, 100))</f>
        <v>20</v>
      </c>
      <c r="F847" s="6">
        <f>SUMIFS('Raw Data Sales'!N847:N1845, 'Raw Data Sales'!H847:H1845, LEFT(A847, FIND(" ",A847)-1), 'Raw Data Sales'!I847:I1845, MID(A847, FIND(" ",A847)+1, 100))</f>
        <v>2279.55</v>
      </c>
    </row>
    <row r="848">
      <c r="A848" s="6" t="str">
        <f>IFERROR(__xludf.DUMMYFUNCTION("UNIQUE('Raw Data Sales'!H848:H1846 &amp; "" "" &amp; 'Raw Data Sales'!I848:I1846)"),"Margette Fisher")</f>
        <v>Margette Fisher</v>
      </c>
      <c r="B848" s="6" t="str">
        <f>IFERROR(__xludf.DUMMYFUNCTION("""COMPUTED_VALUE"""),"mfisherni@noaa.gov")</f>
        <v>mfisherni@noaa.gov</v>
      </c>
      <c r="C848" s="6" t="str">
        <f>IFERROR(__xludf.DUMMYFUNCTION("""COMPUTED_VALUE"""),"Russia")</f>
        <v>Russia</v>
      </c>
      <c r="D848" s="6">
        <f>COUNTIFS('Raw Data Sales'!H848:H1846, LEFT(A848, FIND(" ",A848)-1), 'Raw Data Sales'!I848:I1846, MID(A848, FIND(" ",A848)+1, 100))</f>
        <v>1</v>
      </c>
      <c r="E848" s="6">
        <f>SUMIFS('Raw Data Sales'!M848:M1846, 'Raw Data Sales'!H848:H1846, LEFT(A848, FIND(" ",A848)-1), 'Raw Data Sales'!I848:I1846, MID(A848, FIND(" ",A848)+1, 100))</f>
        <v>61</v>
      </c>
      <c r="F848" s="6">
        <f>SUMIFS('Raw Data Sales'!N848:N1846, 'Raw Data Sales'!H848:H1846, LEFT(A848, FIND(" ",A848)-1), 'Raw Data Sales'!I848:I1846, MID(A848, FIND(" ",A848)+1, 100))</f>
        <v>593.97</v>
      </c>
    </row>
    <row r="849">
      <c r="A849" s="6" t="str">
        <f>IFERROR(__xludf.DUMMYFUNCTION("UNIQUE('Raw Data Sales'!H849:H1847 &amp; "" "" &amp; 'Raw Data Sales'!I849:I1847)"),"Neils Mercer")</f>
        <v>Neils Mercer</v>
      </c>
      <c r="B849" s="6" t="str">
        <f>IFERROR(__xludf.DUMMYFUNCTION("""COMPUTED_VALUE"""),"nmercernj@purevolume.com")</f>
        <v>nmercernj@purevolume.com</v>
      </c>
      <c r="C849" s="6" t="str">
        <f>IFERROR(__xludf.DUMMYFUNCTION("""COMPUTED_VALUE"""),"Saudi Arabia")</f>
        <v>Saudi Arabia</v>
      </c>
      <c r="D849" s="6">
        <f>COUNTIFS('Raw Data Sales'!H849:H1847, LEFT(A849, FIND(" ",A849)-1), 'Raw Data Sales'!I849:I1847, MID(A849, FIND(" ",A849)+1, 100))</f>
        <v>1</v>
      </c>
      <c r="E849" s="6">
        <f>SUMIFS('Raw Data Sales'!M849:M1847, 'Raw Data Sales'!H849:H1847, LEFT(A849, FIND(" ",A849)-1), 'Raw Data Sales'!I849:I1847, MID(A849, FIND(" ",A849)+1, 100))</f>
        <v>85</v>
      </c>
      <c r="F849" s="6">
        <f>SUMIFS('Raw Data Sales'!N849:N1847, 'Raw Data Sales'!H849:H1847, LEFT(A849, FIND(" ",A849)-1), 'Raw Data Sales'!I849:I1847, MID(A849, FIND(" ",A849)+1, 100))</f>
        <v>4633.73</v>
      </c>
    </row>
    <row r="850">
      <c r="A850" s="6" t="str">
        <f>IFERROR(__xludf.DUMMYFUNCTION("UNIQUE('Raw Data Sales'!H850:H1848 &amp; "" "" &amp; 'Raw Data Sales'!I850:I1848)"),"Donal Garth")</f>
        <v>Donal Garth</v>
      </c>
      <c r="B850" s="6" t="str">
        <f>IFERROR(__xludf.DUMMYFUNCTION("""COMPUTED_VALUE"""),"dgarthnk@biblegateway.com")</f>
        <v>dgarthnk@biblegateway.com</v>
      </c>
      <c r="C850" s="6" t="str">
        <f>IFERROR(__xludf.DUMMYFUNCTION("""COMPUTED_VALUE"""),"Brazil")</f>
        <v>Brazil</v>
      </c>
      <c r="D850" s="6">
        <f>COUNTIFS('Raw Data Sales'!H850:H1848, LEFT(A850, FIND(" ",A850)-1), 'Raw Data Sales'!I850:I1848, MID(A850, FIND(" ",A850)+1, 100))</f>
        <v>1</v>
      </c>
      <c r="E850" s="6">
        <f>SUMIFS('Raw Data Sales'!M850:M1848, 'Raw Data Sales'!H850:H1848, LEFT(A850, FIND(" ",A850)-1), 'Raw Data Sales'!I850:I1848, MID(A850, FIND(" ",A850)+1, 100))</f>
        <v>22</v>
      </c>
      <c r="F850" s="6">
        <f>SUMIFS('Raw Data Sales'!N850:N1848, 'Raw Data Sales'!H850:H1848, LEFT(A850, FIND(" ",A850)-1), 'Raw Data Sales'!I850:I1848, MID(A850, FIND(" ",A850)+1, 100))</f>
        <v>2440.66</v>
      </c>
    </row>
    <row r="851">
      <c r="A851" s="6" t="str">
        <f>IFERROR(__xludf.DUMMYFUNCTION("UNIQUE('Raw Data Sales'!H851:H1849 &amp; "" "" &amp; 'Raw Data Sales'!I851:I1849)"),"Otho Vasiliu")</f>
        <v>Otho Vasiliu</v>
      </c>
      <c r="B851" s="6" t="str">
        <f>IFERROR(__xludf.DUMMYFUNCTION("""COMPUTED_VALUE"""),"ovasiliunl@go.com")</f>
        <v>ovasiliunl@go.com</v>
      </c>
      <c r="C851" s="6" t="str">
        <f>IFERROR(__xludf.DUMMYFUNCTION("""COMPUTED_VALUE"""),"Niger")</f>
        <v>Niger</v>
      </c>
      <c r="D851" s="6">
        <f>COUNTIFS('Raw Data Sales'!H851:H1849, LEFT(A851, FIND(" ",A851)-1), 'Raw Data Sales'!I851:I1849, MID(A851, FIND(" ",A851)+1, 100))</f>
        <v>1</v>
      </c>
      <c r="E851" s="6">
        <f>SUMIFS('Raw Data Sales'!M851:M1849, 'Raw Data Sales'!H851:H1849, LEFT(A851, FIND(" ",A851)-1), 'Raw Data Sales'!I851:I1849, MID(A851, FIND(" ",A851)+1, 100))</f>
        <v>85</v>
      </c>
      <c r="F851" s="6">
        <f>SUMIFS('Raw Data Sales'!N851:N1849, 'Raw Data Sales'!H851:H1849, LEFT(A851, FIND(" ",A851)-1), 'Raw Data Sales'!I851:I1849, MID(A851, FIND(" ",A851)+1, 100))</f>
        <v>9500.39</v>
      </c>
    </row>
    <row r="852">
      <c r="A852" s="6" t="str">
        <f>IFERROR(__xludf.DUMMYFUNCTION("UNIQUE('Raw Data Sales'!H852:H1850 &amp; "" "" &amp; 'Raw Data Sales'!I852:I1850)"),"Vinita Grece")</f>
        <v>Vinita Grece</v>
      </c>
      <c r="B852" s="6" t="str">
        <f>IFERROR(__xludf.DUMMYFUNCTION("""COMPUTED_VALUE"""),"vgrecenm@rakuten.co.jp")</f>
        <v>vgrecenm@rakuten.co.jp</v>
      </c>
      <c r="C852" s="6" t="str">
        <f>IFERROR(__xludf.DUMMYFUNCTION("""COMPUTED_VALUE"""),"Guatemala")</f>
        <v>Guatemala</v>
      </c>
      <c r="D852" s="6">
        <f>COUNTIFS('Raw Data Sales'!H852:H1850, LEFT(A852, FIND(" ",A852)-1), 'Raw Data Sales'!I852:I1850, MID(A852, FIND(" ",A852)+1, 100))</f>
        <v>1</v>
      </c>
      <c r="E852" s="6">
        <f>SUMIFS('Raw Data Sales'!M852:M1850, 'Raw Data Sales'!H852:H1850, LEFT(A852, FIND(" ",A852)-1), 'Raw Data Sales'!I852:I1850, MID(A852, FIND(" ",A852)+1, 100))</f>
        <v>49</v>
      </c>
      <c r="F852" s="6">
        <f>SUMIFS('Raw Data Sales'!N852:N1850, 'Raw Data Sales'!H852:H1850, LEFT(A852, FIND(" ",A852)-1), 'Raw Data Sales'!I852:I1850, MID(A852, FIND(" ",A852)+1, 100))</f>
        <v>347.3</v>
      </c>
    </row>
    <row r="853">
      <c r="A853" s="6" t="str">
        <f>IFERROR(__xludf.DUMMYFUNCTION("UNIQUE('Raw Data Sales'!H853:H1851 &amp; "" "" &amp; 'Raw Data Sales'!I853:I1851)"),"Pepito Mifflin")</f>
        <v>Pepito Mifflin</v>
      </c>
      <c r="B853" s="6" t="str">
        <f>IFERROR(__xludf.DUMMYFUNCTION("""COMPUTED_VALUE"""),"pmifflinnn@wordpress.org")</f>
        <v>pmifflinnn@wordpress.org</v>
      </c>
      <c r="C853" s="6" t="str">
        <f>IFERROR(__xludf.DUMMYFUNCTION("""COMPUTED_VALUE"""),"Mongolia")</f>
        <v>Mongolia</v>
      </c>
      <c r="D853" s="6">
        <f>COUNTIFS('Raw Data Sales'!H853:H1851, LEFT(A853, FIND(" ",A853)-1), 'Raw Data Sales'!I853:I1851, MID(A853, FIND(" ",A853)+1, 100))</f>
        <v>1</v>
      </c>
      <c r="E853" s="6">
        <f>SUMIFS('Raw Data Sales'!M853:M1851, 'Raw Data Sales'!H853:H1851, LEFT(A853, FIND(" ",A853)-1), 'Raw Data Sales'!I853:I1851, MID(A853, FIND(" ",A853)+1, 100))</f>
        <v>89</v>
      </c>
      <c r="F853" s="6">
        <f>SUMIFS('Raw Data Sales'!N853:N1851, 'Raw Data Sales'!H853:H1851, LEFT(A853, FIND(" ",A853)-1), 'Raw Data Sales'!I853:I1851, MID(A853, FIND(" ",A853)+1, 100))</f>
        <v>1284.68</v>
      </c>
    </row>
    <row r="854">
      <c r="A854" s="6" t="str">
        <f>IFERROR(__xludf.DUMMYFUNCTION("UNIQUE('Raw Data Sales'!H854:H1852 &amp; "" "" &amp; 'Raw Data Sales'!I854:I1852)"),"Sheridan Banham")</f>
        <v>Sheridan Banham</v>
      </c>
      <c r="B854" s="6" t="str">
        <f>IFERROR(__xludf.DUMMYFUNCTION("""COMPUTED_VALUE"""),"sbanhamno@devhub.com")</f>
        <v>sbanhamno@devhub.com</v>
      </c>
      <c r="C854" s="6" t="str">
        <f>IFERROR(__xludf.DUMMYFUNCTION("""COMPUTED_VALUE"""),"Colombia")</f>
        <v>Colombia</v>
      </c>
      <c r="D854" s="6">
        <f>COUNTIFS('Raw Data Sales'!H854:H1852, LEFT(A854, FIND(" ",A854)-1), 'Raw Data Sales'!I854:I1852, MID(A854, FIND(" ",A854)+1, 100))</f>
        <v>1</v>
      </c>
      <c r="E854" s="6">
        <f>SUMIFS('Raw Data Sales'!M854:M1852, 'Raw Data Sales'!H854:H1852, LEFT(A854, FIND(" ",A854)-1), 'Raw Data Sales'!I854:I1852, MID(A854, FIND(" ",A854)+1, 100))</f>
        <v>77</v>
      </c>
      <c r="F854" s="6">
        <f>SUMIFS('Raw Data Sales'!N854:N1852, 'Raw Data Sales'!H854:H1852, LEFT(A854, FIND(" ",A854)-1), 'Raw Data Sales'!I854:I1852, MID(A854, FIND(" ",A854)+1, 100))</f>
        <v>6116.31</v>
      </c>
    </row>
    <row r="855">
      <c r="A855" s="6" t="str">
        <f>IFERROR(__xludf.DUMMYFUNCTION("UNIQUE('Raw Data Sales'!H855:H1853 &amp; "" "" &amp; 'Raw Data Sales'!I855:I1853)"),"Silva Caramuscia")</f>
        <v>Silva Caramuscia</v>
      </c>
      <c r="B855" s="6" t="str">
        <f>IFERROR(__xludf.DUMMYFUNCTION("""COMPUTED_VALUE"""),"scaramuscianp@mozilla.org")</f>
        <v>scaramuscianp@mozilla.org</v>
      </c>
      <c r="C855" s="6" t="str">
        <f>IFERROR(__xludf.DUMMYFUNCTION("""COMPUTED_VALUE"""),"China")</f>
        <v>China</v>
      </c>
      <c r="D855" s="6">
        <f>COUNTIFS('Raw Data Sales'!H855:H1853, LEFT(A855, FIND(" ",A855)-1), 'Raw Data Sales'!I855:I1853, MID(A855, FIND(" ",A855)+1, 100))</f>
        <v>1</v>
      </c>
      <c r="E855" s="6">
        <f>SUMIFS('Raw Data Sales'!M855:M1853, 'Raw Data Sales'!H855:H1853, LEFT(A855, FIND(" ",A855)-1), 'Raw Data Sales'!I855:I1853, MID(A855, FIND(" ",A855)+1, 100))</f>
        <v>70</v>
      </c>
      <c r="F855" s="6">
        <f>SUMIFS('Raw Data Sales'!N855:N1853, 'Raw Data Sales'!H855:H1853, LEFT(A855, FIND(" ",A855)-1), 'Raw Data Sales'!I855:I1853, MID(A855, FIND(" ",A855)+1, 100))</f>
        <v>6698.63</v>
      </c>
    </row>
    <row r="856">
      <c r="A856" s="6" t="str">
        <f>IFERROR(__xludf.DUMMYFUNCTION("UNIQUE('Raw Data Sales'!H856:H1854 &amp; "" "" &amp; 'Raw Data Sales'!I856:I1854)"),"Zola Kelleher")</f>
        <v>Zola Kelleher</v>
      </c>
      <c r="B856" s="6" t="str">
        <f>IFERROR(__xludf.DUMMYFUNCTION("""COMPUTED_VALUE"""),"zkellehernq@mtv.com")</f>
        <v>zkellehernq@mtv.com</v>
      </c>
      <c r="C856" s="6" t="str">
        <f>IFERROR(__xludf.DUMMYFUNCTION("""COMPUTED_VALUE"""),"Poland")</f>
        <v>Poland</v>
      </c>
      <c r="D856" s="6">
        <f>COUNTIFS('Raw Data Sales'!H856:H1854, LEFT(A856, FIND(" ",A856)-1), 'Raw Data Sales'!I856:I1854, MID(A856, FIND(" ",A856)+1, 100))</f>
        <v>1</v>
      </c>
      <c r="E856" s="6">
        <f>SUMIFS('Raw Data Sales'!M856:M1854, 'Raw Data Sales'!H856:H1854, LEFT(A856, FIND(" ",A856)-1), 'Raw Data Sales'!I856:I1854, MID(A856, FIND(" ",A856)+1, 100))</f>
        <v>38</v>
      </c>
      <c r="F856" s="6">
        <f>SUMIFS('Raw Data Sales'!N856:N1854, 'Raw Data Sales'!H856:H1854, LEFT(A856, FIND(" ",A856)-1), 'Raw Data Sales'!I856:I1854, MID(A856, FIND(" ",A856)+1, 100))</f>
        <v>9880.14</v>
      </c>
    </row>
    <row r="857">
      <c r="A857" s="6" t="str">
        <f>IFERROR(__xludf.DUMMYFUNCTION("UNIQUE('Raw Data Sales'!H857:H1855 &amp; "" "" &amp; 'Raw Data Sales'!I857:I1855)"),"Mersey Browning")</f>
        <v>Mersey Browning</v>
      </c>
      <c r="B857" s="6" t="str">
        <f>IFERROR(__xludf.DUMMYFUNCTION("""COMPUTED_VALUE"""),"mbrowningnr@hostgator.com")</f>
        <v>mbrowningnr@hostgator.com</v>
      </c>
      <c r="C857" s="6" t="str">
        <f>IFERROR(__xludf.DUMMYFUNCTION("""COMPUTED_VALUE"""),"Syria")</f>
        <v>Syria</v>
      </c>
      <c r="D857" s="6">
        <f>COUNTIFS('Raw Data Sales'!H857:H1855, LEFT(A857, FIND(" ",A857)-1), 'Raw Data Sales'!I857:I1855, MID(A857, FIND(" ",A857)+1, 100))</f>
        <v>1</v>
      </c>
      <c r="E857" s="6">
        <f>SUMIFS('Raw Data Sales'!M857:M1855, 'Raw Data Sales'!H857:H1855, LEFT(A857, FIND(" ",A857)-1), 'Raw Data Sales'!I857:I1855, MID(A857, FIND(" ",A857)+1, 100))</f>
        <v>99</v>
      </c>
      <c r="F857" s="6">
        <f>SUMIFS('Raw Data Sales'!N857:N1855, 'Raw Data Sales'!H857:H1855, LEFT(A857, FIND(" ",A857)-1), 'Raw Data Sales'!I857:I1855, MID(A857, FIND(" ",A857)+1, 100))</f>
        <v>357.75</v>
      </c>
    </row>
    <row r="858">
      <c r="A858" s="6" t="str">
        <f>IFERROR(__xludf.DUMMYFUNCTION("UNIQUE('Raw Data Sales'!H858:H1856 &amp; "" "" &amp; 'Raw Data Sales'!I858:I1856)"),"Valma Hargroves")</f>
        <v>Valma Hargroves</v>
      </c>
      <c r="B858" s="6" t="str">
        <f>IFERROR(__xludf.DUMMYFUNCTION("""COMPUTED_VALUE"""),"vhargrovesns@ftc.gov")</f>
        <v>vhargrovesns@ftc.gov</v>
      </c>
      <c r="C858" s="6" t="str">
        <f>IFERROR(__xludf.DUMMYFUNCTION("""COMPUTED_VALUE"""),"Poland")</f>
        <v>Poland</v>
      </c>
      <c r="D858" s="6">
        <f>COUNTIFS('Raw Data Sales'!H858:H1856, LEFT(A858, FIND(" ",A858)-1), 'Raw Data Sales'!I858:I1856, MID(A858, FIND(" ",A858)+1, 100))</f>
        <v>1</v>
      </c>
      <c r="E858" s="6">
        <f>SUMIFS('Raw Data Sales'!M858:M1856, 'Raw Data Sales'!H858:H1856, LEFT(A858, FIND(" ",A858)-1), 'Raw Data Sales'!I858:I1856, MID(A858, FIND(" ",A858)+1, 100))</f>
        <v>46</v>
      </c>
      <c r="F858" s="6">
        <f>SUMIFS('Raw Data Sales'!N858:N1856, 'Raw Data Sales'!H858:H1856, LEFT(A858, FIND(" ",A858)-1), 'Raw Data Sales'!I858:I1856, MID(A858, FIND(" ",A858)+1, 100))</f>
        <v>5584.43</v>
      </c>
    </row>
    <row r="859">
      <c r="A859" s="6" t="str">
        <f>IFERROR(__xludf.DUMMYFUNCTION("UNIQUE('Raw Data Sales'!H859:H1857 &amp; "" "" &amp; 'Raw Data Sales'!I859:I1857)"),"Gunter Wolfinger")</f>
        <v>Gunter Wolfinger</v>
      </c>
      <c r="B859" s="6" t="str">
        <f>IFERROR(__xludf.DUMMYFUNCTION("""COMPUTED_VALUE"""),"gwolfingernt@stumbleupon.com")</f>
        <v>gwolfingernt@stumbleupon.com</v>
      </c>
      <c r="C859" s="6" t="str">
        <f>IFERROR(__xludf.DUMMYFUNCTION("""COMPUTED_VALUE"""),"Philippines")</f>
        <v>Philippines</v>
      </c>
      <c r="D859" s="6">
        <f>COUNTIFS('Raw Data Sales'!H859:H1857, LEFT(A859, FIND(" ",A859)-1), 'Raw Data Sales'!I859:I1857, MID(A859, FIND(" ",A859)+1, 100))</f>
        <v>1</v>
      </c>
      <c r="E859" s="6">
        <f>SUMIFS('Raw Data Sales'!M859:M1857, 'Raw Data Sales'!H859:H1857, LEFT(A859, FIND(" ",A859)-1), 'Raw Data Sales'!I859:I1857, MID(A859, FIND(" ",A859)+1, 100))</f>
        <v>79</v>
      </c>
      <c r="F859" s="6">
        <f>SUMIFS('Raw Data Sales'!N859:N1857, 'Raw Data Sales'!H859:H1857, LEFT(A859, FIND(" ",A859)-1), 'Raw Data Sales'!I859:I1857, MID(A859, FIND(" ",A859)+1, 100))</f>
        <v>6037.89</v>
      </c>
    </row>
    <row r="860">
      <c r="A860" s="6" t="str">
        <f>IFERROR(__xludf.DUMMYFUNCTION("UNIQUE('Raw Data Sales'!H860:H1858 &amp; "" "" &amp; 'Raw Data Sales'!I860:I1858)"),"Saree Brookesbie")</f>
        <v>Saree Brookesbie</v>
      </c>
      <c r="B860" s="6" t="str">
        <f>IFERROR(__xludf.DUMMYFUNCTION("""COMPUTED_VALUE"""),"sbrookesbienu@theatlantic.com")</f>
        <v>sbrookesbienu@theatlantic.com</v>
      </c>
      <c r="C860" s="6" t="str">
        <f>IFERROR(__xludf.DUMMYFUNCTION("""COMPUTED_VALUE"""),"Portugal")</f>
        <v>Portugal</v>
      </c>
      <c r="D860" s="6">
        <f>COUNTIFS('Raw Data Sales'!H860:H1858, LEFT(A860, FIND(" ",A860)-1), 'Raw Data Sales'!I860:I1858, MID(A860, FIND(" ",A860)+1, 100))</f>
        <v>1</v>
      </c>
      <c r="E860" s="6">
        <f>SUMIFS('Raw Data Sales'!M860:M1858, 'Raw Data Sales'!H860:H1858, LEFT(A860, FIND(" ",A860)-1), 'Raw Data Sales'!I860:I1858, MID(A860, FIND(" ",A860)+1, 100))</f>
        <v>26</v>
      </c>
      <c r="F860" s="6">
        <f>SUMIFS('Raw Data Sales'!N860:N1858, 'Raw Data Sales'!H860:H1858, LEFT(A860, FIND(" ",A860)-1), 'Raw Data Sales'!I860:I1858, MID(A860, FIND(" ",A860)+1, 100))</f>
        <v>1661.51</v>
      </c>
    </row>
    <row r="861">
      <c r="A861" s="6" t="str">
        <f>IFERROR(__xludf.DUMMYFUNCTION("UNIQUE('Raw Data Sales'!H861:H1859 &amp; "" "" &amp; 'Raw Data Sales'!I861:I1859)"),"Ban Truscott")</f>
        <v>Ban Truscott</v>
      </c>
      <c r="B861" s="6" t="str">
        <f>IFERROR(__xludf.DUMMYFUNCTION("""COMPUTED_VALUE"""),"btruscottnv@cloudflare.com")</f>
        <v>btruscottnv@cloudflare.com</v>
      </c>
      <c r="C861" s="6" t="str">
        <f>IFERROR(__xludf.DUMMYFUNCTION("""COMPUTED_VALUE"""),"China")</f>
        <v>China</v>
      </c>
      <c r="D861" s="6">
        <f>COUNTIFS('Raw Data Sales'!H861:H1859, LEFT(A861, FIND(" ",A861)-1), 'Raw Data Sales'!I861:I1859, MID(A861, FIND(" ",A861)+1, 100))</f>
        <v>1</v>
      </c>
      <c r="E861" s="6">
        <f>SUMIFS('Raw Data Sales'!M861:M1859, 'Raw Data Sales'!H861:H1859, LEFT(A861, FIND(" ",A861)-1), 'Raw Data Sales'!I861:I1859, MID(A861, FIND(" ",A861)+1, 100))</f>
        <v>75</v>
      </c>
      <c r="F861" s="6">
        <f>SUMIFS('Raw Data Sales'!N861:N1859, 'Raw Data Sales'!H861:H1859, LEFT(A861, FIND(" ",A861)-1), 'Raw Data Sales'!I861:I1859, MID(A861, FIND(" ",A861)+1, 100))</f>
        <v>9152.05</v>
      </c>
    </row>
    <row r="862">
      <c r="A862" s="6" t="str">
        <f>IFERROR(__xludf.DUMMYFUNCTION("UNIQUE('Raw Data Sales'!H862:H1860 &amp; "" "" &amp; 'Raw Data Sales'!I862:I1860)"),"Jojo Fey")</f>
        <v>Jojo Fey</v>
      </c>
      <c r="B862" s="6" t="str">
        <f>IFERROR(__xludf.DUMMYFUNCTION("""COMPUTED_VALUE"""),"jfeynw@ox.ac.uk")</f>
        <v>jfeynw@ox.ac.uk</v>
      </c>
      <c r="C862" s="6" t="str">
        <f>IFERROR(__xludf.DUMMYFUNCTION("""COMPUTED_VALUE"""),"Philippines")</f>
        <v>Philippines</v>
      </c>
      <c r="D862" s="6">
        <f>COUNTIFS('Raw Data Sales'!H862:H1860, LEFT(A862, FIND(" ",A862)-1), 'Raw Data Sales'!I862:I1860, MID(A862, FIND(" ",A862)+1, 100))</f>
        <v>1</v>
      </c>
      <c r="E862" s="6">
        <f>SUMIFS('Raw Data Sales'!M862:M1860, 'Raw Data Sales'!H862:H1860, LEFT(A862, FIND(" ",A862)-1), 'Raw Data Sales'!I862:I1860, MID(A862, FIND(" ",A862)+1, 100))</f>
        <v>95</v>
      </c>
      <c r="F862" s="6">
        <f>SUMIFS('Raw Data Sales'!N862:N1860, 'Raw Data Sales'!H862:H1860, LEFT(A862, FIND(" ",A862)-1), 'Raw Data Sales'!I862:I1860, MID(A862, FIND(" ",A862)+1, 100))</f>
        <v>2298.82</v>
      </c>
    </row>
    <row r="863">
      <c r="A863" s="6" t="str">
        <f>IFERROR(__xludf.DUMMYFUNCTION("UNIQUE('Raw Data Sales'!H863:H1861 &amp; "" "" &amp; 'Raw Data Sales'!I863:I1861)"),"Gaye Rees")</f>
        <v>Gaye Rees</v>
      </c>
      <c r="B863" s="6" t="str">
        <f>IFERROR(__xludf.DUMMYFUNCTION("""COMPUTED_VALUE"""),"greesnx@epa.gov")</f>
        <v>greesnx@epa.gov</v>
      </c>
      <c r="C863" s="6" t="str">
        <f>IFERROR(__xludf.DUMMYFUNCTION("""COMPUTED_VALUE"""),"Belgium")</f>
        <v>Belgium</v>
      </c>
      <c r="D863" s="6">
        <f>COUNTIFS('Raw Data Sales'!H863:H1861, LEFT(A863, FIND(" ",A863)-1), 'Raw Data Sales'!I863:I1861, MID(A863, FIND(" ",A863)+1, 100))</f>
        <v>1</v>
      </c>
      <c r="E863" s="6">
        <f>SUMIFS('Raw Data Sales'!M863:M1861, 'Raw Data Sales'!H863:H1861, LEFT(A863, FIND(" ",A863)-1), 'Raw Data Sales'!I863:I1861, MID(A863, FIND(" ",A863)+1, 100))</f>
        <v>60</v>
      </c>
      <c r="F863" s="6">
        <f>SUMIFS('Raw Data Sales'!N863:N1861, 'Raw Data Sales'!H863:H1861, LEFT(A863, FIND(" ",A863)-1), 'Raw Data Sales'!I863:I1861, MID(A863, FIND(" ",A863)+1, 100))</f>
        <v>1325.15</v>
      </c>
    </row>
    <row r="864">
      <c r="A864" s="6" t="str">
        <f>IFERROR(__xludf.DUMMYFUNCTION("UNIQUE('Raw Data Sales'!H864:H1862 &amp; "" "" &amp; 'Raw Data Sales'!I864:I1862)"),"Nichole Berzons")</f>
        <v>Nichole Berzons</v>
      </c>
      <c r="B864" s="6" t="str">
        <f>IFERROR(__xludf.DUMMYFUNCTION("""COMPUTED_VALUE"""),"nberzonsny@constantcontact.com")</f>
        <v>nberzonsny@constantcontact.com</v>
      </c>
      <c r="C864" s="6" t="str">
        <f>IFERROR(__xludf.DUMMYFUNCTION("""COMPUTED_VALUE"""),"Indonesia")</f>
        <v>Indonesia</v>
      </c>
      <c r="D864" s="6">
        <f>COUNTIFS('Raw Data Sales'!H864:H1862, LEFT(A864, FIND(" ",A864)-1), 'Raw Data Sales'!I864:I1862, MID(A864, FIND(" ",A864)+1, 100))</f>
        <v>1</v>
      </c>
      <c r="E864" s="6">
        <f>SUMIFS('Raw Data Sales'!M864:M1862, 'Raw Data Sales'!H864:H1862, LEFT(A864, FIND(" ",A864)-1), 'Raw Data Sales'!I864:I1862, MID(A864, FIND(" ",A864)+1, 100))</f>
        <v>24</v>
      </c>
      <c r="F864" s="6">
        <f>SUMIFS('Raw Data Sales'!N864:N1862, 'Raw Data Sales'!H864:H1862, LEFT(A864, FIND(" ",A864)-1), 'Raw Data Sales'!I864:I1862, MID(A864, FIND(" ",A864)+1, 100))</f>
        <v>5819.35</v>
      </c>
    </row>
    <row r="865">
      <c r="A865" s="6" t="str">
        <f>IFERROR(__xludf.DUMMYFUNCTION("UNIQUE('Raw Data Sales'!H865:H1863 &amp; "" "" &amp; 'Raw Data Sales'!I865:I1863)"),"Dunc Ewer")</f>
        <v>Dunc Ewer</v>
      </c>
      <c r="B865" s="6" t="str">
        <f>IFERROR(__xludf.DUMMYFUNCTION("""COMPUTED_VALUE"""),"dewernz@nhs.uk")</f>
        <v>dewernz@nhs.uk</v>
      </c>
      <c r="C865" s="6" t="str">
        <f>IFERROR(__xludf.DUMMYFUNCTION("""COMPUTED_VALUE"""),"Ukraine")</f>
        <v>Ukraine</v>
      </c>
      <c r="D865" s="6">
        <f>COUNTIFS('Raw Data Sales'!H865:H1863, LEFT(A865, FIND(" ",A865)-1), 'Raw Data Sales'!I865:I1863, MID(A865, FIND(" ",A865)+1, 100))</f>
        <v>1</v>
      </c>
      <c r="E865" s="6">
        <f>SUMIFS('Raw Data Sales'!M865:M1863, 'Raw Data Sales'!H865:H1863, LEFT(A865, FIND(" ",A865)-1), 'Raw Data Sales'!I865:I1863, MID(A865, FIND(" ",A865)+1, 100))</f>
        <v>8</v>
      </c>
      <c r="F865" s="6">
        <f>SUMIFS('Raw Data Sales'!N865:N1863, 'Raw Data Sales'!H865:H1863, LEFT(A865, FIND(" ",A865)-1), 'Raw Data Sales'!I865:I1863, MID(A865, FIND(" ",A865)+1, 100))</f>
        <v>1507.18</v>
      </c>
    </row>
    <row r="866">
      <c r="A866" s="6" t="str">
        <f>IFERROR(__xludf.DUMMYFUNCTION("UNIQUE('Raw Data Sales'!H866:H1864 &amp; "" "" &amp; 'Raw Data Sales'!I866:I1864)"),"Elene Paxforde")</f>
        <v>Elene Paxforde</v>
      </c>
      <c r="B866" s="6" t="str">
        <f>IFERROR(__xludf.DUMMYFUNCTION("""COMPUTED_VALUE"""),"epaxfordeo0@guardian.co.uk")</f>
        <v>epaxfordeo0@guardian.co.uk</v>
      </c>
      <c r="C866" s="6" t="str">
        <f>IFERROR(__xludf.DUMMYFUNCTION("""COMPUTED_VALUE"""),"Mexico")</f>
        <v>Mexico</v>
      </c>
      <c r="D866" s="6">
        <f>COUNTIFS('Raw Data Sales'!H866:H1864, LEFT(A866, FIND(" ",A866)-1), 'Raw Data Sales'!I866:I1864, MID(A866, FIND(" ",A866)+1, 100))</f>
        <v>1</v>
      </c>
      <c r="E866" s="6">
        <f>SUMIFS('Raw Data Sales'!M866:M1864, 'Raw Data Sales'!H866:H1864, LEFT(A866, FIND(" ",A866)-1), 'Raw Data Sales'!I866:I1864, MID(A866, FIND(" ",A866)+1, 100))</f>
        <v>87</v>
      </c>
      <c r="F866" s="6">
        <f>SUMIFS('Raw Data Sales'!N866:N1864, 'Raw Data Sales'!H866:H1864, LEFT(A866, FIND(" ",A866)-1), 'Raw Data Sales'!I866:I1864, MID(A866, FIND(" ",A866)+1, 100))</f>
        <v>3211.56</v>
      </c>
    </row>
    <row r="867">
      <c r="A867" s="6" t="str">
        <f>IFERROR(__xludf.DUMMYFUNCTION("UNIQUE('Raw Data Sales'!H867:H1865 &amp; "" "" &amp; 'Raw Data Sales'!I867:I1865)"),"Giselle Paulig")</f>
        <v>Giselle Paulig</v>
      </c>
      <c r="B867" s="6" t="str">
        <f>IFERROR(__xludf.DUMMYFUNCTION("""COMPUTED_VALUE"""),"gpauligo1@livejournal.com")</f>
        <v>gpauligo1@livejournal.com</v>
      </c>
      <c r="C867" s="6" t="str">
        <f>IFERROR(__xludf.DUMMYFUNCTION("""COMPUTED_VALUE"""),"Malta")</f>
        <v>Malta</v>
      </c>
      <c r="D867" s="6">
        <f>COUNTIFS('Raw Data Sales'!H867:H1865, LEFT(A867, FIND(" ",A867)-1), 'Raw Data Sales'!I867:I1865, MID(A867, FIND(" ",A867)+1, 100))</f>
        <v>1</v>
      </c>
      <c r="E867" s="6">
        <f>SUMIFS('Raw Data Sales'!M867:M1865, 'Raw Data Sales'!H867:H1865, LEFT(A867, FIND(" ",A867)-1), 'Raw Data Sales'!I867:I1865, MID(A867, FIND(" ",A867)+1, 100))</f>
        <v>23</v>
      </c>
      <c r="F867" s="6">
        <f>SUMIFS('Raw Data Sales'!N867:N1865, 'Raw Data Sales'!H867:H1865, LEFT(A867, FIND(" ",A867)-1), 'Raw Data Sales'!I867:I1865, MID(A867, FIND(" ",A867)+1, 100))</f>
        <v>7681.43</v>
      </c>
    </row>
    <row r="868">
      <c r="A868" s="6" t="str">
        <f>IFERROR(__xludf.DUMMYFUNCTION("UNIQUE('Raw Data Sales'!H868:H1866 &amp; "" "" &amp; 'Raw Data Sales'!I868:I1866)"),"Kristoforo Waugh")</f>
        <v>Kristoforo Waugh</v>
      </c>
      <c r="B868" s="6" t="str">
        <f>IFERROR(__xludf.DUMMYFUNCTION("""COMPUTED_VALUE"""),"kwaugho2@bing.com")</f>
        <v>kwaugho2@bing.com</v>
      </c>
      <c r="C868" s="6" t="str">
        <f>IFERROR(__xludf.DUMMYFUNCTION("""COMPUTED_VALUE"""),"Philippines")</f>
        <v>Philippines</v>
      </c>
      <c r="D868" s="6">
        <f>COUNTIFS('Raw Data Sales'!H868:H1866, LEFT(A868, FIND(" ",A868)-1), 'Raw Data Sales'!I868:I1866, MID(A868, FIND(" ",A868)+1, 100))</f>
        <v>1</v>
      </c>
      <c r="E868" s="6">
        <f>SUMIFS('Raw Data Sales'!M868:M1866, 'Raw Data Sales'!H868:H1866, LEFT(A868, FIND(" ",A868)-1), 'Raw Data Sales'!I868:I1866, MID(A868, FIND(" ",A868)+1, 100))</f>
        <v>60</v>
      </c>
      <c r="F868" s="6">
        <f>SUMIFS('Raw Data Sales'!N868:N1866, 'Raw Data Sales'!H868:H1866, LEFT(A868, FIND(" ",A868)-1), 'Raw Data Sales'!I868:I1866, MID(A868, FIND(" ",A868)+1, 100))</f>
        <v>2214</v>
      </c>
    </row>
    <row r="869">
      <c r="A869" s="6" t="str">
        <f>IFERROR(__xludf.DUMMYFUNCTION("UNIQUE('Raw Data Sales'!H869:H1867 &amp; "" "" &amp; 'Raw Data Sales'!I869:I1867)"),"Henryetta Dalrymple")</f>
        <v>Henryetta Dalrymple</v>
      </c>
      <c r="B869" s="6" t="str">
        <f>IFERROR(__xludf.DUMMYFUNCTION("""COMPUTED_VALUE"""),"hdalrympleo3@cocolog-nifty.com")</f>
        <v>hdalrympleo3@cocolog-nifty.com</v>
      </c>
      <c r="C869" s="6" t="str">
        <f>IFERROR(__xludf.DUMMYFUNCTION("""COMPUTED_VALUE"""),"Central African Republic")</f>
        <v>Central African Republic</v>
      </c>
      <c r="D869" s="6">
        <f>COUNTIFS('Raw Data Sales'!H869:H1867, LEFT(A869, FIND(" ",A869)-1), 'Raw Data Sales'!I869:I1867, MID(A869, FIND(" ",A869)+1, 100))</f>
        <v>1</v>
      </c>
      <c r="E869" s="6">
        <f>SUMIFS('Raw Data Sales'!M869:M1867, 'Raw Data Sales'!H869:H1867, LEFT(A869, FIND(" ",A869)-1), 'Raw Data Sales'!I869:I1867, MID(A869, FIND(" ",A869)+1, 100))</f>
        <v>1</v>
      </c>
      <c r="F869" s="6">
        <f>SUMIFS('Raw Data Sales'!N869:N1867, 'Raw Data Sales'!H869:H1867, LEFT(A869, FIND(" ",A869)-1), 'Raw Data Sales'!I869:I1867, MID(A869, FIND(" ",A869)+1, 100))</f>
        <v>5387.44</v>
      </c>
    </row>
    <row r="870">
      <c r="A870" s="6" t="str">
        <f>IFERROR(__xludf.DUMMYFUNCTION("UNIQUE('Raw Data Sales'!H870:H1868 &amp; "" "" &amp; 'Raw Data Sales'!I870:I1868)"),"Callie O'Flaherty")</f>
        <v>Callie O'Flaherty</v>
      </c>
      <c r="B870" s="6" t="str">
        <f>IFERROR(__xludf.DUMMYFUNCTION("""COMPUTED_VALUE"""),"coflahertyo4@mozilla.com")</f>
        <v>coflahertyo4@mozilla.com</v>
      </c>
      <c r="C870" s="6" t="str">
        <f>IFERROR(__xludf.DUMMYFUNCTION("""COMPUTED_VALUE"""),"Brazil")</f>
        <v>Brazil</v>
      </c>
      <c r="D870" s="6">
        <f>COUNTIFS('Raw Data Sales'!H870:H1868, LEFT(A870, FIND(" ",A870)-1), 'Raw Data Sales'!I870:I1868, MID(A870, FIND(" ",A870)+1, 100))</f>
        <v>1</v>
      </c>
      <c r="E870" s="6">
        <f>SUMIFS('Raw Data Sales'!M870:M1868, 'Raw Data Sales'!H870:H1868, LEFT(A870, FIND(" ",A870)-1), 'Raw Data Sales'!I870:I1868, MID(A870, FIND(" ",A870)+1, 100))</f>
        <v>36</v>
      </c>
      <c r="F870" s="6">
        <f>SUMIFS('Raw Data Sales'!N870:N1868, 'Raw Data Sales'!H870:H1868, LEFT(A870, FIND(" ",A870)-1), 'Raw Data Sales'!I870:I1868, MID(A870, FIND(" ",A870)+1, 100))</f>
        <v>7902.52</v>
      </c>
    </row>
    <row r="871">
      <c r="A871" s="6" t="str">
        <f>IFERROR(__xludf.DUMMYFUNCTION("UNIQUE('Raw Data Sales'!H871:H1869 &amp; "" "" &amp; 'Raw Data Sales'!I871:I1869)"),"Valaree Edwins")</f>
        <v>Valaree Edwins</v>
      </c>
      <c r="B871" s="6" t="str">
        <f>IFERROR(__xludf.DUMMYFUNCTION("""COMPUTED_VALUE"""),"vedwinso5@mac.com")</f>
        <v>vedwinso5@mac.com</v>
      </c>
      <c r="C871" s="6" t="str">
        <f>IFERROR(__xludf.DUMMYFUNCTION("""COMPUTED_VALUE"""),"Armenia")</f>
        <v>Armenia</v>
      </c>
      <c r="D871" s="6">
        <f>COUNTIFS('Raw Data Sales'!H871:H1869, LEFT(A871, FIND(" ",A871)-1), 'Raw Data Sales'!I871:I1869, MID(A871, FIND(" ",A871)+1, 100))</f>
        <v>1</v>
      </c>
      <c r="E871" s="6">
        <f>SUMIFS('Raw Data Sales'!M871:M1869, 'Raw Data Sales'!H871:H1869, LEFT(A871, FIND(" ",A871)-1), 'Raw Data Sales'!I871:I1869, MID(A871, FIND(" ",A871)+1, 100))</f>
        <v>13</v>
      </c>
      <c r="F871" s="6">
        <f>SUMIFS('Raw Data Sales'!N871:N1869, 'Raw Data Sales'!H871:H1869, LEFT(A871, FIND(" ",A871)-1), 'Raw Data Sales'!I871:I1869, MID(A871, FIND(" ",A871)+1, 100))</f>
        <v>717.32</v>
      </c>
    </row>
    <row r="872">
      <c r="A872" s="6" t="str">
        <f>IFERROR(__xludf.DUMMYFUNCTION("UNIQUE('Raw Data Sales'!H872:H1870 &amp; "" "" &amp; 'Raw Data Sales'!I872:I1870)"),"Jefferey Dugue")</f>
        <v>Jefferey Dugue</v>
      </c>
      <c r="B872" s="6" t="str">
        <f>IFERROR(__xludf.DUMMYFUNCTION("""COMPUTED_VALUE"""),"jdugueo6@redcross.org")</f>
        <v>jdugueo6@redcross.org</v>
      </c>
      <c r="C872" s="6" t="str">
        <f>IFERROR(__xludf.DUMMYFUNCTION("""COMPUTED_VALUE"""),"China")</f>
        <v>China</v>
      </c>
      <c r="D872" s="6">
        <f>COUNTIFS('Raw Data Sales'!H872:H1870, LEFT(A872, FIND(" ",A872)-1), 'Raw Data Sales'!I872:I1870, MID(A872, FIND(" ",A872)+1, 100))</f>
        <v>1</v>
      </c>
      <c r="E872" s="6">
        <f>SUMIFS('Raw Data Sales'!M872:M1870, 'Raw Data Sales'!H872:H1870, LEFT(A872, FIND(" ",A872)-1), 'Raw Data Sales'!I872:I1870, MID(A872, FIND(" ",A872)+1, 100))</f>
        <v>55</v>
      </c>
      <c r="F872" s="6">
        <f>SUMIFS('Raw Data Sales'!N872:N1870, 'Raw Data Sales'!H872:H1870, LEFT(A872, FIND(" ",A872)-1), 'Raw Data Sales'!I872:I1870, MID(A872, FIND(" ",A872)+1, 100))</f>
        <v>4759.67</v>
      </c>
    </row>
    <row r="873">
      <c r="A873" s="6" t="str">
        <f>IFERROR(__xludf.DUMMYFUNCTION("UNIQUE('Raw Data Sales'!H873:H1871 &amp; "" "" &amp; 'Raw Data Sales'!I873:I1871)"),"Kellby Ravel")</f>
        <v>Kellby Ravel</v>
      </c>
      <c r="B873" s="6" t="str">
        <f>IFERROR(__xludf.DUMMYFUNCTION("""COMPUTED_VALUE"""),"kravelo7@theguardian.com")</f>
        <v>kravelo7@theguardian.com</v>
      </c>
      <c r="C873" s="6" t="str">
        <f>IFERROR(__xludf.DUMMYFUNCTION("""COMPUTED_VALUE"""),"Uganda")</f>
        <v>Uganda</v>
      </c>
      <c r="D873" s="6">
        <f>COUNTIFS('Raw Data Sales'!H873:H1871, LEFT(A873, FIND(" ",A873)-1), 'Raw Data Sales'!I873:I1871, MID(A873, FIND(" ",A873)+1, 100))</f>
        <v>1</v>
      </c>
      <c r="E873" s="6">
        <f>SUMIFS('Raw Data Sales'!M873:M1871, 'Raw Data Sales'!H873:H1871, LEFT(A873, FIND(" ",A873)-1), 'Raw Data Sales'!I873:I1871, MID(A873, FIND(" ",A873)+1, 100))</f>
        <v>52</v>
      </c>
      <c r="F873" s="6">
        <f>SUMIFS('Raw Data Sales'!N873:N1871, 'Raw Data Sales'!H873:H1871, LEFT(A873, FIND(" ",A873)-1), 'Raw Data Sales'!I873:I1871, MID(A873, FIND(" ",A873)+1, 100))</f>
        <v>4392.39</v>
      </c>
    </row>
    <row r="874">
      <c r="A874" s="6" t="str">
        <f>IFERROR(__xludf.DUMMYFUNCTION("UNIQUE('Raw Data Sales'!H874:H1872 &amp; "" "" &amp; 'Raw Data Sales'!I874:I1872)"),"Portia Cave")</f>
        <v>Portia Cave</v>
      </c>
      <c r="B874" s="6" t="str">
        <f>IFERROR(__xludf.DUMMYFUNCTION("""COMPUTED_VALUE"""),"pcaveo8@wordpress.org")</f>
        <v>pcaveo8@wordpress.org</v>
      </c>
      <c r="C874" s="6" t="str">
        <f>IFERROR(__xludf.DUMMYFUNCTION("""COMPUTED_VALUE"""),"Indonesia")</f>
        <v>Indonesia</v>
      </c>
      <c r="D874" s="6">
        <f>COUNTIFS('Raw Data Sales'!H874:H1872, LEFT(A874, FIND(" ",A874)-1), 'Raw Data Sales'!I874:I1872, MID(A874, FIND(" ",A874)+1, 100))</f>
        <v>1</v>
      </c>
      <c r="E874" s="6">
        <f>SUMIFS('Raw Data Sales'!M874:M1872, 'Raw Data Sales'!H874:H1872, LEFT(A874, FIND(" ",A874)-1), 'Raw Data Sales'!I874:I1872, MID(A874, FIND(" ",A874)+1, 100))</f>
        <v>12</v>
      </c>
      <c r="F874" s="6">
        <f>SUMIFS('Raw Data Sales'!N874:N1872, 'Raw Data Sales'!H874:H1872, LEFT(A874, FIND(" ",A874)-1), 'Raw Data Sales'!I874:I1872, MID(A874, FIND(" ",A874)+1, 100))</f>
        <v>5632.21</v>
      </c>
    </row>
    <row r="875">
      <c r="A875" s="6" t="str">
        <f>IFERROR(__xludf.DUMMYFUNCTION("UNIQUE('Raw Data Sales'!H875:H1873 &amp; "" "" &amp; 'Raw Data Sales'!I875:I1873)"),"Atalanta Westall")</f>
        <v>Atalanta Westall</v>
      </c>
      <c r="B875" s="6" t="str">
        <f>IFERROR(__xludf.DUMMYFUNCTION("""COMPUTED_VALUE"""),"awestallo9@printfriendly.com")</f>
        <v>awestallo9@printfriendly.com</v>
      </c>
      <c r="C875" s="6" t="str">
        <f>IFERROR(__xludf.DUMMYFUNCTION("""COMPUTED_VALUE"""),"Sweden")</f>
        <v>Sweden</v>
      </c>
      <c r="D875" s="6">
        <f>COUNTIFS('Raw Data Sales'!H875:H1873, LEFT(A875, FIND(" ",A875)-1), 'Raw Data Sales'!I875:I1873, MID(A875, FIND(" ",A875)+1, 100))</f>
        <v>1</v>
      </c>
      <c r="E875" s="6">
        <f>SUMIFS('Raw Data Sales'!M875:M1873, 'Raw Data Sales'!H875:H1873, LEFT(A875, FIND(" ",A875)-1), 'Raw Data Sales'!I875:I1873, MID(A875, FIND(" ",A875)+1, 100))</f>
        <v>18</v>
      </c>
      <c r="F875" s="6">
        <f>SUMIFS('Raw Data Sales'!N875:N1873, 'Raw Data Sales'!H875:H1873, LEFT(A875, FIND(" ",A875)-1), 'Raw Data Sales'!I875:I1873, MID(A875, FIND(" ",A875)+1, 100))</f>
        <v>3430.17</v>
      </c>
    </row>
    <row r="876">
      <c r="A876" s="6" t="str">
        <f>IFERROR(__xludf.DUMMYFUNCTION("UNIQUE('Raw Data Sales'!H876:H1874 &amp; "" "" &amp; 'Raw Data Sales'!I876:I1874)"),"Josi Habercham")</f>
        <v>Josi Habercham</v>
      </c>
      <c r="B876" s="6" t="str">
        <f>IFERROR(__xludf.DUMMYFUNCTION("""COMPUTED_VALUE"""),"jhaberchamoa@shinystat.com")</f>
        <v>jhaberchamoa@shinystat.com</v>
      </c>
      <c r="C876" s="6" t="str">
        <f>IFERROR(__xludf.DUMMYFUNCTION("""COMPUTED_VALUE"""),"United Arab Emirates")</f>
        <v>United Arab Emirates</v>
      </c>
      <c r="D876" s="6">
        <f>COUNTIFS('Raw Data Sales'!H876:H1874, LEFT(A876, FIND(" ",A876)-1), 'Raw Data Sales'!I876:I1874, MID(A876, FIND(" ",A876)+1, 100))</f>
        <v>1</v>
      </c>
      <c r="E876" s="6">
        <f>SUMIFS('Raw Data Sales'!M876:M1874, 'Raw Data Sales'!H876:H1874, LEFT(A876, FIND(" ",A876)-1), 'Raw Data Sales'!I876:I1874, MID(A876, FIND(" ",A876)+1, 100))</f>
        <v>72</v>
      </c>
      <c r="F876" s="6">
        <f>SUMIFS('Raw Data Sales'!N876:N1874, 'Raw Data Sales'!H876:H1874, LEFT(A876, FIND(" ",A876)-1), 'Raw Data Sales'!I876:I1874, MID(A876, FIND(" ",A876)+1, 100))</f>
        <v>2227.08</v>
      </c>
    </row>
    <row r="877">
      <c r="A877" s="6" t="str">
        <f>IFERROR(__xludf.DUMMYFUNCTION("UNIQUE('Raw Data Sales'!H877:H1875 &amp; "" "" &amp; 'Raw Data Sales'!I877:I1875)"),"Nevsa Paradise")</f>
        <v>Nevsa Paradise</v>
      </c>
      <c r="B877" s="6" t="str">
        <f>IFERROR(__xludf.DUMMYFUNCTION("""COMPUTED_VALUE"""),"nparadiseob@aol.com")</f>
        <v>nparadiseob@aol.com</v>
      </c>
      <c r="C877" s="6" t="str">
        <f>IFERROR(__xludf.DUMMYFUNCTION("""COMPUTED_VALUE"""),"Portugal")</f>
        <v>Portugal</v>
      </c>
      <c r="D877" s="6">
        <f>COUNTIFS('Raw Data Sales'!H877:H1875, LEFT(A877, FIND(" ",A877)-1), 'Raw Data Sales'!I877:I1875, MID(A877, FIND(" ",A877)+1, 100))</f>
        <v>1</v>
      </c>
      <c r="E877" s="6">
        <f>SUMIFS('Raw Data Sales'!M877:M1875, 'Raw Data Sales'!H877:H1875, LEFT(A877, FIND(" ",A877)-1), 'Raw Data Sales'!I877:I1875, MID(A877, FIND(" ",A877)+1, 100))</f>
        <v>7</v>
      </c>
      <c r="F877" s="6">
        <f>SUMIFS('Raw Data Sales'!N877:N1875, 'Raw Data Sales'!H877:H1875, LEFT(A877, FIND(" ",A877)-1), 'Raw Data Sales'!I877:I1875, MID(A877, FIND(" ",A877)+1, 100))</f>
        <v>2679.86</v>
      </c>
    </row>
    <row r="878">
      <c r="A878" s="6" t="str">
        <f>IFERROR(__xludf.DUMMYFUNCTION("UNIQUE('Raw Data Sales'!H878:H1876 &amp; "" "" &amp; 'Raw Data Sales'!I878:I1876)"),"Corry Hallward")</f>
        <v>Corry Hallward</v>
      </c>
      <c r="B878" s="6" t="str">
        <f>IFERROR(__xludf.DUMMYFUNCTION("""COMPUTED_VALUE"""),"challwardoc@tmall.com")</f>
        <v>challwardoc@tmall.com</v>
      </c>
      <c r="C878" s="6" t="str">
        <f>IFERROR(__xludf.DUMMYFUNCTION("""COMPUTED_VALUE"""),"France")</f>
        <v>France</v>
      </c>
      <c r="D878" s="6">
        <f>COUNTIFS('Raw Data Sales'!H878:H1876, LEFT(A878, FIND(" ",A878)-1), 'Raw Data Sales'!I878:I1876, MID(A878, FIND(" ",A878)+1, 100))</f>
        <v>1</v>
      </c>
      <c r="E878" s="6">
        <f>SUMIFS('Raw Data Sales'!M878:M1876, 'Raw Data Sales'!H878:H1876, LEFT(A878, FIND(" ",A878)-1), 'Raw Data Sales'!I878:I1876, MID(A878, FIND(" ",A878)+1, 100))</f>
        <v>60</v>
      </c>
      <c r="F878" s="6">
        <f>SUMIFS('Raw Data Sales'!N878:N1876, 'Raw Data Sales'!H878:H1876, LEFT(A878, FIND(" ",A878)-1), 'Raw Data Sales'!I878:I1876, MID(A878, FIND(" ",A878)+1, 100))</f>
        <v>5072.98</v>
      </c>
    </row>
    <row r="879">
      <c r="A879" s="6" t="str">
        <f>IFERROR(__xludf.DUMMYFUNCTION("UNIQUE('Raw Data Sales'!H879:H1877 &amp; "" "" &amp; 'Raw Data Sales'!I879:I1877)"),"Dew Pfaff")</f>
        <v>Dew Pfaff</v>
      </c>
      <c r="B879" s="6" t="str">
        <f>IFERROR(__xludf.DUMMYFUNCTION("""COMPUTED_VALUE"""),"dpfaffod@networksolutions.com")</f>
        <v>dpfaffod@networksolutions.com</v>
      </c>
      <c r="C879" s="6" t="str">
        <f>IFERROR(__xludf.DUMMYFUNCTION("""COMPUTED_VALUE"""),"China")</f>
        <v>China</v>
      </c>
      <c r="D879" s="6">
        <f>COUNTIFS('Raw Data Sales'!H879:H1877, LEFT(A879, FIND(" ",A879)-1), 'Raw Data Sales'!I879:I1877, MID(A879, FIND(" ",A879)+1, 100))</f>
        <v>1</v>
      </c>
      <c r="E879" s="6">
        <f>SUMIFS('Raw Data Sales'!M879:M1877, 'Raw Data Sales'!H879:H1877, LEFT(A879, FIND(" ",A879)-1), 'Raw Data Sales'!I879:I1877, MID(A879, FIND(" ",A879)+1, 100))</f>
        <v>63</v>
      </c>
      <c r="F879" s="6">
        <f>SUMIFS('Raw Data Sales'!N879:N1877, 'Raw Data Sales'!H879:H1877, LEFT(A879, FIND(" ",A879)-1), 'Raw Data Sales'!I879:I1877, MID(A879, FIND(" ",A879)+1, 100))</f>
        <v>1881.03</v>
      </c>
    </row>
    <row r="880">
      <c r="A880" s="6" t="str">
        <f>IFERROR(__xludf.DUMMYFUNCTION("UNIQUE('Raw Data Sales'!H880:H1878 &amp; "" "" &amp; 'Raw Data Sales'!I880:I1878)"),"Alysa Southern")</f>
        <v>Alysa Southern</v>
      </c>
      <c r="B880" s="6" t="str">
        <f>IFERROR(__xludf.DUMMYFUNCTION("""COMPUTED_VALUE"""),"asouthernoe@unblog.fr")</f>
        <v>asouthernoe@unblog.fr</v>
      </c>
      <c r="C880" s="6" t="str">
        <f>IFERROR(__xludf.DUMMYFUNCTION("""COMPUTED_VALUE"""),"Tajikistan")</f>
        <v>Tajikistan</v>
      </c>
      <c r="D880" s="6">
        <f>COUNTIFS('Raw Data Sales'!H880:H1878, LEFT(A880, FIND(" ",A880)-1), 'Raw Data Sales'!I880:I1878, MID(A880, FIND(" ",A880)+1, 100))</f>
        <v>1</v>
      </c>
      <c r="E880" s="6">
        <f>SUMIFS('Raw Data Sales'!M880:M1878, 'Raw Data Sales'!H880:H1878, LEFT(A880, FIND(" ",A880)-1), 'Raw Data Sales'!I880:I1878, MID(A880, FIND(" ",A880)+1, 100))</f>
        <v>93</v>
      </c>
      <c r="F880" s="6">
        <f>SUMIFS('Raw Data Sales'!N880:N1878, 'Raw Data Sales'!H880:H1878, LEFT(A880, FIND(" ",A880)-1), 'Raw Data Sales'!I880:I1878, MID(A880, FIND(" ",A880)+1, 100))</f>
        <v>9316.45</v>
      </c>
    </row>
    <row r="881">
      <c r="A881" s="6" t="str">
        <f>IFERROR(__xludf.DUMMYFUNCTION("UNIQUE('Raw Data Sales'!H881:H1879 &amp; "" "" &amp; 'Raw Data Sales'!I881:I1879)"),"Bertie Crose")</f>
        <v>Bertie Crose</v>
      </c>
      <c r="B881" s="6" t="str">
        <f>IFERROR(__xludf.DUMMYFUNCTION("""COMPUTED_VALUE"""),"bcroseof@addtoany.com")</f>
        <v>bcroseof@addtoany.com</v>
      </c>
      <c r="C881" s="6" t="str">
        <f>IFERROR(__xludf.DUMMYFUNCTION("""COMPUTED_VALUE"""),"Russia")</f>
        <v>Russia</v>
      </c>
      <c r="D881" s="6">
        <f>COUNTIFS('Raw Data Sales'!H881:H1879, LEFT(A881, FIND(" ",A881)-1), 'Raw Data Sales'!I881:I1879, MID(A881, FIND(" ",A881)+1, 100))</f>
        <v>1</v>
      </c>
      <c r="E881" s="6">
        <f>SUMIFS('Raw Data Sales'!M881:M1879, 'Raw Data Sales'!H881:H1879, LEFT(A881, FIND(" ",A881)-1), 'Raw Data Sales'!I881:I1879, MID(A881, FIND(" ",A881)+1, 100))</f>
        <v>27</v>
      </c>
      <c r="F881" s="6">
        <f>SUMIFS('Raw Data Sales'!N881:N1879, 'Raw Data Sales'!H881:H1879, LEFT(A881, FIND(" ",A881)-1), 'Raw Data Sales'!I881:I1879, MID(A881, FIND(" ",A881)+1, 100))</f>
        <v>9399.51</v>
      </c>
    </row>
    <row r="882">
      <c r="A882" s="6" t="str">
        <f>IFERROR(__xludf.DUMMYFUNCTION("UNIQUE('Raw Data Sales'!H882:H1880 &amp; "" "" &amp; 'Raw Data Sales'!I882:I1880)"),"Lexie Samworth")</f>
        <v>Lexie Samworth</v>
      </c>
      <c r="B882" s="6" t="str">
        <f>IFERROR(__xludf.DUMMYFUNCTION("""COMPUTED_VALUE"""),"lsamworthog@cbslocal.com")</f>
        <v>lsamworthog@cbslocal.com</v>
      </c>
      <c r="C882" s="6" t="str">
        <f>IFERROR(__xludf.DUMMYFUNCTION("""COMPUTED_VALUE"""),"Netherlands")</f>
        <v>Netherlands</v>
      </c>
      <c r="D882" s="6">
        <f>COUNTIFS('Raw Data Sales'!H882:H1880, LEFT(A882, FIND(" ",A882)-1), 'Raw Data Sales'!I882:I1880, MID(A882, FIND(" ",A882)+1, 100))</f>
        <v>1</v>
      </c>
      <c r="E882" s="6">
        <f>SUMIFS('Raw Data Sales'!M882:M1880, 'Raw Data Sales'!H882:H1880, LEFT(A882, FIND(" ",A882)-1), 'Raw Data Sales'!I882:I1880, MID(A882, FIND(" ",A882)+1, 100))</f>
        <v>27</v>
      </c>
      <c r="F882" s="6">
        <f>SUMIFS('Raw Data Sales'!N882:N1880, 'Raw Data Sales'!H882:H1880, LEFT(A882, FIND(" ",A882)-1), 'Raw Data Sales'!I882:I1880, MID(A882, FIND(" ",A882)+1, 100))</f>
        <v>9043.45</v>
      </c>
    </row>
    <row r="883">
      <c r="A883" s="6" t="str">
        <f>IFERROR(__xludf.DUMMYFUNCTION("UNIQUE('Raw Data Sales'!H883:H1881 &amp; "" "" &amp; 'Raw Data Sales'!I883:I1881)"),"Simone Andryushchenko")</f>
        <v>Simone Andryushchenko</v>
      </c>
      <c r="B883" s="6" t="str">
        <f>IFERROR(__xludf.DUMMYFUNCTION("""COMPUTED_VALUE"""),"sandryushchenkooh@tumblr.com")</f>
        <v>sandryushchenkooh@tumblr.com</v>
      </c>
      <c r="C883" s="6" t="str">
        <f>IFERROR(__xludf.DUMMYFUNCTION("""COMPUTED_VALUE"""),"Palestinian Territory")</f>
        <v>Palestinian Territory</v>
      </c>
      <c r="D883" s="6">
        <f>COUNTIFS('Raw Data Sales'!H883:H1881, LEFT(A883, FIND(" ",A883)-1), 'Raw Data Sales'!I883:I1881, MID(A883, FIND(" ",A883)+1, 100))</f>
        <v>1</v>
      </c>
      <c r="E883" s="6">
        <f>SUMIFS('Raw Data Sales'!M883:M1881, 'Raw Data Sales'!H883:H1881, LEFT(A883, FIND(" ",A883)-1), 'Raw Data Sales'!I883:I1881, MID(A883, FIND(" ",A883)+1, 100))</f>
        <v>24</v>
      </c>
      <c r="F883" s="6">
        <f>SUMIFS('Raw Data Sales'!N883:N1881, 'Raw Data Sales'!H883:H1881, LEFT(A883, FIND(" ",A883)-1), 'Raw Data Sales'!I883:I1881, MID(A883, FIND(" ",A883)+1, 100))</f>
        <v>5229.8</v>
      </c>
    </row>
    <row r="884">
      <c r="A884" s="6" t="str">
        <f>IFERROR(__xludf.DUMMYFUNCTION("UNIQUE('Raw Data Sales'!H884:H1882 &amp; "" "" &amp; 'Raw Data Sales'!I884:I1882)"),"Monika Glackin")</f>
        <v>Monika Glackin</v>
      </c>
      <c r="B884" s="6" t="str">
        <f>IFERROR(__xludf.DUMMYFUNCTION("""COMPUTED_VALUE"""),"mglackinoi@netscape.com")</f>
        <v>mglackinoi@netscape.com</v>
      </c>
      <c r="C884" s="6" t="str">
        <f>IFERROR(__xludf.DUMMYFUNCTION("""COMPUTED_VALUE"""),"Sweden")</f>
        <v>Sweden</v>
      </c>
      <c r="D884" s="6">
        <f>COUNTIFS('Raw Data Sales'!H884:H1882, LEFT(A884, FIND(" ",A884)-1), 'Raw Data Sales'!I884:I1882, MID(A884, FIND(" ",A884)+1, 100))</f>
        <v>1</v>
      </c>
      <c r="E884" s="6">
        <f>SUMIFS('Raw Data Sales'!M884:M1882, 'Raw Data Sales'!H884:H1882, LEFT(A884, FIND(" ",A884)-1), 'Raw Data Sales'!I884:I1882, MID(A884, FIND(" ",A884)+1, 100))</f>
        <v>64</v>
      </c>
      <c r="F884" s="6">
        <f>SUMIFS('Raw Data Sales'!N884:N1882, 'Raw Data Sales'!H884:H1882, LEFT(A884, FIND(" ",A884)-1), 'Raw Data Sales'!I884:I1882, MID(A884, FIND(" ",A884)+1, 100))</f>
        <v>6989.88</v>
      </c>
    </row>
    <row r="885">
      <c r="A885" s="6" t="str">
        <f>IFERROR(__xludf.DUMMYFUNCTION("UNIQUE('Raw Data Sales'!H885:H1883 &amp; "" "" &amp; 'Raw Data Sales'!I885:I1883)"),"Janifer Pothbury")</f>
        <v>Janifer Pothbury</v>
      </c>
      <c r="B885" s="6" t="str">
        <f>IFERROR(__xludf.DUMMYFUNCTION("""COMPUTED_VALUE"""),"jpothburyoj@wsj.com")</f>
        <v>jpothburyoj@wsj.com</v>
      </c>
      <c r="C885" s="6" t="str">
        <f>IFERROR(__xludf.DUMMYFUNCTION("""COMPUTED_VALUE"""),"Russia")</f>
        <v>Russia</v>
      </c>
      <c r="D885" s="6">
        <f>COUNTIFS('Raw Data Sales'!H885:H1883, LEFT(A885, FIND(" ",A885)-1), 'Raw Data Sales'!I885:I1883, MID(A885, FIND(" ",A885)+1, 100))</f>
        <v>1</v>
      </c>
      <c r="E885" s="6">
        <f>SUMIFS('Raw Data Sales'!M885:M1883, 'Raw Data Sales'!H885:H1883, LEFT(A885, FIND(" ",A885)-1), 'Raw Data Sales'!I885:I1883, MID(A885, FIND(" ",A885)+1, 100))</f>
        <v>52</v>
      </c>
      <c r="F885" s="6">
        <f>SUMIFS('Raw Data Sales'!N885:N1883, 'Raw Data Sales'!H885:H1883, LEFT(A885, FIND(" ",A885)-1), 'Raw Data Sales'!I885:I1883, MID(A885, FIND(" ",A885)+1, 100))</f>
        <v>5838.39</v>
      </c>
    </row>
    <row r="886">
      <c r="A886" s="6" t="str">
        <f>IFERROR(__xludf.DUMMYFUNCTION("UNIQUE('Raw Data Sales'!H886:H1884 &amp; "" "" &amp; 'Raw Data Sales'!I886:I1884)"),"Shea Anand")</f>
        <v>Shea Anand</v>
      </c>
      <c r="B886" s="6" t="str">
        <f>IFERROR(__xludf.DUMMYFUNCTION("""COMPUTED_VALUE"""),"sanandok@skyrock.com")</f>
        <v>sanandok@skyrock.com</v>
      </c>
      <c r="C886" s="6" t="str">
        <f>IFERROR(__xludf.DUMMYFUNCTION("""COMPUTED_VALUE"""),"China")</f>
        <v>China</v>
      </c>
      <c r="D886" s="6">
        <f>COUNTIFS('Raw Data Sales'!H886:H1884, LEFT(A886, FIND(" ",A886)-1), 'Raw Data Sales'!I886:I1884, MID(A886, FIND(" ",A886)+1, 100))</f>
        <v>1</v>
      </c>
      <c r="E886" s="6">
        <f>SUMIFS('Raw Data Sales'!M886:M1884, 'Raw Data Sales'!H886:H1884, LEFT(A886, FIND(" ",A886)-1), 'Raw Data Sales'!I886:I1884, MID(A886, FIND(" ",A886)+1, 100))</f>
        <v>90</v>
      </c>
      <c r="F886" s="6">
        <f>SUMIFS('Raw Data Sales'!N886:N1884, 'Raw Data Sales'!H886:H1884, LEFT(A886, FIND(" ",A886)-1), 'Raw Data Sales'!I886:I1884, MID(A886, FIND(" ",A886)+1, 100))</f>
        <v>1607.64</v>
      </c>
    </row>
    <row r="887">
      <c r="A887" s="6" t="str">
        <f>IFERROR(__xludf.DUMMYFUNCTION("UNIQUE('Raw Data Sales'!H887:H1885 &amp; "" "" &amp; 'Raw Data Sales'!I887:I1885)"),"Daryl Ryburn")</f>
        <v>Daryl Ryburn</v>
      </c>
      <c r="B887" s="6" t="str">
        <f>IFERROR(__xludf.DUMMYFUNCTION("""COMPUTED_VALUE"""),"dryburnol@skype.com")</f>
        <v>dryburnol@skype.com</v>
      </c>
      <c r="C887" s="6" t="str">
        <f>IFERROR(__xludf.DUMMYFUNCTION("""COMPUTED_VALUE"""),"Iran")</f>
        <v>Iran</v>
      </c>
      <c r="D887" s="6">
        <f>COUNTIFS('Raw Data Sales'!H887:H1885, LEFT(A887, FIND(" ",A887)-1), 'Raw Data Sales'!I887:I1885, MID(A887, FIND(" ",A887)+1, 100))</f>
        <v>1</v>
      </c>
      <c r="E887" s="6">
        <f>SUMIFS('Raw Data Sales'!M887:M1885, 'Raw Data Sales'!H887:H1885, LEFT(A887, FIND(" ",A887)-1), 'Raw Data Sales'!I887:I1885, MID(A887, FIND(" ",A887)+1, 100))</f>
        <v>54</v>
      </c>
      <c r="F887" s="6">
        <f>SUMIFS('Raw Data Sales'!N887:N1885, 'Raw Data Sales'!H887:H1885, LEFT(A887, FIND(" ",A887)-1), 'Raw Data Sales'!I887:I1885, MID(A887, FIND(" ",A887)+1, 100))</f>
        <v>6475.61</v>
      </c>
    </row>
    <row r="888">
      <c r="A888" s="6" t="str">
        <f>IFERROR(__xludf.DUMMYFUNCTION("UNIQUE('Raw Data Sales'!H888:H1886 &amp; "" "" &amp; 'Raw Data Sales'!I888:I1886)"),"Tatum Joiris")</f>
        <v>Tatum Joiris</v>
      </c>
      <c r="B888" s="6" t="str">
        <f>IFERROR(__xludf.DUMMYFUNCTION("""COMPUTED_VALUE"""),"tjoirisom@gov.uk")</f>
        <v>tjoirisom@gov.uk</v>
      </c>
      <c r="C888" s="6" t="str">
        <f>IFERROR(__xludf.DUMMYFUNCTION("""COMPUTED_VALUE"""),"Japan")</f>
        <v>Japan</v>
      </c>
      <c r="D888" s="6">
        <f>COUNTIFS('Raw Data Sales'!H888:H1886, LEFT(A888, FIND(" ",A888)-1), 'Raw Data Sales'!I888:I1886, MID(A888, FIND(" ",A888)+1, 100))</f>
        <v>1</v>
      </c>
      <c r="E888" s="6">
        <f>SUMIFS('Raw Data Sales'!M888:M1886, 'Raw Data Sales'!H888:H1886, LEFT(A888, FIND(" ",A888)-1), 'Raw Data Sales'!I888:I1886, MID(A888, FIND(" ",A888)+1, 100))</f>
        <v>92</v>
      </c>
      <c r="F888" s="6">
        <f>SUMIFS('Raw Data Sales'!N888:N1886, 'Raw Data Sales'!H888:H1886, LEFT(A888, FIND(" ",A888)-1), 'Raw Data Sales'!I888:I1886, MID(A888, FIND(" ",A888)+1, 100))</f>
        <v>8234.77</v>
      </c>
    </row>
    <row r="889">
      <c r="A889" s="6" t="str">
        <f>IFERROR(__xludf.DUMMYFUNCTION("UNIQUE('Raw Data Sales'!H889:H1887 &amp; "" "" &amp; 'Raw Data Sales'!I889:I1887)"),"Dre Kilfeder")</f>
        <v>Dre Kilfeder</v>
      </c>
      <c r="B889" s="6" t="str">
        <f>IFERROR(__xludf.DUMMYFUNCTION("""COMPUTED_VALUE"""),"dkilfederon@123-reg.co.uk")</f>
        <v>dkilfederon@123-reg.co.uk</v>
      </c>
      <c r="C889" s="6" t="str">
        <f>IFERROR(__xludf.DUMMYFUNCTION("""COMPUTED_VALUE"""),"Peru")</f>
        <v>Peru</v>
      </c>
      <c r="D889" s="6">
        <f>COUNTIFS('Raw Data Sales'!H889:H1887, LEFT(A889, FIND(" ",A889)-1), 'Raw Data Sales'!I889:I1887, MID(A889, FIND(" ",A889)+1, 100))</f>
        <v>1</v>
      </c>
      <c r="E889" s="6">
        <f>SUMIFS('Raw Data Sales'!M889:M1887, 'Raw Data Sales'!H889:H1887, LEFT(A889, FIND(" ",A889)-1), 'Raw Data Sales'!I889:I1887, MID(A889, FIND(" ",A889)+1, 100))</f>
        <v>83</v>
      </c>
      <c r="F889" s="6">
        <f>SUMIFS('Raw Data Sales'!N889:N1887, 'Raw Data Sales'!H889:H1887, LEFT(A889, FIND(" ",A889)-1), 'Raw Data Sales'!I889:I1887, MID(A889, FIND(" ",A889)+1, 100))</f>
        <v>4207.97</v>
      </c>
    </row>
    <row r="890">
      <c r="A890" s="6" t="str">
        <f>IFERROR(__xludf.DUMMYFUNCTION("UNIQUE('Raw Data Sales'!H890:H1888 &amp; "" "" &amp; 'Raw Data Sales'!I890:I1888)"),"Demetria Sutherley")</f>
        <v>Demetria Sutherley</v>
      </c>
      <c r="B890" s="6" t="str">
        <f>IFERROR(__xludf.DUMMYFUNCTION("""COMPUTED_VALUE"""),"dsutherleyoo@surveymonkey.com")</f>
        <v>dsutherleyoo@surveymonkey.com</v>
      </c>
      <c r="C890" s="6" t="str">
        <f>IFERROR(__xludf.DUMMYFUNCTION("""COMPUTED_VALUE"""),"Russia")</f>
        <v>Russia</v>
      </c>
      <c r="D890" s="6">
        <f>COUNTIFS('Raw Data Sales'!H890:H1888, LEFT(A890, FIND(" ",A890)-1), 'Raw Data Sales'!I890:I1888, MID(A890, FIND(" ",A890)+1, 100))</f>
        <v>1</v>
      </c>
      <c r="E890" s="6">
        <f>SUMIFS('Raw Data Sales'!M890:M1888, 'Raw Data Sales'!H890:H1888, LEFT(A890, FIND(" ",A890)-1), 'Raw Data Sales'!I890:I1888, MID(A890, FIND(" ",A890)+1, 100))</f>
        <v>56</v>
      </c>
      <c r="F890" s="6">
        <f>SUMIFS('Raw Data Sales'!N890:N1888, 'Raw Data Sales'!H890:H1888, LEFT(A890, FIND(" ",A890)-1), 'Raw Data Sales'!I890:I1888, MID(A890, FIND(" ",A890)+1, 100))</f>
        <v>43.97</v>
      </c>
    </row>
    <row r="891">
      <c r="A891" s="6" t="str">
        <f>IFERROR(__xludf.DUMMYFUNCTION("UNIQUE('Raw Data Sales'!H891:H1889 &amp; "" "" &amp; 'Raw Data Sales'!I891:I1889)"),"Stefanie Fernandez")</f>
        <v>Stefanie Fernandez</v>
      </c>
      <c r="B891" s="6" t="str">
        <f>IFERROR(__xludf.DUMMYFUNCTION("""COMPUTED_VALUE"""),"sfernandezop@bravesites.com")</f>
        <v>sfernandezop@bravesites.com</v>
      </c>
      <c r="C891" s="6" t="str">
        <f>IFERROR(__xludf.DUMMYFUNCTION("""COMPUTED_VALUE"""),"Philippines")</f>
        <v>Philippines</v>
      </c>
      <c r="D891" s="6">
        <f>COUNTIFS('Raw Data Sales'!H891:H1889, LEFT(A891, FIND(" ",A891)-1), 'Raw Data Sales'!I891:I1889, MID(A891, FIND(" ",A891)+1, 100))</f>
        <v>1</v>
      </c>
      <c r="E891" s="6">
        <f>SUMIFS('Raw Data Sales'!M891:M1889, 'Raw Data Sales'!H891:H1889, LEFT(A891, FIND(" ",A891)-1), 'Raw Data Sales'!I891:I1889, MID(A891, FIND(" ",A891)+1, 100))</f>
        <v>36</v>
      </c>
      <c r="F891" s="6">
        <f>SUMIFS('Raw Data Sales'!N891:N1889, 'Raw Data Sales'!H891:H1889, LEFT(A891, FIND(" ",A891)-1), 'Raw Data Sales'!I891:I1889, MID(A891, FIND(" ",A891)+1, 100))</f>
        <v>754.85</v>
      </c>
    </row>
    <row r="892">
      <c r="A892" s="6" t="str">
        <f>IFERROR(__xludf.DUMMYFUNCTION("UNIQUE('Raw Data Sales'!H892:H1890 &amp; "" "" &amp; 'Raw Data Sales'!I892:I1890)"),"Shelton Judgkins")</f>
        <v>Shelton Judgkins</v>
      </c>
      <c r="B892" s="6" t="str">
        <f>IFERROR(__xludf.DUMMYFUNCTION("""COMPUTED_VALUE"""),"sjudgkinsoq@nasa.gov")</f>
        <v>sjudgkinsoq@nasa.gov</v>
      </c>
      <c r="C892" s="6" t="str">
        <f>IFERROR(__xludf.DUMMYFUNCTION("""COMPUTED_VALUE"""),"China")</f>
        <v>China</v>
      </c>
      <c r="D892" s="6">
        <f>COUNTIFS('Raw Data Sales'!H892:H1890, LEFT(A892, FIND(" ",A892)-1), 'Raw Data Sales'!I892:I1890, MID(A892, FIND(" ",A892)+1, 100))</f>
        <v>1</v>
      </c>
      <c r="E892" s="6">
        <f>SUMIFS('Raw Data Sales'!M892:M1890, 'Raw Data Sales'!H892:H1890, LEFT(A892, FIND(" ",A892)-1), 'Raw Data Sales'!I892:I1890, MID(A892, FIND(" ",A892)+1, 100))</f>
        <v>7</v>
      </c>
      <c r="F892" s="6">
        <f>SUMIFS('Raw Data Sales'!N892:N1890, 'Raw Data Sales'!H892:H1890, LEFT(A892, FIND(" ",A892)-1), 'Raw Data Sales'!I892:I1890, MID(A892, FIND(" ",A892)+1, 100))</f>
        <v>3153.48</v>
      </c>
    </row>
    <row r="893">
      <c r="A893" s="6" t="str">
        <f>IFERROR(__xludf.DUMMYFUNCTION("UNIQUE('Raw Data Sales'!H893:H1891 &amp; "" "" &amp; 'Raw Data Sales'!I893:I1891)"),"Orelle MacGillivrie")</f>
        <v>Orelle MacGillivrie</v>
      </c>
      <c r="B893" s="6" t="str">
        <f>IFERROR(__xludf.DUMMYFUNCTION("""COMPUTED_VALUE"""),"omacgillivrieor@simplemachines.org")</f>
        <v>omacgillivrieor@simplemachines.org</v>
      </c>
      <c r="C893" s="6" t="str">
        <f>IFERROR(__xludf.DUMMYFUNCTION("""COMPUTED_VALUE"""),"China")</f>
        <v>China</v>
      </c>
      <c r="D893" s="6">
        <f>COUNTIFS('Raw Data Sales'!H893:H1891, LEFT(A893, FIND(" ",A893)-1), 'Raw Data Sales'!I893:I1891, MID(A893, FIND(" ",A893)+1, 100))</f>
        <v>1</v>
      </c>
      <c r="E893" s="6">
        <f>SUMIFS('Raw Data Sales'!M893:M1891, 'Raw Data Sales'!H893:H1891, LEFT(A893, FIND(" ",A893)-1), 'Raw Data Sales'!I893:I1891, MID(A893, FIND(" ",A893)+1, 100))</f>
        <v>63</v>
      </c>
      <c r="F893" s="6">
        <f>SUMIFS('Raw Data Sales'!N893:N1891, 'Raw Data Sales'!H893:H1891, LEFT(A893, FIND(" ",A893)-1), 'Raw Data Sales'!I893:I1891, MID(A893, FIND(" ",A893)+1, 100))</f>
        <v>5727.84</v>
      </c>
    </row>
    <row r="894">
      <c r="A894" s="6" t="str">
        <f>IFERROR(__xludf.DUMMYFUNCTION("UNIQUE('Raw Data Sales'!H894:H1892 &amp; "" "" &amp; 'Raw Data Sales'!I894:I1892)"),"Fredia Gair")</f>
        <v>Fredia Gair</v>
      </c>
      <c r="B894" s="6" t="str">
        <f>IFERROR(__xludf.DUMMYFUNCTION("""COMPUTED_VALUE"""),"fgairos@amazon.co.uk")</f>
        <v>fgairos@amazon.co.uk</v>
      </c>
      <c r="C894" s="6" t="str">
        <f>IFERROR(__xludf.DUMMYFUNCTION("""COMPUTED_VALUE"""),"Indonesia")</f>
        <v>Indonesia</v>
      </c>
      <c r="D894" s="6">
        <f>COUNTIFS('Raw Data Sales'!H894:H1892, LEFT(A894, FIND(" ",A894)-1), 'Raw Data Sales'!I894:I1892, MID(A894, FIND(" ",A894)+1, 100))</f>
        <v>1</v>
      </c>
      <c r="E894" s="6">
        <f>SUMIFS('Raw Data Sales'!M894:M1892, 'Raw Data Sales'!H894:H1892, LEFT(A894, FIND(" ",A894)-1), 'Raw Data Sales'!I894:I1892, MID(A894, FIND(" ",A894)+1, 100))</f>
        <v>79</v>
      </c>
      <c r="F894" s="6">
        <f>SUMIFS('Raw Data Sales'!N894:N1892, 'Raw Data Sales'!H894:H1892, LEFT(A894, FIND(" ",A894)-1), 'Raw Data Sales'!I894:I1892, MID(A894, FIND(" ",A894)+1, 100))</f>
        <v>6223.86</v>
      </c>
    </row>
    <row r="895">
      <c r="A895" s="6" t="str">
        <f>IFERROR(__xludf.DUMMYFUNCTION("UNIQUE('Raw Data Sales'!H895:H1893 &amp; "" "" &amp; 'Raw Data Sales'!I895:I1893)"),"Beckie Plaister")</f>
        <v>Beckie Plaister</v>
      </c>
      <c r="B895" s="6" t="str">
        <f>IFERROR(__xludf.DUMMYFUNCTION("""COMPUTED_VALUE"""),"bplaisterot@about.com")</f>
        <v>bplaisterot@about.com</v>
      </c>
      <c r="C895" s="6" t="str">
        <f>IFERROR(__xludf.DUMMYFUNCTION("""COMPUTED_VALUE"""),"Poland")</f>
        <v>Poland</v>
      </c>
      <c r="D895" s="6">
        <f>COUNTIFS('Raw Data Sales'!H895:H1893, LEFT(A895, FIND(" ",A895)-1), 'Raw Data Sales'!I895:I1893, MID(A895, FIND(" ",A895)+1, 100))</f>
        <v>1</v>
      </c>
      <c r="E895" s="6">
        <f>SUMIFS('Raw Data Sales'!M895:M1893, 'Raw Data Sales'!H895:H1893, LEFT(A895, FIND(" ",A895)-1), 'Raw Data Sales'!I895:I1893, MID(A895, FIND(" ",A895)+1, 100))</f>
        <v>20</v>
      </c>
      <c r="F895" s="6">
        <f>SUMIFS('Raw Data Sales'!N895:N1893, 'Raw Data Sales'!H895:H1893, LEFT(A895, FIND(" ",A895)-1), 'Raw Data Sales'!I895:I1893, MID(A895, FIND(" ",A895)+1, 100))</f>
        <v>2158.29</v>
      </c>
    </row>
    <row r="896">
      <c r="A896" s="6" t="str">
        <f>IFERROR(__xludf.DUMMYFUNCTION("UNIQUE('Raw Data Sales'!H896:H1894 &amp; "" "" &amp; 'Raw Data Sales'!I896:I1894)"),"Wenona Brasener")</f>
        <v>Wenona Brasener</v>
      </c>
      <c r="B896" s="6" t="str">
        <f>IFERROR(__xludf.DUMMYFUNCTION("""COMPUTED_VALUE"""),"wbrasenerou@time.com")</f>
        <v>wbrasenerou@time.com</v>
      </c>
      <c r="C896" s="6" t="str">
        <f>IFERROR(__xludf.DUMMYFUNCTION("""COMPUTED_VALUE"""),"Indonesia")</f>
        <v>Indonesia</v>
      </c>
      <c r="D896" s="6">
        <f>COUNTIFS('Raw Data Sales'!H896:H1894, LEFT(A896, FIND(" ",A896)-1), 'Raw Data Sales'!I896:I1894, MID(A896, FIND(" ",A896)+1, 100))</f>
        <v>1</v>
      </c>
      <c r="E896" s="6">
        <f>SUMIFS('Raw Data Sales'!M896:M1894, 'Raw Data Sales'!H896:H1894, LEFT(A896, FIND(" ",A896)-1), 'Raw Data Sales'!I896:I1894, MID(A896, FIND(" ",A896)+1, 100))</f>
        <v>36</v>
      </c>
      <c r="F896" s="6">
        <f>SUMIFS('Raw Data Sales'!N896:N1894, 'Raw Data Sales'!H896:H1894, LEFT(A896, FIND(" ",A896)-1), 'Raw Data Sales'!I896:I1894, MID(A896, FIND(" ",A896)+1, 100))</f>
        <v>9699.62</v>
      </c>
    </row>
    <row r="897">
      <c r="A897" s="6" t="str">
        <f>IFERROR(__xludf.DUMMYFUNCTION("UNIQUE('Raw Data Sales'!H897:H1895 &amp; "" "" &amp; 'Raw Data Sales'!I897:I1895)"),"Charmion de Courcey")</f>
        <v>Charmion de Courcey</v>
      </c>
      <c r="B897" s="6" t="str">
        <f>IFERROR(__xludf.DUMMYFUNCTION("""COMPUTED_VALUE"""),"cdecourceyov@foxnews.com")</f>
        <v>cdecourceyov@foxnews.com</v>
      </c>
      <c r="C897" s="6" t="str">
        <f>IFERROR(__xludf.DUMMYFUNCTION("""COMPUTED_VALUE"""),"Peru")</f>
        <v>Peru</v>
      </c>
      <c r="D897" s="6">
        <f>COUNTIFS('Raw Data Sales'!H897:H1895, LEFT(A897, FIND(" ",A897)-1), 'Raw Data Sales'!I897:I1895, MID(A897, FIND(" ",A897)+1, 100))</f>
        <v>1</v>
      </c>
      <c r="E897" s="6">
        <f>SUMIFS('Raw Data Sales'!M897:M1895, 'Raw Data Sales'!H897:H1895, LEFT(A897, FIND(" ",A897)-1), 'Raw Data Sales'!I897:I1895, MID(A897, FIND(" ",A897)+1, 100))</f>
        <v>63</v>
      </c>
      <c r="F897" s="6">
        <f>SUMIFS('Raw Data Sales'!N897:N1895, 'Raw Data Sales'!H897:H1895, LEFT(A897, FIND(" ",A897)-1), 'Raw Data Sales'!I897:I1895, MID(A897, FIND(" ",A897)+1, 100))</f>
        <v>1434.6</v>
      </c>
    </row>
    <row r="898">
      <c r="A898" s="6" t="str">
        <f>IFERROR(__xludf.DUMMYFUNCTION("UNIQUE('Raw Data Sales'!H898:H1896 &amp; "" "" &amp; 'Raw Data Sales'!I898:I1896)"),"Astrid Bertlin")</f>
        <v>Astrid Bertlin</v>
      </c>
      <c r="B898" s="6" t="str">
        <f>IFERROR(__xludf.DUMMYFUNCTION("""COMPUTED_VALUE"""),"abertlinow@is.gd")</f>
        <v>abertlinow@is.gd</v>
      </c>
      <c r="C898" s="6" t="str">
        <f>IFERROR(__xludf.DUMMYFUNCTION("""COMPUTED_VALUE"""),"El Salvador")</f>
        <v>El Salvador</v>
      </c>
      <c r="D898" s="6">
        <f>COUNTIFS('Raw Data Sales'!H898:H1896, LEFT(A898, FIND(" ",A898)-1), 'Raw Data Sales'!I898:I1896, MID(A898, FIND(" ",A898)+1, 100))</f>
        <v>1</v>
      </c>
      <c r="E898" s="6">
        <f>SUMIFS('Raw Data Sales'!M898:M1896, 'Raw Data Sales'!H898:H1896, LEFT(A898, FIND(" ",A898)-1), 'Raw Data Sales'!I898:I1896, MID(A898, FIND(" ",A898)+1, 100))</f>
        <v>40</v>
      </c>
      <c r="F898" s="6">
        <f>SUMIFS('Raw Data Sales'!N898:N1896, 'Raw Data Sales'!H898:H1896, LEFT(A898, FIND(" ",A898)-1), 'Raw Data Sales'!I898:I1896, MID(A898, FIND(" ",A898)+1, 100))</f>
        <v>3123.59</v>
      </c>
    </row>
    <row r="899">
      <c r="A899" s="6" t="str">
        <f>IFERROR(__xludf.DUMMYFUNCTION("UNIQUE('Raw Data Sales'!H899:H1897 &amp; "" "" &amp; 'Raw Data Sales'!I899:I1897)"),"Wallache Niezen")</f>
        <v>Wallache Niezen</v>
      </c>
      <c r="B899" s="6" t="str">
        <f>IFERROR(__xludf.DUMMYFUNCTION("""COMPUTED_VALUE"""),"wniezenox@cdbaby.com")</f>
        <v>wniezenox@cdbaby.com</v>
      </c>
      <c r="C899" s="6" t="str">
        <f>IFERROR(__xludf.DUMMYFUNCTION("""COMPUTED_VALUE"""),"Indonesia")</f>
        <v>Indonesia</v>
      </c>
      <c r="D899" s="6">
        <f>COUNTIFS('Raw Data Sales'!H899:H1897, LEFT(A899, FIND(" ",A899)-1), 'Raw Data Sales'!I899:I1897, MID(A899, FIND(" ",A899)+1, 100))</f>
        <v>1</v>
      </c>
      <c r="E899" s="6">
        <f>SUMIFS('Raw Data Sales'!M899:M1897, 'Raw Data Sales'!H899:H1897, LEFT(A899, FIND(" ",A899)-1), 'Raw Data Sales'!I899:I1897, MID(A899, FIND(" ",A899)+1, 100))</f>
        <v>76</v>
      </c>
      <c r="F899" s="6">
        <f>SUMIFS('Raw Data Sales'!N899:N1897, 'Raw Data Sales'!H899:H1897, LEFT(A899, FIND(" ",A899)-1), 'Raw Data Sales'!I899:I1897, MID(A899, FIND(" ",A899)+1, 100))</f>
        <v>3359.45</v>
      </c>
    </row>
    <row r="900">
      <c r="A900" s="6" t="str">
        <f>IFERROR(__xludf.DUMMYFUNCTION("UNIQUE('Raw Data Sales'!H900:H1898 &amp; "" "" &amp; 'Raw Data Sales'!I900:I1898)"),"Rodolph Danielsen")</f>
        <v>Rodolph Danielsen</v>
      </c>
      <c r="B900" s="6" t="str">
        <f>IFERROR(__xludf.DUMMYFUNCTION("""COMPUTED_VALUE"""),"rdanielsenoy@simplemachines.org")</f>
        <v>rdanielsenoy@simplemachines.org</v>
      </c>
      <c r="C900" s="6" t="str">
        <f>IFERROR(__xludf.DUMMYFUNCTION("""COMPUTED_VALUE"""),"Colombia")</f>
        <v>Colombia</v>
      </c>
      <c r="D900" s="6">
        <f>COUNTIFS('Raw Data Sales'!H900:H1898, LEFT(A900, FIND(" ",A900)-1), 'Raw Data Sales'!I900:I1898, MID(A900, FIND(" ",A900)+1, 100))</f>
        <v>1</v>
      </c>
      <c r="E900" s="6">
        <f>SUMIFS('Raw Data Sales'!M900:M1898, 'Raw Data Sales'!H900:H1898, LEFT(A900, FIND(" ",A900)-1), 'Raw Data Sales'!I900:I1898, MID(A900, FIND(" ",A900)+1, 100))</f>
        <v>99</v>
      </c>
      <c r="F900" s="6">
        <f>SUMIFS('Raw Data Sales'!N900:N1898, 'Raw Data Sales'!H900:H1898, LEFT(A900, FIND(" ",A900)-1), 'Raw Data Sales'!I900:I1898, MID(A900, FIND(" ",A900)+1, 100))</f>
        <v>7361.51</v>
      </c>
    </row>
    <row r="901">
      <c r="A901" s="6" t="str">
        <f>IFERROR(__xludf.DUMMYFUNCTION("UNIQUE('Raw Data Sales'!H901:H1899 &amp; "" "" &amp; 'Raw Data Sales'!I901:I1899)"),"Bud Talby")</f>
        <v>Bud Talby</v>
      </c>
      <c r="B901" s="6" t="str">
        <f>IFERROR(__xludf.DUMMYFUNCTION("""COMPUTED_VALUE"""),"btalbyoz@technorati.com")</f>
        <v>btalbyoz@technorati.com</v>
      </c>
      <c r="C901" s="6" t="str">
        <f>IFERROR(__xludf.DUMMYFUNCTION("""COMPUTED_VALUE"""),"Palestinian Territory")</f>
        <v>Palestinian Territory</v>
      </c>
      <c r="D901" s="6">
        <f>COUNTIFS('Raw Data Sales'!H901:H1899, LEFT(A901, FIND(" ",A901)-1), 'Raw Data Sales'!I901:I1899, MID(A901, FIND(" ",A901)+1, 100))</f>
        <v>1</v>
      </c>
      <c r="E901" s="6">
        <f>SUMIFS('Raw Data Sales'!M901:M1899, 'Raw Data Sales'!H901:H1899, LEFT(A901, FIND(" ",A901)-1), 'Raw Data Sales'!I901:I1899, MID(A901, FIND(" ",A901)+1, 100))</f>
        <v>23</v>
      </c>
      <c r="F901" s="6">
        <f>SUMIFS('Raw Data Sales'!N901:N1899, 'Raw Data Sales'!H901:H1899, LEFT(A901, FIND(" ",A901)-1), 'Raw Data Sales'!I901:I1899, MID(A901, FIND(" ",A901)+1, 100))</f>
        <v>5845.23</v>
      </c>
    </row>
    <row r="902">
      <c r="A902" s="6" t="str">
        <f>IFERROR(__xludf.DUMMYFUNCTION("UNIQUE('Raw Data Sales'!H902:H1900 &amp; "" "" &amp; 'Raw Data Sales'!I902:I1900)"),"Arlee Cartlidge")</f>
        <v>Arlee Cartlidge</v>
      </c>
      <c r="B902" s="6" t="str">
        <f>IFERROR(__xludf.DUMMYFUNCTION("""COMPUTED_VALUE"""),"acartlidgep0@facebook.com")</f>
        <v>acartlidgep0@facebook.com</v>
      </c>
      <c r="C902" s="6" t="str">
        <f>IFERROR(__xludf.DUMMYFUNCTION("""COMPUTED_VALUE"""),"China")</f>
        <v>China</v>
      </c>
      <c r="D902" s="6">
        <f>COUNTIFS('Raw Data Sales'!H902:H1900, LEFT(A902, FIND(" ",A902)-1), 'Raw Data Sales'!I902:I1900, MID(A902, FIND(" ",A902)+1, 100))</f>
        <v>1</v>
      </c>
      <c r="E902" s="6">
        <f>SUMIFS('Raw Data Sales'!M902:M1900, 'Raw Data Sales'!H902:H1900, LEFT(A902, FIND(" ",A902)-1), 'Raw Data Sales'!I902:I1900, MID(A902, FIND(" ",A902)+1, 100))</f>
        <v>31</v>
      </c>
      <c r="F902" s="6">
        <f>SUMIFS('Raw Data Sales'!N902:N1900, 'Raw Data Sales'!H902:H1900, LEFT(A902, FIND(" ",A902)-1), 'Raw Data Sales'!I902:I1900, MID(A902, FIND(" ",A902)+1, 100))</f>
        <v>1455.98</v>
      </c>
    </row>
    <row r="903">
      <c r="A903" s="6" t="str">
        <f>IFERROR(__xludf.DUMMYFUNCTION("UNIQUE('Raw Data Sales'!H903:H1901 &amp; "" "" &amp; 'Raw Data Sales'!I903:I1901)"),"Georgy Tegeller")</f>
        <v>Georgy Tegeller</v>
      </c>
      <c r="B903" s="6" t="str">
        <f>IFERROR(__xludf.DUMMYFUNCTION("""COMPUTED_VALUE"""),"gtegellerp1@netvibes.com")</f>
        <v>gtegellerp1@netvibes.com</v>
      </c>
      <c r="C903" s="6" t="str">
        <f>IFERROR(__xludf.DUMMYFUNCTION("""COMPUTED_VALUE"""),"China")</f>
        <v>China</v>
      </c>
      <c r="D903" s="6">
        <f>COUNTIFS('Raw Data Sales'!H903:H1901, LEFT(A903, FIND(" ",A903)-1), 'Raw Data Sales'!I903:I1901, MID(A903, FIND(" ",A903)+1, 100))</f>
        <v>1</v>
      </c>
      <c r="E903" s="6">
        <f>SUMIFS('Raw Data Sales'!M903:M1901, 'Raw Data Sales'!H903:H1901, LEFT(A903, FIND(" ",A903)-1), 'Raw Data Sales'!I903:I1901, MID(A903, FIND(" ",A903)+1, 100))</f>
        <v>64</v>
      </c>
      <c r="F903" s="6">
        <f>SUMIFS('Raw Data Sales'!N903:N1901, 'Raw Data Sales'!H903:H1901, LEFT(A903, FIND(" ",A903)-1), 'Raw Data Sales'!I903:I1901, MID(A903, FIND(" ",A903)+1, 100))</f>
        <v>5616.71</v>
      </c>
    </row>
    <row r="904">
      <c r="A904" s="6" t="str">
        <f>IFERROR(__xludf.DUMMYFUNCTION("UNIQUE('Raw Data Sales'!H904:H1902 &amp; "" "" &amp; 'Raw Data Sales'!I904:I1902)"),"Bella Randle")</f>
        <v>Bella Randle</v>
      </c>
      <c r="B904" s="6" t="str">
        <f>IFERROR(__xludf.DUMMYFUNCTION("""COMPUTED_VALUE"""),"brandlep2@about.me")</f>
        <v>brandlep2@about.me</v>
      </c>
      <c r="C904" s="6" t="str">
        <f>IFERROR(__xludf.DUMMYFUNCTION("""COMPUTED_VALUE"""),"Venezuela")</f>
        <v>Venezuela</v>
      </c>
      <c r="D904" s="6">
        <f>COUNTIFS('Raw Data Sales'!H904:H1902, LEFT(A904, FIND(" ",A904)-1), 'Raw Data Sales'!I904:I1902, MID(A904, FIND(" ",A904)+1, 100))</f>
        <v>1</v>
      </c>
      <c r="E904" s="6">
        <f>SUMIFS('Raw Data Sales'!M904:M1902, 'Raw Data Sales'!H904:H1902, LEFT(A904, FIND(" ",A904)-1), 'Raw Data Sales'!I904:I1902, MID(A904, FIND(" ",A904)+1, 100))</f>
        <v>53</v>
      </c>
      <c r="F904" s="6">
        <f>SUMIFS('Raw Data Sales'!N904:N1902, 'Raw Data Sales'!H904:H1902, LEFT(A904, FIND(" ",A904)-1), 'Raw Data Sales'!I904:I1902, MID(A904, FIND(" ",A904)+1, 100))</f>
        <v>6720.91</v>
      </c>
    </row>
    <row r="905">
      <c r="A905" s="6" t="str">
        <f>IFERROR(__xludf.DUMMYFUNCTION("UNIQUE('Raw Data Sales'!H905:H1903 &amp; "" "" &amp; 'Raw Data Sales'!I905:I1903)"),"Franny Bonn")</f>
        <v>Franny Bonn</v>
      </c>
      <c r="B905" s="6" t="str">
        <f>IFERROR(__xludf.DUMMYFUNCTION("""COMPUTED_VALUE"""),"fbonnp3@slate.com")</f>
        <v>fbonnp3@slate.com</v>
      </c>
      <c r="C905" s="6" t="str">
        <f>IFERROR(__xludf.DUMMYFUNCTION("""COMPUTED_VALUE"""),"Russia")</f>
        <v>Russia</v>
      </c>
      <c r="D905" s="6">
        <f>COUNTIFS('Raw Data Sales'!H905:H1903, LEFT(A905, FIND(" ",A905)-1), 'Raw Data Sales'!I905:I1903, MID(A905, FIND(" ",A905)+1, 100))</f>
        <v>1</v>
      </c>
      <c r="E905" s="6">
        <f>SUMIFS('Raw Data Sales'!M905:M1903, 'Raw Data Sales'!H905:H1903, LEFT(A905, FIND(" ",A905)-1), 'Raw Data Sales'!I905:I1903, MID(A905, FIND(" ",A905)+1, 100))</f>
        <v>49</v>
      </c>
      <c r="F905" s="6">
        <f>SUMIFS('Raw Data Sales'!N905:N1903, 'Raw Data Sales'!H905:H1903, LEFT(A905, FIND(" ",A905)-1), 'Raw Data Sales'!I905:I1903, MID(A905, FIND(" ",A905)+1, 100))</f>
        <v>7420.73</v>
      </c>
    </row>
    <row r="906">
      <c r="A906" s="6" t="str">
        <f>IFERROR(__xludf.DUMMYFUNCTION("UNIQUE('Raw Data Sales'!H906:H1904 &amp; "" "" &amp; 'Raw Data Sales'!I906:I1904)"),"Timmi Pygott")</f>
        <v>Timmi Pygott</v>
      </c>
      <c r="B906" s="6" t="str">
        <f>IFERROR(__xludf.DUMMYFUNCTION("""COMPUTED_VALUE"""),"tpygottp4@theguardian.com")</f>
        <v>tpygottp4@theguardian.com</v>
      </c>
      <c r="C906" s="6" t="str">
        <f>IFERROR(__xludf.DUMMYFUNCTION("""COMPUTED_VALUE"""),"United States")</f>
        <v>United States</v>
      </c>
      <c r="D906" s="6">
        <f>COUNTIFS('Raw Data Sales'!H906:H1904, LEFT(A906, FIND(" ",A906)-1), 'Raw Data Sales'!I906:I1904, MID(A906, FIND(" ",A906)+1, 100))</f>
        <v>1</v>
      </c>
      <c r="E906" s="6">
        <f>SUMIFS('Raw Data Sales'!M906:M1904, 'Raw Data Sales'!H906:H1904, LEFT(A906, FIND(" ",A906)-1), 'Raw Data Sales'!I906:I1904, MID(A906, FIND(" ",A906)+1, 100))</f>
        <v>97</v>
      </c>
      <c r="F906" s="6">
        <f>SUMIFS('Raw Data Sales'!N906:N1904, 'Raw Data Sales'!H906:H1904, LEFT(A906, FIND(" ",A906)-1), 'Raw Data Sales'!I906:I1904, MID(A906, FIND(" ",A906)+1, 100))</f>
        <v>2206.06</v>
      </c>
    </row>
    <row r="907">
      <c r="A907" s="6" t="str">
        <f>IFERROR(__xludf.DUMMYFUNCTION("UNIQUE('Raw Data Sales'!H907:H1905 &amp; "" "" &amp; 'Raw Data Sales'!I907:I1905)"),"Cornelia Krimmer")</f>
        <v>Cornelia Krimmer</v>
      </c>
      <c r="B907" s="6" t="str">
        <f>IFERROR(__xludf.DUMMYFUNCTION("""COMPUTED_VALUE"""),"ckrimmerp5@nhs.uk")</f>
        <v>ckrimmerp5@nhs.uk</v>
      </c>
      <c r="C907" s="6" t="str">
        <f>IFERROR(__xludf.DUMMYFUNCTION("""COMPUTED_VALUE"""),"Azerbaijan")</f>
        <v>Azerbaijan</v>
      </c>
      <c r="D907" s="6">
        <f>COUNTIFS('Raw Data Sales'!H907:H1905, LEFT(A907, FIND(" ",A907)-1), 'Raw Data Sales'!I907:I1905, MID(A907, FIND(" ",A907)+1, 100))</f>
        <v>1</v>
      </c>
      <c r="E907" s="6">
        <f>SUMIFS('Raw Data Sales'!M907:M1905, 'Raw Data Sales'!H907:H1905, LEFT(A907, FIND(" ",A907)-1), 'Raw Data Sales'!I907:I1905, MID(A907, FIND(" ",A907)+1, 100))</f>
        <v>92</v>
      </c>
      <c r="F907" s="6">
        <f>SUMIFS('Raw Data Sales'!N907:N1905, 'Raw Data Sales'!H907:H1905, LEFT(A907, FIND(" ",A907)-1), 'Raw Data Sales'!I907:I1905, MID(A907, FIND(" ",A907)+1, 100))</f>
        <v>4089.06</v>
      </c>
    </row>
    <row r="908">
      <c r="A908" s="6" t="str">
        <f>IFERROR(__xludf.DUMMYFUNCTION("UNIQUE('Raw Data Sales'!H908:H1906 &amp; "" "" &amp; 'Raw Data Sales'!I908:I1906)"),"Micheline Larking")</f>
        <v>Micheline Larking</v>
      </c>
      <c r="B908" s="6" t="str">
        <f>IFERROR(__xludf.DUMMYFUNCTION("""COMPUTED_VALUE"""),"mlarkingp6@wikispaces.com")</f>
        <v>mlarkingp6@wikispaces.com</v>
      </c>
      <c r="C908" s="6" t="str">
        <f>IFERROR(__xludf.DUMMYFUNCTION("""COMPUTED_VALUE"""),"Portugal")</f>
        <v>Portugal</v>
      </c>
      <c r="D908" s="6">
        <f>COUNTIFS('Raw Data Sales'!H908:H1906, LEFT(A908, FIND(" ",A908)-1), 'Raw Data Sales'!I908:I1906, MID(A908, FIND(" ",A908)+1, 100))</f>
        <v>1</v>
      </c>
      <c r="E908" s="6">
        <f>SUMIFS('Raw Data Sales'!M908:M1906, 'Raw Data Sales'!H908:H1906, LEFT(A908, FIND(" ",A908)-1), 'Raw Data Sales'!I908:I1906, MID(A908, FIND(" ",A908)+1, 100))</f>
        <v>24</v>
      </c>
      <c r="F908" s="6">
        <f>SUMIFS('Raw Data Sales'!N908:N1906, 'Raw Data Sales'!H908:H1906, LEFT(A908, FIND(" ",A908)-1), 'Raw Data Sales'!I908:I1906, MID(A908, FIND(" ",A908)+1, 100))</f>
        <v>9536.18</v>
      </c>
    </row>
    <row r="909">
      <c r="A909" s="6" t="str">
        <f>IFERROR(__xludf.DUMMYFUNCTION("UNIQUE('Raw Data Sales'!H909:H1907 &amp; "" "" &amp; 'Raw Data Sales'!I909:I1907)"),"Nickolaus Acomb")</f>
        <v>Nickolaus Acomb</v>
      </c>
      <c r="B909" s="6" t="str">
        <f>IFERROR(__xludf.DUMMYFUNCTION("""COMPUTED_VALUE"""),"nacombp7@cloudflare.com")</f>
        <v>nacombp7@cloudflare.com</v>
      </c>
      <c r="C909" s="6" t="str">
        <f>IFERROR(__xludf.DUMMYFUNCTION("""COMPUTED_VALUE"""),"China")</f>
        <v>China</v>
      </c>
      <c r="D909" s="6">
        <f>COUNTIFS('Raw Data Sales'!H909:H1907, LEFT(A909, FIND(" ",A909)-1), 'Raw Data Sales'!I909:I1907, MID(A909, FIND(" ",A909)+1, 100))</f>
        <v>1</v>
      </c>
      <c r="E909" s="6">
        <f>SUMIFS('Raw Data Sales'!M909:M1907, 'Raw Data Sales'!H909:H1907, LEFT(A909, FIND(" ",A909)-1), 'Raw Data Sales'!I909:I1907, MID(A909, FIND(" ",A909)+1, 100))</f>
        <v>97</v>
      </c>
      <c r="F909" s="6">
        <f>SUMIFS('Raw Data Sales'!N909:N1907, 'Raw Data Sales'!H909:H1907, LEFT(A909, FIND(" ",A909)-1), 'Raw Data Sales'!I909:I1907, MID(A909, FIND(" ",A909)+1, 100))</f>
        <v>487.48</v>
      </c>
    </row>
    <row r="910">
      <c r="A910" s="6" t="str">
        <f>IFERROR(__xludf.DUMMYFUNCTION("UNIQUE('Raw Data Sales'!H910:H1908 &amp; "" "" &amp; 'Raw Data Sales'!I910:I1908)"),"Maye Ashlee")</f>
        <v>Maye Ashlee</v>
      </c>
      <c r="B910" s="6" t="str">
        <f>IFERROR(__xludf.DUMMYFUNCTION("""COMPUTED_VALUE"""),"mashleep8@netvibes.com")</f>
        <v>mashleep8@netvibes.com</v>
      </c>
      <c r="C910" s="6" t="str">
        <f>IFERROR(__xludf.DUMMYFUNCTION("""COMPUTED_VALUE"""),"Sweden")</f>
        <v>Sweden</v>
      </c>
      <c r="D910" s="6">
        <f>COUNTIFS('Raw Data Sales'!H910:H1908, LEFT(A910, FIND(" ",A910)-1), 'Raw Data Sales'!I910:I1908, MID(A910, FIND(" ",A910)+1, 100))</f>
        <v>1</v>
      </c>
      <c r="E910" s="6">
        <f>SUMIFS('Raw Data Sales'!M910:M1908, 'Raw Data Sales'!H910:H1908, LEFT(A910, FIND(" ",A910)-1), 'Raw Data Sales'!I910:I1908, MID(A910, FIND(" ",A910)+1, 100))</f>
        <v>96</v>
      </c>
      <c r="F910" s="6">
        <f>SUMIFS('Raw Data Sales'!N910:N1908, 'Raw Data Sales'!H910:H1908, LEFT(A910, FIND(" ",A910)-1), 'Raw Data Sales'!I910:I1908, MID(A910, FIND(" ",A910)+1, 100))</f>
        <v>7199.08</v>
      </c>
    </row>
    <row r="911">
      <c r="A911" s="6" t="str">
        <f>IFERROR(__xludf.DUMMYFUNCTION("UNIQUE('Raw Data Sales'!H911:H1909 &amp; "" "" &amp; 'Raw Data Sales'!I911:I1909)"),"Emmet Pettko")</f>
        <v>Emmet Pettko</v>
      </c>
      <c r="B911" s="6" t="str">
        <f>IFERROR(__xludf.DUMMYFUNCTION("""COMPUTED_VALUE"""),"epettkop9@bloglines.com")</f>
        <v>epettkop9@bloglines.com</v>
      </c>
      <c r="C911" s="6" t="str">
        <f>IFERROR(__xludf.DUMMYFUNCTION("""COMPUTED_VALUE"""),"Poland")</f>
        <v>Poland</v>
      </c>
      <c r="D911" s="6">
        <f>COUNTIFS('Raw Data Sales'!H911:H1909, LEFT(A911, FIND(" ",A911)-1), 'Raw Data Sales'!I911:I1909, MID(A911, FIND(" ",A911)+1, 100))</f>
        <v>1</v>
      </c>
      <c r="E911" s="6">
        <f>SUMIFS('Raw Data Sales'!M911:M1909, 'Raw Data Sales'!H911:H1909, LEFT(A911, FIND(" ",A911)-1), 'Raw Data Sales'!I911:I1909, MID(A911, FIND(" ",A911)+1, 100))</f>
        <v>80</v>
      </c>
      <c r="F911" s="6">
        <f>SUMIFS('Raw Data Sales'!N911:N1909, 'Raw Data Sales'!H911:H1909, LEFT(A911, FIND(" ",A911)-1), 'Raw Data Sales'!I911:I1909, MID(A911, FIND(" ",A911)+1, 100))</f>
        <v>4948.69</v>
      </c>
    </row>
    <row r="912">
      <c r="A912" s="6" t="str">
        <f>IFERROR(__xludf.DUMMYFUNCTION("UNIQUE('Raw Data Sales'!H912:H1910 &amp; "" "" &amp; 'Raw Data Sales'!I912:I1910)"),"Matthias Markwell")</f>
        <v>Matthias Markwell</v>
      </c>
      <c r="B912" s="6" t="str">
        <f>IFERROR(__xludf.DUMMYFUNCTION("""COMPUTED_VALUE"""),"mmarkwellpa@dailymotion.com")</f>
        <v>mmarkwellpa@dailymotion.com</v>
      </c>
      <c r="C912" s="6" t="str">
        <f>IFERROR(__xludf.DUMMYFUNCTION("""COMPUTED_VALUE"""),"Ukraine")</f>
        <v>Ukraine</v>
      </c>
      <c r="D912" s="6">
        <f>COUNTIFS('Raw Data Sales'!H912:H1910, LEFT(A912, FIND(" ",A912)-1), 'Raw Data Sales'!I912:I1910, MID(A912, FIND(" ",A912)+1, 100))</f>
        <v>1</v>
      </c>
      <c r="E912" s="6">
        <f>SUMIFS('Raw Data Sales'!M912:M1910, 'Raw Data Sales'!H912:H1910, LEFT(A912, FIND(" ",A912)-1), 'Raw Data Sales'!I912:I1910, MID(A912, FIND(" ",A912)+1, 100))</f>
        <v>93</v>
      </c>
      <c r="F912" s="6">
        <f>SUMIFS('Raw Data Sales'!N912:N1910, 'Raw Data Sales'!H912:H1910, LEFT(A912, FIND(" ",A912)-1), 'Raw Data Sales'!I912:I1910, MID(A912, FIND(" ",A912)+1, 100))</f>
        <v>1314.75</v>
      </c>
    </row>
    <row r="913">
      <c r="A913" s="6" t="str">
        <f>IFERROR(__xludf.DUMMYFUNCTION("UNIQUE('Raw Data Sales'!H913:H1911 &amp; "" "" &amp; 'Raw Data Sales'!I913:I1911)"),"Valerye Eirwin")</f>
        <v>Valerye Eirwin</v>
      </c>
      <c r="B913" s="6" t="str">
        <f>IFERROR(__xludf.DUMMYFUNCTION("""COMPUTED_VALUE"""),"veirwinpb@joomla.org")</f>
        <v>veirwinpb@joomla.org</v>
      </c>
      <c r="C913" s="6" t="str">
        <f>IFERROR(__xludf.DUMMYFUNCTION("""COMPUTED_VALUE"""),"Germany")</f>
        <v>Germany</v>
      </c>
      <c r="D913" s="6">
        <f>COUNTIFS('Raw Data Sales'!H913:H1911, LEFT(A913, FIND(" ",A913)-1), 'Raw Data Sales'!I913:I1911, MID(A913, FIND(" ",A913)+1, 100))</f>
        <v>1</v>
      </c>
      <c r="E913" s="6">
        <f>SUMIFS('Raw Data Sales'!M913:M1911, 'Raw Data Sales'!H913:H1911, LEFT(A913, FIND(" ",A913)-1), 'Raw Data Sales'!I913:I1911, MID(A913, FIND(" ",A913)+1, 100))</f>
        <v>65</v>
      </c>
      <c r="F913" s="6">
        <f>SUMIFS('Raw Data Sales'!N913:N1911, 'Raw Data Sales'!H913:H1911, LEFT(A913, FIND(" ",A913)-1), 'Raw Data Sales'!I913:I1911, MID(A913, FIND(" ",A913)+1, 100))</f>
        <v>4800.4</v>
      </c>
    </row>
    <row r="914">
      <c r="A914" s="6" t="str">
        <f>IFERROR(__xludf.DUMMYFUNCTION("UNIQUE('Raw Data Sales'!H914:H1912 &amp; "" "" &amp; 'Raw Data Sales'!I914:I1912)"),"Kamila Rudsdale")</f>
        <v>Kamila Rudsdale</v>
      </c>
      <c r="B914" s="6" t="str">
        <f>IFERROR(__xludf.DUMMYFUNCTION("""COMPUTED_VALUE"""),"krudsdalepc@tinyurl.com")</f>
        <v>krudsdalepc@tinyurl.com</v>
      </c>
      <c r="C914" s="6" t="str">
        <f>IFERROR(__xludf.DUMMYFUNCTION("""COMPUTED_VALUE"""),"China")</f>
        <v>China</v>
      </c>
      <c r="D914" s="6">
        <f>COUNTIFS('Raw Data Sales'!H914:H1912, LEFT(A914, FIND(" ",A914)-1), 'Raw Data Sales'!I914:I1912, MID(A914, FIND(" ",A914)+1, 100))</f>
        <v>1</v>
      </c>
      <c r="E914" s="6">
        <f>SUMIFS('Raw Data Sales'!M914:M1912, 'Raw Data Sales'!H914:H1912, LEFT(A914, FIND(" ",A914)-1), 'Raw Data Sales'!I914:I1912, MID(A914, FIND(" ",A914)+1, 100))</f>
        <v>37</v>
      </c>
      <c r="F914" s="6">
        <f>SUMIFS('Raw Data Sales'!N914:N1912, 'Raw Data Sales'!H914:H1912, LEFT(A914, FIND(" ",A914)-1), 'Raw Data Sales'!I914:I1912, MID(A914, FIND(" ",A914)+1, 100))</f>
        <v>8245.14</v>
      </c>
    </row>
    <row r="915">
      <c r="A915" s="6" t="str">
        <f>IFERROR(__xludf.DUMMYFUNCTION("UNIQUE('Raw Data Sales'!H915:H1913 &amp; "" "" &amp; 'Raw Data Sales'!I915:I1913)"),"Marjorie Coast")</f>
        <v>Marjorie Coast</v>
      </c>
      <c r="B915" s="6" t="str">
        <f>IFERROR(__xludf.DUMMYFUNCTION("""COMPUTED_VALUE"""),"mcoastpd@behance.net")</f>
        <v>mcoastpd@behance.net</v>
      </c>
      <c r="C915" s="6" t="str">
        <f>IFERROR(__xludf.DUMMYFUNCTION("""COMPUTED_VALUE"""),"China")</f>
        <v>China</v>
      </c>
      <c r="D915" s="6">
        <f>COUNTIFS('Raw Data Sales'!H915:H1913, LEFT(A915, FIND(" ",A915)-1), 'Raw Data Sales'!I915:I1913, MID(A915, FIND(" ",A915)+1, 100))</f>
        <v>1</v>
      </c>
      <c r="E915" s="6">
        <f>SUMIFS('Raw Data Sales'!M915:M1913, 'Raw Data Sales'!H915:H1913, LEFT(A915, FIND(" ",A915)-1), 'Raw Data Sales'!I915:I1913, MID(A915, FIND(" ",A915)+1, 100))</f>
        <v>91</v>
      </c>
      <c r="F915" s="6">
        <f>SUMIFS('Raw Data Sales'!N915:N1913, 'Raw Data Sales'!H915:H1913, LEFT(A915, FIND(" ",A915)-1), 'Raw Data Sales'!I915:I1913, MID(A915, FIND(" ",A915)+1, 100))</f>
        <v>863.32</v>
      </c>
    </row>
    <row r="916">
      <c r="A916" s="6" t="str">
        <f>IFERROR(__xludf.DUMMYFUNCTION("UNIQUE('Raw Data Sales'!H916:H1914 &amp; "" "" &amp; 'Raw Data Sales'!I916:I1914)"),"Silvano Figgess")</f>
        <v>Silvano Figgess</v>
      </c>
      <c r="B916" s="6" t="str">
        <f>IFERROR(__xludf.DUMMYFUNCTION("""COMPUTED_VALUE"""),"sfiggesspe@ox.ac.uk")</f>
        <v>sfiggesspe@ox.ac.uk</v>
      </c>
      <c r="C916" s="6" t="str">
        <f>IFERROR(__xludf.DUMMYFUNCTION("""COMPUTED_VALUE"""),"China")</f>
        <v>China</v>
      </c>
      <c r="D916" s="6">
        <f>COUNTIFS('Raw Data Sales'!H916:H1914, LEFT(A916, FIND(" ",A916)-1), 'Raw Data Sales'!I916:I1914, MID(A916, FIND(" ",A916)+1, 100))</f>
        <v>1</v>
      </c>
      <c r="E916" s="6">
        <f>SUMIFS('Raw Data Sales'!M916:M1914, 'Raw Data Sales'!H916:H1914, LEFT(A916, FIND(" ",A916)-1), 'Raw Data Sales'!I916:I1914, MID(A916, FIND(" ",A916)+1, 100))</f>
        <v>88</v>
      </c>
      <c r="F916" s="6">
        <f>SUMIFS('Raw Data Sales'!N916:N1914, 'Raw Data Sales'!H916:H1914, LEFT(A916, FIND(" ",A916)-1), 'Raw Data Sales'!I916:I1914, MID(A916, FIND(" ",A916)+1, 100))</f>
        <v>4945.74</v>
      </c>
    </row>
    <row r="917">
      <c r="A917" s="6" t="str">
        <f>IFERROR(__xludf.DUMMYFUNCTION("UNIQUE('Raw Data Sales'!H917:H1915 &amp; "" "" &amp; 'Raw Data Sales'!I917:I1915)"),"Christina Franceschielli")</f>
        <v>Christina Franceschielli</v>
      </c>
      <c r="B917" s="6" t="str">
        <f>IFERROR(__xludf.DUMMYFUNCTION("""COMPUTED_VALUE"""),"cfranceschiellipf@unc.edu")</f>
        <v>cfranceschiellipf@unc.edu</v>
      </c>
      <c r="C917" s="6" t="str">
        <f>IFERROR(__xludf.DUMMYFUNCTION("""COMPUTED_VALUE"""),"China")</f>
        <v>China</v>
      </c>
      <c r="D917" s="6">
        <f>COUNTIFS('Raw Data Sales'!H917:H1915, LEFT(A917, FIND(" ",A917)-1), 'Raw Data Sales'!I917:I1915, MID(A917, FIND(" ",A917)+1, 100))</f>
        <v>1</v>
      </c>
      <c r="E917" s="6">
        <f>SUMIFS('Raw Data Sales'!M917:M1915, 'Raw Data Sales'!H917:H1915, LEFT(A917, FIND(" ",A917)-1), 'Raw Data Sales'!I917:I1915, MID(A917, FIND(" ",A917)+1, 100))</f>
        <v>51</v>
      </c>
      <c r="F917" s="6">
        <f>SUMIFS('Raw Data Sales'!N917:N1915, 'Raw Data Sales'!H917:H1915, LEFT(A917, FIND(" ",A917)-1), 'Raw Data Sales'!I917:I1915, MID(A917, FIND(" ",A917)+1, 100))</f>
        <v>91.4</v>
      </c>
    </row>
    <row r="918">
      <c r="A918" s="6" t="str">
        <f>IFERROR(__xludf.DUMMYFUNCTION("UNIQUE('Raw Data Sales'!H918:H1916 &amp; "" "" &amp; 'Raw Data Sales'!I918:I1916)"),"Birdie Melmar")</f>
        <v>Birdie Melmar</v>
      </c>
      <c r="B918" s="6" t="str">
        <f>IFERROR(__xludf.DUMMYFUNCTION("""COMPUTED_VALUE"""),"bmelmarpg@webeden.co.uk")</f>
        <v>bmelmarpg@webeden.co.uk</v>
      </c>
      <c r="C918" s="6" t="str">
        <f>IFERROR(__xludf.DUMMYFUNCTION("""COMPUTED_VALUE"""),"Indonesia")</f>
        <v>Indonesia</v>
      </c>
      <c r="D918" s="6">
        <f>COUNTIFS('Raw Data Sales'!H918:H1916, LEFT(A918, FIND(" ",A918)-1), 'Raw Data Sales'!I918:I1916, MID(A918, FIND(" ",A918)+1, 100))</f>
        <v>1</v>
      </c>
      <c r="E918" s="6">
        <f>SUMIFS('Raw Data Sales'!M918:M1916, 'Raw Data Sales'!H918:H1916, LEFT(A918, FIND(" ",A918)-1), 'Raw Data Sales'!I918:I1916, MID(A918, FIND(" ",A918)+1, 100))</f>
        <v>88</v>
      </c>
      <c r="F918" s="6">
        <f>SUMIFS('Raw Data Sales'!N918:N1916, 'Raw Data Sales'!H918:H1916, LEFT(A918, FIND(" ",A918)-1), 'Raw Data Sales'!I918:I1916, MID(A918, FIND(" ",A918)+1, 100))</f>
        <v>4553.71</v>
      </c>
    </row>
    <row r="919">
      <c r="A919" s="6" t="str">
        <f>IFERROR(__xludf.DUMMYFUNCTION("UNIQUE('Raw Data Sales'!H919:H1917 &amp; "" "" &amp; 'Raw Data Sales'!I919:I1917)"),"Kynthia Purchon")</f>
        <v>Kynthia Purchon</v>
      </c>
      <c r="B919" s="6" t="str">
        <f>IFERROR(__xludf.DUMMYFUNCTION("""COMPUTED_VALUE"""),"kpurchonph@shareasale.com")</f>
        <v>kpurchonph@shareasale.com</v>
      </c>
      <c r="C919" s="6" t="str">
        <f>IFERROR(__xludf.DUMMYFUNCTION("""COMPUTED_VALUE"""),"Bulgaria")</f>
        <v>Bulgaria</v>
      </c>
      <c r="D919" s="6">
        <f>COUNTIFS('Raw Data Sales'!H919:H1917, LEFT(A919, FIND(" ",A919)-1), 'Raw Data Sales'!I919:I1917, MID(A919, FIND(" ",A919)+1, 100))</f>
        <v>1</v>
      </c>
      <c r="E919" s="6">
        <f>SUMIFS('Raw Data Sales'!M919:M1917, 'Raw Data Sales'!H919:H1917, LEFT(A919, FIND(" ",A919)-1), 'Raw Data Sales'!I919:I1917, MID(A919, FIND(" ",A919)+1, 100))</f>
        <v>65</v>
      </c>
      <c r="F919" s="6">
        <f>SUMIFS('Raw Data Sales'!N919:N1917, 'Raw Data Sales'!H919:H1917, LEFT(A919, FIND(" ",A919)-1), 'Raw Data Sales'!I919:I1917, MID(A919, FIND(" ",A919)+1, 100))</f>
        <v>9798.62</v>
      </c>
    </row>
    <row r="920">
      <c r="A920" s="6" t="str">
        <f>IFERROR(__xludf.DUMMYFUNCTION("UNIQUE('Raw Data Sales'!H920:H1918 &amp; "" "" &amp; 'Raw Data Sales'!I920:I1918)"),"Den MacPhaden")</f>
        <v>Den MacPhaden</v>
      </c>
      <c r="B920" s="6" t="str">
        <f>IFERROR(__xludf.DUMMYFUNCTION("""COMPUTED_VALUE"""),"dmacphadenpi@purevolume.com")</f>
        <v>dmacphadenpi@purevolume.com</v>
      </c>
      <c r="C920" s="6" t="str">
        <f>IFERROR(__xludf.DUMMYFUNCTION("""COMPUTED_VALUE"""),"Serbia")</f>
        <v>Serbia</v>
      </c>
      <c r="D920" s="6">
        <f>COUNTIFS('Raw Data Sales'!H920:H1918, LEFT(A920, FIND(" ",A920)-1), 'Raw Data Sales'!I920:I1918, MID(A920, FIND(" ",A920)+1, 100))</f>
        <v>1</v>
      </c>
      <c r="E920" s="6">
        <f>SUMIFS('Raw Data Sales'!M920:M1918, 'Raw Data Sales'!H920:H1918, LEFT(A920, FIND(" ",A920)-1), 'Raw Data Sales'!I920:I1918, MID(A920, FIND(" ",A920)+1, 100))</f>
        <v>91</v>
      </c>
      <c r="F920" s="6">
        <f>SUMIFS('Raw Data Sales'!N920:N1918, 'Raw Data Sales'!H920:H1918, LEFT(A920, FIND(" ",A920)-1), 'Raw Data Sales'!I920:I1918, MID(A920, FIND(" ",A920)+1, 100))</f>
        <v>6607.66</v>
      </c>
    </row>
    <row r="921">
      <c r="A921" s="6" t="str">
        <f>IFERROR(__xludf.DUMMYFUNCTION("UNIQUE('Raw Data Sales'!H921:H1919 &amp; "" "" &amp; 'Raw Data Sales'!I921:I1919)"),"Nan Sidry")</f>
        <v>Nan Sidry</v>
      </c>
      <c r="B921" s="6" t="str">
        <f>IFERROR(__xludf.DUMMYFUNCTION("""COMPUTED_VALUE"""),"nsidrypj@icio.us")</f>
        <v>nsidrypj@icio.us</v>
      </c>
      <c r="C921" s="6" t="str">
        <f>IFERROR(__xludf.DUMMYFUNCTION("""COMPUTED_VALUE"""),"Vietnam")</f>
        <v>Vietnam</v>
      </c>
      <c r="D921" s="6">
        <f>COUNTIFS('Raw Data Sales'!H921:H1919, LEFT(A921, FIND(" ",A921)-1), 'Raw Data Sales'!I921:I1919, MID(A921, FIND(" ",A921)+1, 100))</f>
        <v>1</v>
      </c>
      <c r="E921" s="6">
        <f>SUMIFS('Raw Data Sales'!M921:M1919, 'Raw Data Sales'!H921:H1919, LEFT(A921, FIND(" ",A921)-1), 'Raw Data Sales'!I921:I1919, MID(A921, FIND(" ",A921)+1, 100))</f>
        <v>95</v>
      </c>
      <c r="F921" s="6">
        <f>SUMIFS('Raw Data Sales'!N921:N1919, 'Raw Data Sales'!H921:H1919, LEFT(A921, FIND(" ",A921)-1), 'Raw Data Sales'!I921:I1919, MID(A921, FIND(" ",A921)+1, 100))</f>
        <v>6999.77</v>
      </c>
    </row>
    <row r="922">
      <c r="A922" s="6" t="str">
        <f>IFERROR(__xludf.DUMMYFUNCTION("UNIQUE('Raw Data Sales'!H922:H1920 &amp; "" "" &amp; 'Raw Data Sales'!I922:I1920)"),"Myrle Dunan")</f>
        <v>Myrle Dunan</v>
      </c>
      <c r="B922" s="6" t="str">
        <f>IFERROR(__xludf.DUMMYFUNCTION("""COMPUTED_VALUE"""),"mdunanpk@pcworld.com")</f>
        <v>mdunanpk@pcworld.com</v>
      </c>
      <c r="C922" s="6" t="str">
        <f>IFERROR(__xludf.DUMMYFUNCTION("""COMPUTED_VALUE"""),"Brazil")</f>
        <v>Brazil</v>
      </c>
      <c r="D922" s="6">
        <f>COUNTIFS('Raw Data Sales'!H922:H1920, LEFT(A922, FIND(" ",A922)-1), 'Raw Data Sales'!I922:I1920, MID(A922, FIND(" ",A922)+1, 100))</f>
        <v>1</v>
      </c>
      <c r="E922" s="6">
        <f>SUMIFS('Raw Data Sales'!M922:M1920, 'Raw Data Sales'!H922:H1920, LEFT(A922, FIND(" ",A922)-1), 'Raw Data Sales'!I922:I1920, MID(A922, FIND(" ",A922)+1, 100))</f>
        <v>41</v>
      </c>
      <c r="F922" s="6">
        <f>SUMIFS('Raw Data Sales'!N922:N1920, 'Raw Data Sales'!H922:H1920, LEFT(A922, FIND(" ",A922)-1), 'Raw Data Sales'!I922:I1920, MID(A922, FIND(" ",A922)+1, 100))</f>
        <v>133.96</v>
      </c>
    </row>
    <row r="923">
      <c r="A923" s="6" t="str">
        <f>IFERROR(__xludf.DUMMYFUNCTION("UNIQUE('Raw Data Sales'!H923:H1921 &amp; "" "" &amp; 'Raw Data Sales'!I923:I1921)"),"Mendie Medway")</f>
        <v>Mendie Medway</v>
      </c>
      <c r="B923" s="6" t="str">
        <f>IFERROR(__xludf.DUMMYFUNCTION("""COMPUTED_VALUE"""),"mmedwaypl@angelfire.com")</f>
        <v>mmedwaypl@angelfire.com</v>
      </c>
      <c r="C923" s="6" t="str">
        <f>IFERROR(__xludf.DUMMYFUNCTION("""COMPUTED_VALUE"""),"Bulgaria")</f>
        <v>Bulgaria</v>
      </c>
      <c r="D923" s="6">
        <f>COUNTIFS('Raw Data Sales'!H923:H1921, LEFT(A923, FIND(" ",A923)-1), 'Raw Data Sales'!I923:I1921, MID(A923, FIND(" ",A923)+1, 100))</f>
        <v>1</v>
      </c>
      <c r="E923" s="6">
        <f>SUMIFS('Raw Data Sales'!M923:M1921, 'Raw Data Sales'!H923:H1921, LEFT(A923, FIND(" ",A923)-1), 'Raw Data Sales'!I923:I1921, MID(A923, FIND(" ",A923)+1, 100))</f>
        <v>64</v>
      </c>
      <c r="F923" s="6">
        <f>SUMIFS('Raw Data Sales'!N923:N1921, 'Raw Data Sales'!H923:H1921, LEFT(A923, FIND(" ",A923)-1), 'Raw Data Sales'!I923:I1921, MID(A923, FIND(" ",A923)+1, 100))</f>
        <v>4926.75</v>
      </c>
    </row>
    <row r="924">
      <c r="A924" s="6" t="str">
        <f>IFERROR(__xludf.DUMMYFUNCTION("UNIQUE('Raw Data Sales'!H924:H1922 &amp; "" "" &amp; 'Raw Data Sales'!I924:I1922)"),"Daron Biesinger")</f>
        <v>Daron Biesinger</v>
      </c>
      <c r="B924" s="6" t="str">
        <f>IFERROR(__xludf.DUMMYFUNCTION("""COMPUTED_VALUE"""),"dbiesingerpm@hc360.com")</f>
        <v>dbiesingerpm@hc360.com</v>
      </c>
      <c r="C924" s="6" t="str">
        <f>IFERROR(__xludf.DUMMYFUNCTION("""COMPUTED_VALUE"""),"Peru")</f>
        <v>Peru</v>
      </c>
      <c r="D924" s="6">
        <f>COUNTIFS('Raw Data Sales'!H924:H1922, LEFT(A924, FIND(" ",A924)-1), 'Raw Data Sales'!I924:I1922, MID(A924, FIND(" ",A924)+1, 100))</f>
        <v>1</v>
      </c>
      <c r="E924" s="6">
        <f>SUMIFS('Raw Data Sales'!M924:M1922, 'Raw Data Sales'!H924:H1922, LEFT(A924, FIND(" ",A924)-1), 'Raw Data Sales'!I924:I1922, MID(A924, FIND(" ",A924)+1, 100))</f>
        <v>52</v>
      </c>
      <c r="F924" s="6">
        <f>SUMIFS('Raw Data Sales'!N924:N1922, 'Raw Data Sales'!H924:H1922, LEFT(A924, FIND(" ",A924)-1), 'Raw Data Sales'!I924:I1922, MID(A924, FIND(" ",A924)+1, 100))</f>
        <v>7261.55</v>
      </c>
    </row>
    <row r="925">
      <c r="A925" s="6" t="str">
        <f>IFERROR(__xludf.DUMMYFUNCTION("UNIQUE('Raw Data Sales'!H925:H1923 &amp; "" "" &amp; 'Raw Data Sales'!I925:I1923)"),"Dolley Keeton")</f>
        <v>Dolley Keeton</v>
      </c>
      <c r="B925" s="6" t="str">
        <f>IFERROR(__xludf.DUMMYFUNCTION("""COMPUTED_VALUE"""),"dkeetonpn@techcrunch.com")</f>
        <v>dkeetonpn@techcrunch.com</v>
      </c>
      <c r="C925" s="6" t="str">
        <f>IFERROR(__xludf.DUMMYFUNCTION("""COMPUTED_VALUE"""),"Thailand")</f>
        <v>Thailand</v>
      </c>
      <c r="D925" s="6">
        <f>COUNTIFS('Raw Data Sales'!H925:H1923, LEFT(A925, FIND(" ",A925)-1), 'Raw Data Sales'!I925:I1923, MID(A925, FIND(" ",A925)+1, 100))</f>
        <v>1</v>
      </c>
      <c r="E925" s="6">
        <f>SUMIFS('Raw Data Sales'!M925:M1923, 'Raw Data Sales'!H925:H1923, LEFT(A925, FIND(" ",A925)-1), 'Raw Data Sales'!I925:I1923, MID(A925, FIND(" ",A925)+1, 100))</f>
        <v>44</v>
      </c>
      <c r="F925" s="6">
        <f>SUMIFS('Raw Data Sales'!N925:N1923, 'Raw Data Sales'!H925:H1923, LEFT(A925, FIND(" ",A925)-1), 'Raw Data Sales'!I925:I1923, MID(A925, FIND(" ",A925)+1, 100))</f>
        <v>8749.74</v>
      </c>
    </row>
    <row r="926">
      <c r="A926" s="6" t="str">
        <f>IFERROR(__xludf.DUMMYFUNCTION("UNIQUE('Raw Data Sales'!H926:H1924 &amp; "" "" &amp; 'Raw Data Sales'!I926:I1924)"),"Morris Cridlin")</f>
        <v>Morris Cridlin</v>
      </c>
      <c r="B926" s="6" t="str">
        <f>IFERROR(__xludf.DUMMYFUNCTION("""COMPUTED_VALUE"""),"mcridlinpo@fotki.com")</f>
        <v>mcridlinpo@fotki.com</v>
      </c>
      <c r="C926" s="6" t="str">
        <f>IFERROR(__xludf.DUMMYFUNCTION("""COMPUTED_VALUE"""),"Thailand")</f>
        <v>Thailand</v>
      </c>
      <c r="D926" s="6">
        <f>COUNTIFS('Raw Data Sales'!H926:H1924, LEFT(A926, FIND(" ",A926)-1), 'Raw Data Sales'!I926:I1924, MID(A926, FIND(" ",A926)+1, 100))</f>
        <v>1</v>
      </c>
      <c r="E926" s="6">
        <f>SUMIFS('Raw Data Sales'!M926:M1924, 'Raw Data Sales'!H926:H1924, LEFT(A926, FIND(" ",A926)-1), 'Raw Data Sales'!I926:I1924, MID(A926, FIND(" ",A926)+1, 100))</f>
        <v>17</v>
      </c>
      <c r="F926" s="6">
        <f>SUMIFS('Raw Data Sales'!N926:N1924, 'Raw Data Sales'!H926:H1924, LEFT(A926, FIND(" ",A926)-1), 'Raw Data Sales'!I926:I1924, MID(A926, FIND(" ",A926)+1, 100))</f>
        <v>6742.21</v>
      </c>
    </row>
    <row r="927">
      <c r="A927" s="6" t="str">
        <f>IFERROR(__xludf.DUMMYFUNCTION("UNIQUE('Raw Data Sales'!H927:H1925 &amp; "" "" &amp; 'Raw Data Sales'!I927:I1925)"),"Cyrille Easton")</f>
        <v>Cyrille Easton</v>
      </c>
      <c r="B927" s="6" t="str">
        <f>IFERROR(__xludf.DUMMYFUNCTION("""COMPUTED_VALUE"""),"ceastonpp@discuz.net")</f>
        <v>ceastonpp@discuz.net</v>
      </c>
      <c r="C927" s="6" t="str">
        <f>IFERROR(__xludf.DUMMYFUNCTION("""COMPUTED_VALUE"""),"Peru")</f>
        <v>Peru</v>
      </c>
      <c r="D927" s="6">
        <f>COUNTIFS('Raw Data Sales'!H927:H1925, LEFT(A927, FIND(" ",A927)-1), 'Raw Data Sales'!I927:I1925, MID(A927, FIND(" ",A927)+1, 100))</f>
        <v>1</v>
      </c>
      <c r="E927" s="6">
        <f>SUMIFS('Raw Data Sales'!M927:M1925, 'Raw Data Sales'!H927:H1925, LEFT(A927, FIND(" ",A927)-1), 'Raw Data Sales'!I927:I1925, MID(A927, FIND(" ",A927)+1, 100))</f>
        <v>68</v>
      </c>
      <c r="F927" s="6">
        <f>SUMIFS('Raw Data Sales'!N927:N1925, 'Raw Data Sales'!H927:H1925, LEFT(A927, FIND(" ",A927)-1), 'Raw Data Sales'!I927:I1925, MID(A927, FIND(" ",A927)+1, 100))</f>
        <v>6921.43</v>
      </c>
    </row>
    <row r="928">
      <c r="A928" s="6" t="str">
        <f>IFERROR(__xludf.DUMMYFUNCTION("UNIQUE('Raw Data Sales'!H928:H1926 &amp; "" "" &amp; 'Raw Data Sales'!I928:I1926)"),"Tedman Farens")</f>
        <v>Tedman Farens</v>
      </c>
      <c r="B928" s="6" t="str">
        <f>IFERROR(__xludf.DUMMYFUNCTION("""COMPUTED_VALUE"""),"tfarenspq@msn.com")</f>
        <v>tfarenspq@msn.com</v>
      </c>
      <c r="C928" s="6" t="str">
        <f>IFERROR(__xludf.DUMMYFUNCTION("""COMPUTED_VALUE"""),"China")</f>
        <v>China</v>
      </c>
      <c r="D928" s="6">
        <f>COUNTIFS('Raw Data Sales'!H928:H1926, LEFT(A928, FIND(" ",A928)-1), 'Raw Data Sales'!I928:I1926, MID(A928, FIND(" ",A928)+1, 100))</f>
        <v>1</v>
      </c>
      <c r="E928" s="6">
        <f>SUMIFS('Raw Data Sales'!M928:M1926, 'Raw Data Sales'!H928:H1926, LEFT(A928, FIND(" ",A928)-1), 'Raw Data Sales'!I928:I1926, MID(A928, FIND(" ",A928)+1, 100))</f>
        <v>21</v>
      </c>
      <c r="F928" s="6">
        <f>SUMIFS('Raw Data Sales'!N928:N1926, 'Raw Data Sales'!H928:H1926, LEFT(A928, FIND(" ",A928)-1), 'Raw Data Sales'!I928:I1926, MID(A928, FIND(" ",A928)+1, 100))</f>
        <v>925.79</v>
      </c>
    </row>
    <row r="929">
      <c r="A929" s="6" t="str">
        <f>IFERROR(__xludf.DUMMYFUNCTION("UNIQUE('Raw Data Sales'!H929:H1927 &amp; "" "" &amp; 'Raw Data Sales'!I929:I1927)"),"Noel Lindeboom")</f>
        <v>Noel Lindeboom</v>
      </c>
      <c r="B929" s="6" t="str">
        <f>IFERROR(__xludf.DUMMYFUNCTION("""COMPUTED_VALUE"""),"nlindeboompr@fotki.com")</f>
        <v>nlindeboompr@fotki.com</v>
      </c>
      <c r="C929" s="6" t="str">
        <f>IFERROR(__xludf.DUMMYFUNCTION("""COMPUTED_VALUE"""),"Tunisia")</f>
        <v>Tunisia</v>
      </c>
      <c r="D929" s="6">
        <f>COUNTIFS('Raw Data Sales'!H929:H1927, LEFT(A929, FIND(" ",A929)-1), 'Raw Data Sales'!I929:I1927, MID(A929, FIND(" ",A929)+1, 100))</f>
        <v>1</v>
      </c>
      <c r="E929" s="6">
        <f>SUMIFS('Raw Data Sales'!M929:M1927, 'Raw Data Sales'!H929:H1927, LEFT(A929, FIND(" ",A929)-1), 'Raw Data Sales'!I929:I1927, MID(A929, FIND(" ",A929)+1, 100))</f>
        <v>98</v>
      </c>
      <c r="F929" s="6">
        <f>SUMIFS('Raw Data Sales'!N929:N1927, 'Raw Data Sales'!H929:H1927, LEFT(A929, FIND(" ",A929)-1), 'Raw Data Sales'!I929:I1927, MID(A929, FIND(" ",A929)+1, 100))</f>
        <v>3109.25</v>
      </c>
    </row>
    <row r="930">
      <c r="A930" s="6" t="str">
        <f>IFERROR(__xludf.DUMMYFUNCTION("UNIQUE('Raw Data Sales'!H930:H1928 &amp; "" "" &amp; 'Raw Data Sales'!I930:I1928)"),"Edmund Forster")</f>
        <v>Edmund Forster</v>
      </c>
      <c r="B930" s="6" t="str">
        <f>IFERROR(__xludf.DUMMYFUNCTION("""COMPUTED_VALUE"""),"eforsterps@yale.edu")</f>
        <v>eforsterps@yale.edu</v>
      </c>
      <c r="C930" s="6" t="str">
        <f>IFERROR(__xludf.DUMMYFUNCTION("""COMPUTED_VALUE"""),"China")</f>
        <v>China</v>
      </c>
      <c r="D930" s="6">
        <f>COUNTIFS('Raw Data Sales'!H930:H1928, LEFT(A930, FIND(" ",A930)-1), 'Raw Data Sales'!I930:I1928, MID(A930, FIND(" ",A930)+1, 100))</f>
        <v>1</v>
      </c>
      <c r="E930" s="6">
        <f>SUMIFS('Raw Data Sales'!M930:M1928, 'Raw Data Sales'!H930:H1928, LEFT(A930, FIND(" ",A930)-1), 'Raw Data Sales'!I930:I1928, MID(A930, FIND(" ",A930)+1, 100))</f>
        <v>87</v>
      </c>
      <c r="F930" s="6">
        <f>SUMIFS('Raw Data Sales'!N930:N1928, 'Raw Data Sales'!H930:H1928, LEFT(A930, FIND(" ",A930)-1), 'Raw Data Sales'!I930:I1928, MID(A930, FIND(" ",A930)+1, 100))</f>
        <v>7057.84</v>
      </c>
    </row>
    <row r="931">
      <c r="A931" s="6" t="str">
        <f>IFERROR(__xludf.DUMMYFUNCTION("UNIQUE('Raw Data Sales'!H931:H1929 &amp; "" "" &amp; 'Raw Data Sales'!I931:I1929)"),"Lesli Brandrick")</f>
        <v>Lesli Brandrick</v>
      </c>
      <c r="B931" s="6" t="str">
        <f>IFERROR(__xludf.DUMMYFUNCTION("""COMPUTED_VALUE"""),"lbrandrickpt@discovery.com")</f>
        <v>lbrandrickpt@discovery.com</v>
      </c>
      <c r="C931" s="6" t="str">
        <f>IFERROR(__xludf.DUMMYFUNCTION("""COMPUTED_VALUE"""),"Swaziland")</f>
        <v>Swaziland</v>
      </c>
      <c r="D931" s="6">
        <f>COUNTIFS('Raw Data Sales'!H931:H1929, LEFT(A931, FIND(" ",A931)-1), 'Raw Data Sales'!I931:I1929, MID(A931, FIND(" ",A931)+1, 100))</f>
        <v>1</v>
      </c>
      <c r="E931" s="6">
        <f>SUMIFS('Raw Data Sales'!M931:M1929, 'Raw Data Sales'!H931:H1929, LEFT(A931, FIND(" ",A931)-1), 'Raw Data Sales'!I931:I1929, MID(A931, FIND(" ",A931)+1, 100))</f>
        <v>89</v>
      </c>
      <c r="F931" s="6">
        <f>SUMIFS('Raw Data Sales'!N931:N1929, 'Raw Data Sales'!H931:H1929, LEFT(A931, FIND(" ",A931)-1), 'Raw Data Sales'!I931:I1929, MID(A931, FIND(" ",A931)+1, 100))</f>
        <v>5032.62</v>
      </c>
    </row>
    <row r="932">
      <c r="A932" s="6" t="str">
        <f>IFERROR(__xludf.DUMMYFUNCTION("UNIQUE('Raw Data Sales'!H932:H1930 &amp; "" "" &amp; 'Raw Data Sales'!I932:I1930)"),"Zelda Stears")</f>
        <v>Zelda Stears</v>
      </c>
      <c r="B932" s="6" t="str">
        <f>IFERROR(__xludf.DUMMYFUNCTION("""COMPUTED_VALUE"""),"zstearspu@altervista.org")</f>
        <v>zstearspu@altervista.org</v>
      </c>
      <c r="C932" s="6" t="str">
        <f>IFERROR(__xludf.DUMMYFUNCTION("""COMPUTED_VALUE"""),"Greece")</f>
        <v>Greece</v>
      </c>
      <c r="D932" s="6">
        <f>COUNTIFS('Raw Data Sales'!H932:H1930, LEFT(A932, FIND(" ",A932)-1), 'Raw Data Sales'!I932:I1930, MID(A932, FIND(" ",A932)+1, 100))</f>
        <v>1</v>
      </c>
      <c r="E932" s="6">
        <f>SUMIFS('Raw Data Sales'!M932:M1930, 'Raw Data Sales'!H932:H1930, LEFT(A932, FIND(" ",A932)-1), 'Raw Data Sales'!I932:I1930, MID(A932, FIND(" ",A932)+1, 100))</f>
        <v>47</v>
      </c>
      <c r="F932" s="6">
        <f>SUMIFS('Raw Data Sales'!N932:N1930, 'Raw Data Sales'!H932:H1930, LEFT(A932, FIND(" ",A932)-1), 'Raw Data Sales'!I932:I1930, MID(A932, FIND(" ",A932)+1, 100))</f>
        <v>1694.36</v>
      </c>
    </row>
    <row r="933">
      <c r="A933" s="6" t="str">
        <f>IFERROR(__xludf.DUMMYFUNCTION("UNIQUE('Raw Data Sales'!H933:H1931 &amp; "" "" &amp; 'Raw Data Sales'!I933:I1931)"),"Paulina Hartington")</f>
        <v>Paulina Hartington</v>
      </c>
      <c r="B933" s="6" t="str">
        <f>IFERROR(__xludf.DUMMYFUNCTION("""COMPUTED_VALUE"""),"phartingtonpv@sakura.ne.jp")</f>
        <v>phartingtonpv@sakura.ne.jp</v>
      </c>
      <c r="C933" s="6" t="str">
        <f>IFERROR(__xludf.DUMMYFUNCTION("""COMPUTED_VALUE"""),"Poland")</f>
        <v>Poland</v>
      </c>
      <c r="D933" s="6">
        <f>COUNTIFS('Raw Data Sales'!H933:H1931, LEFT(A933, FIND(" ",A933)-1), 'Raw Data Sales'!I933:I1931, MID(A933, FIND(" ",A933)+1, 100))</f>
        <v>1</v>
      </c>
      <c r="E933" s="6">
        <f>SUMIFS('Raw Data Sales'!M933:M1931, 'Raw Data Sales'!H933:H1931, LEFT(A933, FIND(" ",A933)-1), 'Raw Data Sales'!I933:I1931, MID(A933, FIND(" ",A933)+1, 100))</f>
        <v>53</v>
      </c>
      <c r="F933" s="6">
        <f>SUMIFS('Raw Data Sales'!N933:N1931, 'Raw Data Sales'!H933:H1931, LEFT(A933, FIND(" ",A933)-1), 'Raw Data Sales'!I933:I1931, MID(A933, FIND(" ",A933)+1, 100))</f>
        <v>1917.23</v>
      </c>
    </row>
    <row r="934">
      <c r="A934" s="6" t="str">
        <f>IFERROR(__xludf.DUMMYFUNCTION("UNIQUE('Raw Data Sales'!H934:H1932 &amp; "" "" &amp; 'Raw Data Sales'!I934:I1932)"),"Nicholle Vanin")</f>
        <v>Nicholle Vanin</v>
      </c>
      <c r="B934" s="6" t="str">
        <f>IFERROR(__xludf.DUMMYFUNCTION("""COMPUTED_VALUE"""),"nvaninpw@aboutads.info")</f>
        <v>nvaninpw@aboutads.info</v>
      </c>
      <c r="C934" s="6" t="str">
        <f>IFERROR(__xludf.DUMMYFUNCTION("""COMPUTED_VALUE"""),"Honduras")</f>
        <v>Honduras</v>
      </c>
      <c r="D934" s="6">
        <f>COUNTIFS('Raw Data Sales'!H934:H1932, LEFT(A934, FIND(" ",A934)-1), 'Raw Data Sales'!I934:I1932, MID(A934, FIND(" ",A934)+1, 100))</f>
        <v>1</v>
      </c>
      <c r="E934" s="6">
        <f>SUMIFS('Raw Data Sales'!M934:M1932, 'Raw Data Sales'!H934:H1932, LEFT(A934, FIND(" ",A934)-1), 'Raw Data Sales'!I934:I1932, MID(A934, FIND(" ",A934)+1, 100))</f>
        <v>1</v>
      </c>
      <c r="F934" s="6">
        <f>SUMIFS('Raw Data Sales'!N934:N1932, 'Raw Data Sales'!H934:H1932, LEFT(A934, FIND(" ",A934)-1), 'Raw Data Sales'!I934:I1932, MID(A934, FIND(" ",A934)+1, 100))</f>
        <v>4880.1</v>
      </c>
    </row>
    <row r="935">
      <c r="A935" s="6" t="str">
        <f>IFERROR(__xludf.DUMMYFUNCTION("UNIQUE('Raw Data Sales'!H935:H1933 &amp; "" "" &amp; 'Raw Data Sales'!I935:I1933)"),"Skip Maylin")</f>
        <v>Skip Maylin</v>
      </c>
      <c r="B935" s="6" t="str">
        <f>IFERROR(__xludf.DUMMYFUNCTION("""COMPUTED_VALUE"""),"smaylinpx@loc.gov")</f>
        <v>smaylinpx@loc.gov</v>
      </c>
      <c r="C935" s="6" t="str">
        <f>IFERROR(__xludf.DUMMYFUNCTION("""COMPUTED_VALUE"""),"Indonesia")</f>
        <v>Indonesia</v>
      </c>
      <c r="D935" s="6">
        <f>COUNTIFS('Raw Data Sales'!H935:H1933, LEFT(A935, FIND(" ",A935)-1), 'Raw Data Sales'!I935:I1933, MID(A935, FIND(" ",A935)+1, 100))</f>
        <v>1</v>
      </c>
      <c r="E935" s="6">
        <f>SUMIFS('Raw Data Sales'!M935:M1933, 'Raw Data Sales'!H935:H1933, LEFT(A935, FIND(" ",A935)-1), 'Raw Data Sales'!I935:I1933, MID(A935, FIND(" ",A935)+1, 100))</f>
        <v>43</v>
      </c>
      <c r="F935" s="6">
        <f>SUMIFS('Raw Data Sales'!N935:N1933, 'Raw Data Sales'!H935:H1933, LEFT(A935, FIND(" ",A935)-1), 'Raw Data Sales'!I935:I1933, MID(A935, FIND(" ",A935)+1, 100))</f>
        <v>5508.78</v>
      </c>
    </row>
    <row r="936">
      <c r="A936" s="6" t="str">
        <f>IFERROR(__xludf.DUMMYFUNCTION("UNIQUE('Raw Data Sales'!H936:H1934 &amp; "" "" &amp; 'Raw Data Sales'!I936:I1934)"),"Trescha Senter")</f>
        <v>Trescha Senter</v>
      </c>
      <c r="B936" s="6" t="str">
        <f>IFERROR(__xludf.DUMMYFUNCTION("""COMPUTED_VALUE"""),"tsenterpy@wufoo.com")</f>
        <v>tsenterpy@wufoo.com</v>
      </c>
      <c r="C936" s="6" t="str">
        <f>IFERROR(__xludf.DUMMYFUNCTION("""COMPUTED_VALUE"""),"Aruba")</f>
        <v>Aruba</v>
      </c>
      <c r="D936" s="6">
        <f>COUNTIFS('Raw Data Sales'!H936:H1934, LEFT(A936, FIND(" ",A936)-1), 'Raw Data Sales'!I936:I1934, MID(A936, FIND(" ",A936)+1, 100))</f>
        <v>1</v>
      </c>
      <c r="E936" s="6">
        <f>SUMIFS('Raw Data Sales'!M936:M1934, 'Raw Data Sales'!H936:H1934, LEFT(A936, FIND(" ",A936)-1), 'Raw Data Sales'!I936:I1934, MID(A936, FIND(" ",A936)+1, 100))</f>
        <v>84</v>
      </c>
      <c r="F936" s="6">
        <f>SUMIFS('Raw Data Sales'!N936:N1934, 'Raw Data Sales'!H936:H1934, LEFT(A936, FIND(" ",A936)-1), 'Raw Data Sales'!I936:I1934, MID(A936, FIND(" ",A936)+1, 100))</f>
        <v>6600.73</v>
      </c>
    </row>
    <row r="937">
      <c r="A937" s="6" t="str">
        <f>IFERROR(__xludf.DUMMYFUNCTION("UNIQUE('Raw Data Sales'!H937:H1935 &amp; "" "" &amp; 'Raw Data Sales'!I937:I1935)"),"Obed Vezey")</f>
        <v>Obed Vezey</v>
      </c>
      <c r="B937" s="6" t="str">
        <f>IFERROR(__xludf.DUMMYFUNCTION("""COMPUTED_VALUE"""),"ovezeypz@reference.com")</f>
        <v>ovezeypz@reference.com</v>
      </c>
      <c r="C937" s="6" t="str">
        <f>IFERROR(__xludf.DUMMYFUNCTION("""COMPUTED_VALUE"""),"Indonesia")</f>
        <v>Indonesia</v>
      </c>
      <c r="D937" s="6">
        <f>COUNTIFS('Raw Data Sales'!H937:H1935, LEFT(A937, FIND(" ",A937)-1), 'Raw Data Sales'!I937:I1935, MID(A937, FIND(" ",A937)+1, 100))</f>
        <v>1</v>
      </c>
      <c r="E937" s="6">
        <f>SUMIFS('Raw Data Sales'!M937:M1935, 'Raw Data Sales'!H937:H1935, LEFT(A937, FIND(" ",A937)-1), 'Raw Data Sales'!I937:I1935, MID(A937, FIND(" ",A937)+1, 100))</f>
        <v>60</v>
      </c>
      <c r="F937" s="6">
        <f>SUMIFS('Raw Data Sales'!N937:N1935, 'Raw Data Sales'!H937:H1935, LEFT(A937, FIND(" ",A937)-1), 'Raw Data Sales'!I937:I1935, MID(A937, FIND(" ",A937)+1, 100))</f>
        <v>3063.86</v>
      </c>
    </row>
    <row r="938">
      <c r="A938" s="6" t="str">
        <f>IFERROR(__xludf.DUMMYFUNCTION("UNIQUE('Raw Data Sales'!H938:H1936 &amp; "" "" &amp; 'Raw Data Sales'!I938:I1936)"),"Ketti Filipychev")</f>
        <v>Ketti Filipychev</v>
      </c>
      <c r="B938" s="6" t="str">
        <f>IFERROR(__xludf.DUMMYFUNCTION("""COMPUTED_VALUE"""),"kfilipychevq0@4shared.com")</f>
        <v>kfilipychevq0@4shared.com</v>
      </c>
      <c r="C938" s="6" t="str">
        <f>IFERROR(__xludf.DUMMYFUNCTION("""COMPUTED_VALUE"""),"Canada")</f>
        <v>Canada</v>
      </c>
      <c r="D938" s="6">
        <f>COUNTIFS('Raw Data Sales'!H938:H1936, LEFT(A938, FIND(" ",A938)-1), 'Raw Data Sales'!I938:I1936, MID(A938, FIND(" ",A938)+1, 100))</f>
        <v>1</v>
      </c>
      <c r="E938" s="6">
        <f>SUMIFS('Raw Data Sales'!M938:M1936, 'Raw Data Sales'!H938:H1936, LEFT(A938, FIND(" ",A938)-1), 'Raw Data Sales'!I938:I1936, MID(A938, FIND(" ",A938)+1, 100))</f>
        <v>91</v>
      </c>
      <c r="F938" s="6">
        <f>SUMIFS('Raw Data Sales'!N938:N1936, 'Raw Data Sales'!H938:H1936, LEFT(A938, FIND(" ",A938)-1), 'Raw Data Sales'!I938:I1936, MID(A938, FIND(" ",A938)+1, 100))</f>
        <v>2.54</v>
      </c>
    </row>
    <row r="939">
      <c r="A939" s="6" t="str">
        <f>IFERROR(__xludf.DUMMYFUNCTION("UNIQUE('Raw Data Sales'!H939:H1937 &amp; "" "" &amp; 'Raw Data Sales'!I939:I1937)"),"Caroljean Bolf")</f>
        <v>Caroljean Bolf</v>
      </c>
      <c r="B939" s="6" t="str">
        <f>IFERROR(__xludf.DUMMYFUNCTION("""COMPUTED_VALUE"""),"cbolfq1@google.com.hk")</f>
        <v>cbolfq1@google.com.hk</v>
      </c>
      <c r="C939" s="6" t="str">
        <f>IFERROR(__xludf.DUMMYFUNCTION("""COMPUTED_VALUE"""),"Bulgaria")</f>
        <v>Bulgaria</v>
      </c>
      <c r="D939" s="6">
        <f>COUNTIFS('Raw Data Sales'!H939:H1937, LEFT(A939, FIND(" ",A939)-1), 'Raw Data Sales'!I939:I1937, MID(A939, FIND(" ",A939)+1, 100))</f>
        <v>1</v>
      </c>
      <c r="E939" s="6">
        <f>SUMIFS('Raw Data Sales'!M939:M1937, 'Raw Data Sales'!H939:H1937, LEFT(A939, FIND(" ",A939)-1), 'Raw Data Sales'!I939:I1937, MID(A939, FIND(" ",A939)+1, 100))</f>
        <v>72</v>
      </c>
      <c r="F939" s="6">
        <f>SUMIFS('Raw Data Sales'!N939:N1937, 'Raw Data Sales'!H939:H1937, LEFT(A939, FIND(" ",A939)-1), 'Raw Data Sales'!I939:I1937, MID(A939, FIND(" ",A939)+1, 100))</f>
        <v>2858.76</v>
      </c>
    </row>
    <row r="940">
      <c r="A940" s="6" t="str">
        <f>IFERROR(__xludf.DUMMYFUNCTION("UNIQUE('Raw Data Sales'!H940:H1938 &amp; "" "" &amp; 'Raw Data Sales'!I940:I1938)"),"Kylie Sawford")</f>
        <v>Kylie Sawford</v>
      </c>
      <c r="B940" s="6" t="str">
        <f>IFERROR(__xludf.DUMMYFUNCTION("""COMPUTED_VALUE"""),"ksawfordq2@hubpages.com")</f>
        <v>ksawfordq2@hubpages.com</v>
      </c>
      <c r="C940" s="6" t="str">
        <f>IFERROR(__xludf.DUMMYFUNCTION("""COMPUTED_VALUE"""),"France")</f>
        <v>France</v>
      </c>
      <c r="D940" s="6">
        <f>COUNTIFS('Raw Data Sales'!H940:H1938, LEFT(A940, FIND(" ",A940)-1), 'Raw Data Sales'!I940:I1938, MID(A940, FIND(" ",A940)+1, 100))</f>
        <v>1</v>
      </c>
      <c r="E940" s="6">
        <f>SUMIFS('Raw Data Sales'!M940:M1938, 'Raw Data Sales'!H940:H1938, LEFT(A940, FIND(" ",A940)-1), 'Raw Data Sales'!I940:I1938, MID(A940, FIND(" ",A940)+1, 100))</f>
        <v>63</v>
      </c>
      <c r="F940" s="6">
        <f>SUMIFS('Raw Data Sales'!N940:N1938, 'Raw Data Sales'!H940:H1938, LEFT(A940, FIND(" ",A940)-1), 'Raw Data Sales'!I940:I1938, MID(A940, FIND(" ",A940)+1, 100))</f>
        <v>4413.53</v>
      </c>
    </row>
    <row r="941">
      <c r="A941" s="6" t="str">
        <f>IFERROR(__xludf.DUMMYFUNCTION("UNIQUE('Raw Data Sales'!H941:H1939 &amp; "" "" &amp; 'Raw Data Sales'!I941:I1939)"),"Karel Dressel")</f>
        <v>Karel Dressel</v>
      </c>
      <c r="B941" s="6" t="str">
        <f>IFERROR(__xludf.DUMMYFUNCTION("""COMPUTED_VALUE"""),"kdresselq3@toplist.cz")</f>
        <v>kdresselq3@toplist.cz</v>
      </c>
      <c r="C941" s="6" t="str">
        <f>IFERROR(__xludf.DUMMYFUNCTION("""COMPUTED_VALUE"""),"Finland")</f>
        <v>Finland</v>
      </c>
      <c r="D941" s="6">
        <f>COUNTIFS('Raw Data Sales'!H941:H1939, LEFT(A941, FIND(" ",A941)-1), 'Raw Data Sales'!I941:I1939, MID(A941, FIND(" ",A941)+1, 100))</f>
        <v>1</v>
      </c>
      <c r="E941" s="6">
        <f>SUMIFS('Raw Data Sales'!M941:M1939, 'Raw Data Sales'!H941:H1939, LEFT(A941, FIND(" ",A941)-1), 'Raw Data Sales'!I941:I1939, MID(A941, FIND(" ",A941)+1, 100))</f>
        <v>94</v>
      </c>
      <c r="F941" s="6">
        <f>SUMIFS('Raw Data Sales'!N941:N1939, 'Raw Data Sales'!H941:H1939, LEFT(A941, FIND(" ",A941)-1), 'Raw Data Sales'!I941:I1939, MID(A941, FIND(" ",A941)+1, 100))</f>
        <v>4810.38</v>
      </c>
    </row>
    <row r="942">
      <c r="A942" s="6" t="str">
        <f>IFERROR(__xludf.DUMMYFUNCTION("UNIQUE('Raw Data Sales'!H942:H1940 &amp; "" "" &amp; 'Raw Data Sales'!I942:I1940)"),"Mommy Ackers")</f>
        <v>Mommy Ackers</v>
      </c>
      <c r="B942" s="6" t="str">
        <f>IFERROR(__xludf.DUMMYFUNCTION("""COMPUTED_VALUE"""),"mackersq4@whitehouse.gov")</f>
        <v>mackersq4@whitehouse.gov</v>
      </c>
      <c r="C942" s="6" t="str">
        <f>IFERROR(__xludf.DUMMYFUNCTION("""COMPUTED_VALUE"""),"Indonesia")</f>
        <v>Indonesia</v>
      </c>
      <c r="D942" s="6">
        <f>COUNTIFS('Raw Data Sales'!H942:H1940, LEFT(A942, FIND(" ",A942)-1), 'Raw Data Sales'!I942:I1940, MID(A942, FIND(" ",A942)+1, 100))</f>
        <v>1</v>
      </c>
      <c r="E942" s="6">
        <f>SUMIFS('Raw Data Sales'!M942:M1940, 'Raw Data Sales'!H942:H1940, LEFT(A942, FIND(" ",A942)-1), 'Raw Data Sales'!I942:I1940, MID(A942, FIND(" ",A942)+1, 100))</f>
        <v>17</v>
      </c>
      <c r="F942" s="6">
        <f>SUMIFS('Raw Data Sales'!N942:N1940, 'Raw Data Sales'!H942:H1940, LEFT(A942, FIND(" ",A942)-1), 'Raw Data Sales'!I942:I1940, MID(A942, FIND(" ",A942)+1, 100))</f>
        <v>9936.42</v>
      </c>
    </row>
    <row r="943">
      <c r="A943" s="6" t="str">
        <f>IFERROR(__xludf.DUMMYFUNCTION("UNIQUE('Raw Data Sales'!H943:H1941 &amp; "" "" &amp; 'Raw Data Sales'!I943:I1941)"),"Calla Durrance")</f>
        <v>Calla Durrance</v>
      </c>
      <c r="B943" s="6" t="str">
        <f>IFERROR(__xludf.DUMMYFUNCTION("""COMPUTED_VALUE"""),"cdurranceq5@patch.com")</f>
        <v>cdurranceq5@patch.com</v>
      </c>
      <c r="C943" s="6" t="str">
        <f>IFERROR(__xludf.DUMMYFUNCTION("""COMPUTED_VALUE"""),"Vietnam")</f>
        <v>Vietnam</v>
      </c>
      <c r="D943" s="6">
        <f>COUNTIFS('Raw Data Sales'!H943:H1941, LEFT(A943, FIND(" ",A943)-1), 'Raw Data Sales'!I943:I1941, MID(A943, FIND(" ",A943)+1, 100))</f>
        <v>1</v>
      </c>
      <c r="E943" s="6">
        <f>SUMIFS('Raw Data Sales'!M943:M1941, 'Raw Data Sales'!H943:H1941, LEFT(A943, FIND(" ",A943)-1), 'Raw Data Sales'!I943:I1941, MID(A943, FIND(" ",A943)+1, 100))</f>
        <v>55</v>
      </c>
      <c r="F943" s="6">
        <f>SUMIFS('Raw Data Sales'!N943:N1941, 'Raw Data Sales'!H943:H1941, LEFT(A943, FIND(" ",A943)-1), 'Raw Data Sales'!I943:I1941, MID(A943, FIND(" ",A943)+1, 100))</f>
        <v>3734.4</v>
      </c>
    </row>
    <row r="944">
      <c r="A944" s="6" t="str">
        <f>IFERROR(__xludf.DUMMYFUNCTION("UNIQUE('Raw Data Sales'!H944:H1942 &amp; "" "" &amp; 'Raw Data Sales'!I944:I1942)"),"Margaretha Mc Grath")</f>
        <v>Margaretha Mc Grath</v>
      </c>
      <c r="B944" s="6" t="str">
        <f>IFERROR(__xludf.DUMMYFUNCTION("""COMPUTED_VALUE"""),"mmcgrathq6@ted.com")</f>
        <v>mmcgrathq6@ted.com</v>
      </c>
      <c r="C944" s="6" t="str">
        <f>IFERROR(__xludf.DUMMYFUNCTION("""COMPUTED_VALUE"""),"Indonesia")</f>
        <v>Indonesia</v>
      </c>
      <c r="D944" s="6">
        <f>COUNTIFS('Raw Data Sales'!H944:H1942, LEFT(A944, FIND(" ",A944)-1), 'Raw Data Sales'!I944:I1942, MID(A944, FIND(" ",A944)+1, 100))</f>
        <v>1</v>
      </c>
      <c r="E944" s="6">
        <f>SUMIFS('Raw Data Sales'!M944:M1942, 'Raw Data Sales'!H944:H1942, LEFT(A944, FIND(" ",A944)-1), 'Raw Data Sales'!I944:I1942, MID(A944, FIND(" ",A944)+1, 100))</f>
        <v>89</v>
      </c>
      <c r="F944" s="6">
        <f>SUMIFS('Raw Data Sales'!N944:N1942, 'Raw Data Sales'!H944:H1942, LEFT(A944, FIND(" ",A944)-1), 'Raw Data Sales'!I944:I1942, MID(A944, FIND(" ",A944)+1, 100))</f>
        <v>5715.14</v>
      </c>
    </row>
    <row r="945">
      <c r="A945" s="6" t="str">
        <f>IFERROR(__xludf.DUMMYFUNCTION("UNIQUE('Raw Data Sales'!H945:H1943 &amp; "" "" &amp; 'Raw Data Sales'!I945:I1943)"),"Teri Sherlaw")</f>
        <v>Teri Sherlaw</v>
      </c>
      <c r="B945" s="6" t="str">
        <f>IFERROR(__xludf.DUMMYFUNCTION("""COMPUTED_VALUE"""),"tsherlawq7@blogs.com")</f>
        <v>tsherlawq7@blogs.com</v>
      </c>
      <c r="C945" s="6" t="str">
        <f>IFERROR(__xludf.DUMMYFUNCTION("""COMPUTED_VALUE"""),"Japan")</f>
        <v>Japan</v>
      </c>
      <c r="D945" s="6">
        <f>COUNTIFS('Raw Data Sales'!H945:H1943, LEFT(A945, FIND(" ",A945)-1), 'Raw Data Sales'!I945:I1943, MID(A945, FIND(" ",A945)+1, 100))</f>
        <v>1</v>
      </c>
      <c r="E945" s="6">
        <f>SUMIFS('Raw Data Sales'!M945:M1943, 'Raw Data Sales'!H945:H1943, LEFT(A945, FIND(" ",A945)-1), 'Raw Data Sales'!I945:I1943, MID(A945, FIND(" ",A945)+1, 100))</f>
        <v>87</v>
      </c>
      <c r="F945" s="6">
        <f>SUMIFS('Raw Data Sales'!N945:N1943, 'Raw Data Sales'!H945:H1943, LEFT(A945, FIND(" ",A945)-1), 'Raw Data Sales'!I945:I1943, MID(A945, FIND(" ",A945)+1, 100))</f>
        <v>1423.7</v>
      </c>
    </row>
    <row r="946">
      <c r="A946" s="6" t="str">
        <f>IFERROR(__xludf.DUMMYFUNCTION("UNIQUE('Raw Data Sales'!H946:H1944 &amp; "" "" &amp; 'Raw Data Sales'!I946:I1944)"),"Kellen Ralph")</f>
        <v>Kellen Ralph</v>
      </c>
      <c r="B946" s="6" t="str">
        <f>IFERROR(__xludf.DUMMYFUNCTION("""COMPUTED_VALUE"""),"kralphq8@about.com")</f>
        <v>kralphq8@about.com</v>
      </c>
      <c r="C946" s="6" t="str">
        <f>IFERROR(__xludf.DUMMYFUNCTION("""COMPUTED_VALUE"""),"Russia")</f>
        <v>Russia</v>
      </c>
      <c r="D946" s="6">
        <f>COUNTIFS('Raw Data Sales'!H946:H1944, LEFT(A946, FIND(" ",A946)-1), 'Raw Data Sales'!I946:I1944, MID(A946, FIND(" ",A946)+1, 100))</f>
        <v>1</v>
      </c>
      <c r="E946" s="6">
        <f>SUMIFS('Raw Data Sales'!M946:M1944, 'Raw Data Sales'!H946:H1944, LEFT(A946, FIND(" ",A946)-1), 'Raw Data Sales'!I946:I1944, MID(A946, FIND(" ",A946)+1, 100))</f>
        <v>28</v>
      </c>
      <c r="F946" s="6">
        <f>SUMIFS('Raw Data Sales'!N946:N1944, 'Raw Data Sales'!H946:H1944, LEFT(A946, FIND(" ",A946)-1), 'Raw Data Sales'!I946:I1944, MID(A946, FIND(" ",A946)+1, 100))</f>
        <v>9915.27</v>
      </c>
    </row>
    <row r="947">
      <c r="A947" s="6" t="str">
        <f>IFERROR(__xludf.DUMMYFUNCTION("UNIQUE('Raw Data Sales'!H947:H1945 &amp; "" "" &amp; 'Raw Data Sales'!I947:I1945)"),"Augustine Carress")</f>
        <v>Augustine Carress</v>
      </c>
      <c r="B947" s="6" t="str">
        <f>IFERROR(__xludf.DUMMYFUNCTION("""COMPUTED_VALUE"""),"acarressq9@upenn.edu")</f>
        <v>acarressq9@upenn.edu</v>
      </c>
      <c r="C947" s="6" t="str">
        <f>IFERROR(__xludf.DUMMYFUNCTION("""COMPUTED_VALUE"""),"Finland")</f>
        <v>Finland</v>
      </c>
      <c r="D947" s="6">
        <f>COUNTIFS('Raw Data Sales'!H947:H1945, LEFT(A947, FIND(" ",A947)-1), 'Raw Data Sales'!I947:I1945, MID(A947, FIND(" ",A947)+1, 100))</f>
        <v>1</v>
      </c>
      <c r="E947" s="6">
        <f>SUMIFS('Raw Data Sales'!M947:M1945, 'Raw Data Sales'!H947:H1945, LEFT(A947, FIND(" ",A947)-1), 'Raw Data Sales'!I947:I1945, MID(A947, FIND(" ",A947)+1, 100))</f>
        <v>36</v>
      </c>
      <c r="F947" s="6">
        <f>SUMIFS('Raw Data Sales'!N947:N1945, 'Raw Data Sales'!H947:H1945, LEFT(A947, FIND(" ",A947)-1), 'Raw Data Sales'!I947:I1945, MID(A947, FIND(" ",A947)+1, 100))</f>
        <v>3097.99</v>
      </c>
    </row>
    <row r="948">
      <c r="A948" s="6" t="str">
        <f>IFERROR(__xludf.DUMMYFUNCTION("UNIQUE('Raw Data Sales'!H948:H1946 &amp; "" "" &amp; 'Raw Data Sales'!I948:I1946)"),"Megan Round")</f>
        <v>Megan Round</v>
      </c>
      <c r="B948" s="6" t="str">
        <f>IFERROR(__xludf.DUMMYFUNCTION("""COMPUTED_VALUE"""),"mroundqa@mail.ru")</f>
        <v>mroundqa@mail.ru</v>
      </c>
      <c r="C948" s="6" t="str">
        <f>IFERROR(__xludf.DUMMYFUNCTION("""COMPUTED_VALUE"""),"China")</f>
        <v>China</v>
      </c>
      <c r="D948" s="6">
        <f>COUNTIFS('Raw Data Sales'!H948:H1946, LEFT(A948, FIND(" ",A948)-1), 'Raw Data Sales'!I948:I1946, MID(A948, FIND(" ",A948)+1, 100))</f>
        <v>1</v>
      </c>
      <c r="E948" s="6">
        <f>SUMIFS('Raw Data Sales'!M948:M1946, 'Raw Data Sales'!H948:H1946, LEFT(A948, FIND(" ",A948)-1), 'Raw Data Sales'!I948:I1946, MID(A948, FIND(" ",A948)+1, 100))</f>
        <v>67</v>
      </c>
      <c r="F948" s="6">
        <f>SUMIFS('Raw Data Sales'!N948:N1946, 'Raw Data Sales'!H948:H1946, LEFT(A948, FIND(" ",A948)-1), 'Raw Data Sales'!I948:I1946, MID(A948, FIND(" ",A948)+1, 100))</f>
        <v>8415.78</v>
      </c>
    </row>
    <row r="949">
      <c r="A949" s="6" t="str">
        <f>IFERROR(__xludf.DUMMYFUNCTION("UNIQUE('Raw Data Sales'!H949:H1947 &amp; "" "" &amp; 'Raw Data Sales'!I949:I1947)"),"Yankee Ickovits")</f>
        <v>Yankee Ickovits</v>
      </c>
      <c r="B949" s="6" t="str">
        <f>IFERROR(__xludf.DUMMYFUNCTION("""COMPUTED_VALUE"""),"yickovitsqb@ebay.co.uk")</f>
        <v>yickovitsqb@ebay.co.uk</v>
      </c>
      <c r="C949" s="6" t="str">
        <f>IFERROR(__xludf.DUMMYFUNCTION("""COMPUTED_VALUE"""),"Thailand")</f>
        <v>Thailand</v>
      </c>
      <c r="D949" s="6">
        <f>COUNTIFS('Raw Data Sales'!H949:H1947, LEFT(A949, FIND(" ",A949)-1), 'Raw Data Sales'!I949:I1947, MID(A949, FIND(" ",A949)+1, 100))</f>
        <v>1</v>
      </c>
      <c r="E949" s="6">
        <f>SUMIFS('Raw Data Sales'!M949:M1947, 'Raw Data Sales'!H949:H1947, LEFT(A949, FIND(" ",A949)-1), 'Raw Data Sales'!I949:I1947, MID(A949, FIND(" ",A949)+1, 100))</f>
        <v>49</v>
      </c>
      <c r="F949" s="6">
        <f>SUMIFS('Raw Data Sales'!N949:N1947, 'Raw Data Sales'!H949:H1947, LEFT(A949, FIND(" ",A949)-1), 'Raw Data Sales'!I949:I1947, MID(A949, FIND(" ",A949)+1, 100))</f>
        <v>1302.74</v>
      </c>
    </row>
    <row r="950">
      <c r="A950" s="6" t="str">
        <f>IFERROR(__xludf.DUMMYFUNCTION("UNIQUE('Raw Data Sales'!H950:H1948 &amp; "" "" &amp; 'Raw Data Sales'!I950:I1948)"),"Frank MacCaughan")</f>
        <v>Frank MacCaughan</v>
      </c>
      <c r="B950" s="6" t="str">
        <f>IFERROR(__xludf.DUMMYFUNCTION("""COMPUTED_VALUE"""),"fmaccaughanqc@huffingtonpost.com")</f>
        <v>fmaccaughanqc@huffingtonpost.com</v>
      </c>
      <c r="C950" s="6" t="str">
        <f>IFERROR(__xludf.DUMMYFUNCTION("""COMPUTED_VALUE"""),"Japan")</f>
        <v>Japan</v>
      </c>
      <c r="D950" s="6">
        <f>COUNTIFS('Raw Data Sales'!H950:H1948, LEFT(A950, FIND(" ",A950)-1), 'Raw Data Sales'!I950:I1948, MID(A950, FIND(" ",A950)+1, 100))</f>
        <v>1</v>
      </c>
      <c r="E950" s="6">
        <f>SUMIFS('Raw Data Sales'!M950:M1948, 'Raw Data Sales'!H950:H1948, LEFT(A950, FIND(" ",A950)-1), 'Raw Data Sales'!I950:I1948, MID(A950, FIND(" ",A950)+1, 100))</f>
        <v>17</v>
      </c>
      <c r="F950" s="6">
        <f>SUMIFS('Raw Data Sales'!N950:N1948, 'Raw Data Sales'!H950:H1948, LEFT(A950, FIND(" ",A950)-1), 'Raw Data Sales'!I950:I1948, MID(A950, FIND(" ",A950)+1, 100))</f>
        <v>6477.98</v>
      </c>
    </row>
    <row r="951">
      <c r="A951" s="6" t="str">
        <f>IFERROR(__xludf.DUMMYFUNCTION("UNIQUE('Raw Data Sales'!H951:H1949 &amp; "" "" &amp; 'Raw Data Sales'!I951:I1949)"),"Noemi Aspinall")</f>
        <v>Noemi Aspinall</v>
      </c>
      <c r="B951" s="6" t="str">
        <f>IFERROR(__xludf.DUMMYFUNCTION("""COMPUTED_VALUE"""),"naspinallqd@freewebs.com")</f>
        <v>naspinallqd@freewebs.com</v>
      </c>
      <c r="C951" s="6" t="str">
        <f>IFERROR(__xludf.DUMMYFUNCTION("""COMPUTED_VALUE"""),"Indonesia")</f>
        <v>Indonesia</v>
      </c>
      <c r="D951" s="6">
        <f>COUNTIFS('Raw Data Sales'!H951:H1949, LEFT(A951, FIND(" ",A951)-1), 'Raw Data Sales'!I951:I1949, MID(A951, FIND(" ",A951)+1, 100))</f>
        <v>1</v>
      </c>
      <c r="E951" s="6">
        <f>SUMIFS('Raw Data Sales'!M951:M1949, 'Raw Data Sales'!H951:H1949, LEFT(A951, FIND(" ",A951)-1), 'Raw Data Sales'!I951:I1949, MID(A951, FIND(" ",A951)+1, 100))</f>
        <v>73</v>
      </c>
      <c r="F951" s="6">
        <f>SUMIFS('Raw Data Sales'!N951:N1949, 'Raw Data Sales'!H951:H1949, LEFT(A951, FIND(" ",A951)-1), 'Raw Data Sales'!I951:I1949, MID(A951, FIND(" ",A951)+1, 100))</f>
        <v>9240.67</v>
      </c>
    </row>
    <row r="952">
      <c r="A952" s="6" t="str">
        <f>IFERROR(__xludf.DUMMYFUNCTION("UNIQUE('Raw Data Sales'!H952:H1950 &amp; "" "" &amp; 'Raw Data Sales'!I952:I1950)"),"Madelaine Jirik")</f>
        <v>Madelaine Jirik</v>
      </c>
      <c r="B952" s="6" t="str">
        <f>IFERROR(__xludf.DUMMYFUNCTION("""COMPUTED_VALUE"""),"mjirikqe@chron.com")</f>
        <v>mjirikqe@chron.com</v>
      </c>
      <c r="C952" s="6" t="str">
        <f>IFERROR(__xludf.DUMMYFUNCTION("""COMPUTED_VALUE"""),"Japan")</f>
        <v>Japan</v>
      </c>
      <c r="D952" s="6">
        <f>COUNTIFS('Raw Data Sales'!H952:H1950, LEFT(A952, FIND(" ",A952)-1), 'Raw Data Sales'!I952:I1950, MID(A952, FIND(" ",A952)+1, 100))</f>
        <v>1</v>
      </c>
      <c r="E952" s="6">
        <f>SUMIFS('Raw Data Sales'!M952:M1950, 'Raw Data Sales'!H952:H1950, LEFT(A952, FIND(" ",A952)-1), 'Raw Data Sales'!I952:I1950, MID(A952, FIND(" ",A952)+1, 100))</f>
        <v>58</v>
      </c>
      <c r="F952" s="6">
        <f>SUMIFS('Raw Data Sales'!N952:N1950, 'Raw Data Sales'!H952:H1950, LEFT(A952, FIND(" ",A952)-1), 'Raw Data Sales'!I952:I1950, MID(A952, FIND(" ",A952)+1, 100))</f>
        <v>9769.16</v>
      </c>
    </row>
    <row r="953">
      <c r="A953" s="6" t="str">
        <f>IFERROR(__xludf.DUMMYFUNCTION("UNIQUE('Raw Data Sales'!H953:H1951 &amp; "" "" &amp; 'Raw Data Sales'!I953:I1951)"),"Erek Chaffe")</f>
        <v>Erek Chaffe</v>
      </c>
      <c r="B953" s="6" t="str">
        <f>IFERROR(__xludf.DUMMYFUNCTION("""COMPUTED_VALUE"""),"echaffeqf@sakura.ne.jp")</f>
        <v>echaffeqf@sakura.ne.jp</v>
      </c>
      <c r="C953" s="6" t="str">
        <f>IFERROR(__xludf.DUMMYFUNCTION("""COMPUTED_VALUE"""),"China")</f>
        <v>China</v>
      </c>
      <c r="D953" s="6">
        <f>COUNTIFS('Raw Data Sales'!H953:H1951, LEFT(A953, FIND(" ",A953)-1), 'Raw Data Sales'!I953:I1951, MID(A953, FIND(" ",A953)+1, 100))</f>
        <v>1</v>
      </c>
      <c r="E953" s="6">
        <f>SUMIFS('Raw Data Sales'!M953:M1951, 'Raw Data Sales'!H953:H1951, LEFT(A953, FIND(" ",A953)-1), 'Raw Data Sales'!I953:I1951, MID(A953, FIND(" ",A953)+1, 100))</f>
        <v>6</v>
      </c>
      <c r="F953" s="6">
        <f>SUMIFS('Raw Data Sales'!N953:N1951, 'Raw Data Sales'!H953:H1951, LEFT(A953, FIND(" ",A953)-1), 'Raw Data Sales'!I953:I1951, MID(A953, FIND(" ",A953)+1, 100))</f>
        <v>6360.98</v>
      </c>
    </row>
    <row r="954">
      <c r="A954" s="6" t="str">
        <f>IFERROR(__xludf.DUMMYFUNCTION("UNIQUE('Raw Data Sales'!H954:H1952 &amp; "" "" &amp; 'Raw Data Sales'!I954:I1952)"),"Sergei Bugdall")</f>
        <v>Sergei Bugdall</v>
      </c>
      <c r="B954" s="6" t="str">
        <f>IFERROR(__xludf.DUMMYFUNCTION("""COMPUTED_VALUE"""),"sbugdallqg@state.gov")</f>
        <v>sbugdallqg@state.gov</v>
      </c>
      <c r="C954" s="6" t="str">
        <f>IFERROR(__xludf.DUMMYFUNCTION("""COMPUTED_VALUE"""),"Indonesia")</f>
        <v>Indonesia</v>
      </c>
      <c r="D954" s="6">
        <f>COUNTIFS('Raw Data Sales'!H954:H1952, LEFT(A954, FIND(" ",A954)-1), 'Raw Data Sales'!I954:I1952, MID(A954, FIND(" ",A954)+1, 100))</f>
        <v>1</v>
      </c>
      <c r="E954" s="6">
        <f>SUMIFS('Raw Data Sales'!M954:M1952, 'Raw Data Sales'!H954:H1952, LEFT(A954, FIND(" ",A954)-1), 'Raw Data Sales'!I954:I1952, MID(A954, FIND(" ",A954)+1, 100))</f>
        <v>90</v>
      </c>
      <c r="F954" s="6">
        <f>SUMIFS('Raw Data Sales'!N954:N1952, 'Raw Data Sales'!H954:H1952, LEFT(A954, FIND(" ",A954)-1), 'Raw Data Sales'!I954:I1952, MID(A954, FIND(" ",A954)+1, 100))</f>
        <v>2943.72</v>
      </c>
    </row>
    <row r="955">
      <c r="A955" s="6" t="str">
        <f>IFERROR(__xludf.DUMMYFUNCTION("UNIQUE('Raw Data Sales'!H955:H1953 &amp; "" "" &amp; 'Raw Data Sales'!I955:I1953)"),"Corrie Esseby")</f>
        <v>Corrie Esseby</v>
      </c>
      <c r="B955" s="6" t="str">
        <f>IFERROR(__xludf.DUMMYFUNCTION("""COMPUTED_VALUE"""),"cessebyqh@msu.edu")</f>
        <v>cessebyqh@msu.edu</v>
      </c>
      <c r="C955" s="6" t="str">
        <f>IFERROR(__xludf.DUMMYFUNCTION("""COMPUTED_VALUE"""),"Japan")</f>
        <v>Japan</v>
      </c>
      <c r="D955" s="6">
        <f>COUNTIFS('Raw Data Sales'!H955:H1953, LEFT(A955, FIND(" ",A955)-1), 'Raw Data Sales'!I955:I1953, MID(A955, FIND(" ",A955)+1, 100))</f>
        <v>1</v>
      </c>
      <c r="E955" s="6">
        <f>SUMIFS('Raw Data Sales'!M955:M1953, 'Raw Data Sales'!H955:H1953, LEFT(A955, FIND(" ",A955)-1), 'Raw Data Sales'!I955:I1953, MID(A955, FIND(" ",A955)+1, 100))</f>
        <v>1</v>
      </c>
      <c r="F955" s="6">
        <f>SUMIFS('Raw Data Sales'!N955:N1953, 'Raw Data Sales'!H955:H1953, LEFT(A955, FIND(" ",A955)-1), 'Raw Data Sales'!I955:I1953, MID(A955, FIND(" ",A955)+1, 100))</f>
        <v>8364.45</v>
      </c>
    </row>
    <row r="956">
      <c r="A956" s="6" t="str">
        <f>IFERROR(__xludf.DUMMYFUNCTION("UNIQUE('Raw Data Sales'!H956:H1954 &amp; "" "" &amp; 'Raw Data Sales'!I956:I1954)"),"Judon Sparke")</f>
        <v>Judon Sparke</v>
      </c>
      <c r="B956" s="6" t="str">
        <f>IFERROR(__xludf.DUMMYFUNCTION("""COMPUTED_VALUE"""),"jsparkeqi@list-manage.com")</f>
        <v>jsparkeqi@list-manage.com</v>
      </c>
      <c r="C956" s="6" t="str">
        <f>IFERROR(__xludf.DUMMYFUNCTION("""COMPUTED_VALUE"""),"France")</f>
        <v>France</v>
      </c>
      <c r="D956" s="6">
        <f>COUNTIFS('Raw Data Sales'!H956:H1954, LEFT(A956, FIND(" ",A956)-1), 'Raw Data Sales'!I956:I1954, MID(A956, FIND(" ",A956)+1, 100))</f>
        <v>1</v>
      </c>
      <c r="E956" s="6">
        <f>SUMIFS('Raw Data Sales'!M956:M1954, 'Raw Data Sales'!H956:H1954, LEFT(A956, FIND(" ",A956)-1), 'Raw Data Sales'!I956:I1954, MID(A956, FIND(" ",A956)+1, 100))</f>
        <v>90</v>
      </c>
      <c r="F956" s="6">
        <f>SUMIFS('Raw Data Sales'!N956:N1954, 'Raw Data Sales'!H956:H1954, LEFT(A956, FIND(" ",A956)-1), 'Raw Data Sales'!I956:I1954, MID(A956, FIND(" ",A956)+1, 100))</f>
        <v>2704.87</v>
      </c>
    </row>
    <row r="957">
      <c r="A957" s="6" t="str">
        <f>IFERROR(__xludf.DUMMYFUNCTION("UNIQUE('Raw Data Sales'!H957:H1955 &amp; "" "" &amp; 'Raw Data Sales'!I957:I1955)"),"Katherina Guyet")</f>
        <v>Katherina Guyet</v>
      </c>
      <c r="B957" s="6" t="str">
        <f>IFERROR(__xludf.DUMMYFUNCTION("""COMPUTED_VALUE"""),"kguyetqj@latimes.com")</f>
        <v>kguyetqj@latimes.com</v>
      </c>
      <c r="C957" s="6" t="str">
        <f>IFERROR(__xludf.DUMMYFUNCTION("""COMPUTED_VALUE"""),"Portugal")</f>
        <v>Portugal</v>
      </c>
      <c r="D957" s="6">
        <f>COUNTIFS('Raw Data Sales'!H957:H1955, LEFT(A957, FIND(" ",A957)-1), 'Raw Data Sales'!I957:I1955, MID(A957, FIND(" ",A957)+1, 100))</f>
        <v>1</v>
      </c>
      <c r="E957" s="6">
        <f>SUMIFS('Raw Data Sales'!M957:M1955, 'Raw Data Sales'!H957:H1955, LEFT(A957, FIND(" ",A957)-1), 'Raw Data Sales'!I957:I1955, MID(A957, FIND(" ",A957)+1, 100))</f>
        <v>75</v>
      </c>
      <c r="F957" s="6">
        <f>SUMIFS('Raw Data Sales'!N957:N1955, 'Raw Data Sales'!H957:H1955, LEFT(A957, FIND(" ",A957)-1), 'Raw Data Sales'!I957:I1955, MID(A957, FIND(" ",A957)+1, 100))</f>
        <v>9359.64</v>
      </c>
    </row>
    <row r="958">
      <c r="A958" s="6" t="str">
        <f>IFERROR(__xludf.DUMMYFUNCTION("UNIQUE('Raw Data Sales'!H958:H1956 &amp; "" "" &amp; 'Raw Data Sales'!I958:I1956)"),"Lucien Panner")</f>
        <v>Lucien Panner</v>
      </c>
      <c r="B958" s="6" t="str">
        <f>IFERROR(__xludf.DUMMYFUNCTION("""COMPUTED_VALUE"""),"lpannerqk@who.int")</f>
        <v>lpannerqk@who.int</v>
      </c>
      <c r="C958" s="6" t="str">
        <f>IFERROR(__xludf.DUMMYFUNCTION("""COMPUTED_VALUE"""),"China")</f>
        <v>China</v>
      </c>
      <c r="D958" s="6">
        <f>COUNTIFS('Raw Data Sales'!H958:H1956, LEFT(A958, FIND(" ",A958)-1), 'Raw Data Sales'!I958:I1956, MID(A958, FIND(" ",A958)+1, 100))</f>
        <v>1</v>
      </c>
      <c r="E958" s="6">
        <f>SUMIFS('Raw Data Sales'!M958:M1956, 'Raw Data Sales'!H958:H1956, LEFT(A958, FIND(" ",A958)-1), 'Raw Data Sales'!I958:I1956, MID(A958, FIND(" ",A958)+1, 100))</f>
        <v>68</v>
      </c>
      <c r="F958" s="6">
        <f>SUMIFS('Raw Data Sales'!N958:N1956, 'Raw Data Sales'!H958:H1956, LEFT(A958, FIND(" ",A958)-1), 'Raw Data Sales'!I958:I1956, MID(A958, FIND(" ",A958)+1, 100))</f>
        <v>485.21</v>
      </c>
    </row>
    <row r="959">
      <c r="A959" s="6" t="str">
        <f>IFERROR(__xludf.DUMMYFUNCTION("UNIQUE('Raw Data Sales'!H959:H1957 &amp; "" "" &amp; 'Raw Data Sales'!I959:I1957)"),"Eleni Bromilow")</f>
        <v>Eleni Bromilow</v>
      </c>
      <c r="B959" s="6" t="str">
        <f>IFERROR(__xludf.DUMMYFUNCTION("""COMPUTED_VALUE"""),"ebromilowql@bandcamp.com")</f>
        <v>ebromilowql@bandcamp.com</v>
      </c>
      <c r="C959" s="6" t="str">
        <f>IFERROR(__xludf.DUMMYFUNCTION("""COMPUTED_VALUE"""),"Nigeria")</f>
        <v>Nigeria</v>
      </c>
      <c r="D959" s="6">
        <f>COUNTIFS('Raw Data Sales'!H959:H1957, LEFT(A959, FIND(" ",A959)-1), 'Raw Data Sales'!I959:I1957, MID(A959, FIND(" ",A959)+1, 100))</f>
        <v>1</v>
      </c>
      <c r="E959" s="6">
        <f>SUMIFS('Raw Data Sales'!M959:M1957, 'Raw Data Sales'!H959:H1957, LEFT(A959, FIND(" ",A959)-1), 'Raw Data Sales'!I959:I1957, MID(A959, FIND(" ",A959)+1, 100))</f>
        <v>15</v>
      </c>
      <c r="F959" s="6">
        <f>SUMIFS('Raw Data Sales'!N959:N1957, 'Raw Data Sales'!H959:H1957, LEFT(A959, FIND(" ",A959)-1), 'Raw Data Sales'!I959:I1957, MID(A959, FIND(" ",A959)+1, 100))</f>
        <v>3566.08</v>
      </c>
    </row>
    <row r="960">
      <c r="A960" s="6" t="str">
        <f>IFERROR(__xludf.DUMMYFUNCTION("UNIQUE('Raw Data Sales'!H960:H1958 &amp; "" "" &amp; 'Raw Data Sales'!I960:I1958)"),"Rodd Maulkin")</f>
        <v>Rodd Maulkin</v>
      </c>
      <c r="B960" s="6" t="str">
        <f>IFERROR(__xludf.DUMMYFUNCTION("""COMPUTED_VALUE"""),"rmaulkinqm@tuttocitta.it")</f>
        <v>rmaulkinqm@tuttocitta.it</v>
      </c>
      <c r="C960" s="6" t="str">
        <f>IFERROR(__xludf.DUMMYFUNCTION("""COMPUTED_VALUE"""),"Serbia")</f>
        <v>Serbia</v>
      </c>
      <c r="D960" s="6">
        <f>COUNTIFS('Raw Data Sales'!H960:H1958, LEFT(A960, FIND(" ",A960)-1), 'Raw Data Sales'!I960:I1958, MID(A960, FIND(" ",A960)+1, 100))</f>
        <v>1</v>
      </c>
      <c r="E960" s="6">
        <f>SUMIFS('Raw Data Sales'!M960:M1958, 'Raw Data Sales'!H960:H1958, LEFT(A960, FIND(" ",A960)-1), 'Raw Data Sales'!I960:I1958, MID(A960, FIND(" ",A960)+1, 100))</f>
        <v>83</v>
      </c>
      <c r="F960" s="6">
        <f>SUMIFS('Raw Data Sales'!N960:N1958, 'Raw Data Sales'!H960:H1958, LEFT(A960, FIND(" ",A960)-1), 'Raw Data Sales'!I960:I1958, MID(A960, FIND(" ",A960)+1, 100))</f>
        <v>6340.26</v>
      </c>
    </row>
    <row r="961">
      <c r="A961" s="6" t="str">
        <f>IFERROR(__xludf.DUMMYFUNCTION("UNIQUE('Raw Data Sales'!H961:H1959 &amp; "" "" &amp; 'Raw Data Sales'!I961:I1959)"),"Chelsae Spelwood")</f>
        <v>Chelsae Spelwood</v>
      </c>
      <c r="B961" s="6" t="str">
        <f>IFERROR(__xludf.DUMMYFUNCTION("""COMPUTED_VALUE"""),"cspelwoodqn@exblog.jp")</f>
        <v>cspelwoodqn@exblog.jp</v>
      </c>
      <c r="C961" s="6" t="str">
        <f>IFERROR(__xludf.DUMMYFUNCTION("""COMPUTED_VALUE"""),"France")</f>
        <v>France</v>
      </c>
      <c r="D961" s="6">
        <f>COUNTIFS('Raw Data Sales'!H961:H1959, LEFT(A961, FIND(" ",A961)-1), 'Raw Data Sales'!I961:I1959, MID(A961, FIND(" ",A961)+1, 100))</f>
        <v>1</v>
      </c>
      <c r="E961" s="6">
        <f>SUMIFS('Raw Data Sales'!M961:M1959, 'Raw Data Sales'!H961:H1959, LEFT(A961, FIND(" ",A961)-1), 'Raw Data Sales'!I961:I1959, MID(A961, FIND(" ",A961)+1, 100))</f>
        <v>50</v>
      </c>
      <c r="F961" s="6">
        <f>SUMIFS('Raw Data Sales'!N961:N1959, 'Raw Data Sales'!H961:H1959, LEFT(A961, FIND(" ",A961)-1), 'Raw Data Sales'!I961:I1959, MID(A961, FIND(" ",A961)+1, 100))</f>
        <v>9449.37</v>
      </c>
    </row>
    <row r="962">
      <c r="A962" s="6" t="str">
        <f>IFERROR(__xludf.DUMMYFUNCTION("UNIQUE('Raw Data Sales'!H962:H1960 &amp; "" "" &amp; 'Raw Data Sales'!I962:I1960)"),"Britta Romei")</f>
        <v>Britta Romei</v>
      </c>
      <c r="B962" s="6" t="str">
        <f>IFERROR(__xludf.DUMMYFUNCTION("""COMPUTED_VALUE"""),"bromeiqo@japanpost.jp")</f>
        <v>bromeiqo@japanpost.jp</v>
      </c>
      <c r="C962" s="6" t="str">
        <f>IFERROR(__xludf.DUMMYFUNCTION("""COMPUTED_VALUE"""),"Indonesia")</f>
        <v>Indonesia</v>
      </c>
      <c r="D962" s="6">
        <f>COUNTIFS('Raw Data Sales'!H962:H1960, LEFT(A962, FIND(" ",A962)-1), 'Raw Data Sales'!I962:I1960, MID(A962, FIND(" ",A962)+1, 100))</f>
        <v>1</v>
      </c>
      <c r="E962" s="6">
        <f>SUMIFS('Raw Data Sales'!M962:M1960, 'Raw Data Sales'!H962:H1960, LEFT(A962, FIND(" ",A962)-1), 'Raw Data Sales'!I962:I1960, MID(A962, FIND(" ",A962)+1, 100))</f>
        <v>59</v>
      </c>
      <c r="F962" s="6">
        <f>SUMIFS('Raw Data Sales'!N962:N1960, 'Raw Data Sales'!H962:H1960, LEFT(A962, FIND(" ",A962)-1), 'Raw Data Sales'!I962:I1960, MID(A962, FIND(" ",A962)+1, 100))</f>
        <v>534.19</v>
      </c>
    </row>
    <row r="963">
      <c r="A963" s="6" t="str">
        <f>IFERROR(__xludf.DUMMYFUNCTION("UNIQUE('Raw Data Sales'!H963:H1961 &amp; "" "" &amp; 'Raw Data Sales'!I963:I1961)"),"Tades Mollen")</f>
        <v>Tades Mollen</v>
      </c>
      <c r="B963" s="6" t="str">
        <f>IFERROR(__xludf.DUMMYFUNCTION("""COMPUTED_VALUE"""),"tmollenqp@vistaprint.com")</f>
        <v>tmollenqp@vistaprint.com</v>
      </c>
      <c r="C963" s="6" t="str">
        <f>IFERROR(__xludf.DUMMYFUNCTION("""COMPUTED_VALUE"""),"Indonesia")</f>
        <v>Indonesia</v>
      </c>
      <c r="D963" s="6">
        <f>COUNTIFS('Raw Data Sales'!H963:H1961, LEFT(A963, FIND(" ",A963)-1), 'Raw Data Sales'!I963:I1961, MID(A963, FIND(" ",A963)+1, 100))</f>
        <v>1</v>
      </c>
      <c r="E963" s="6">
        <f>SUMIFS('Raw Data Sales'!M963:M1961, 'Raw Data Sales'!H963:H1961, LEFT(A963, FIND(" ",A963)-1), 'Raw Data Sales'!I963:I1961, MID(A963, FIND(" ",A963)+1, 100))</f>
        <v>78</v>
      </c>
      <c r="F963" s="6">
        <f>SUMIFS('Raw Data Sales'!N963:N1961, 'Raw Data Sales'!H963:H1961, LEFT(A963, FIND(" ",A963)-1), 'Raw Data Sales'!I963:I1961, MID(A963, FIND(" ",A963)+1, 100))</f>
        <v>9048.3</v>
      </c>
    </row>
    <row r="964">
      <c r="A964" s="6" t="str">
        <f>IFERROR(__xludf.DUMMYFUNCTION("UNIQUE('Raw Data Sales'!H964:H1962 &amp; "" "" &amp; 'Raw Data Sales'!I964:I1962)"),"Tracey Adnett")</f>
        <v>Tracey Adnett</v>
      </c>
      <c r="B964" s="6" t="str">
        <f>IFERROR(__xludf.DUMMYFUNCTION("""COMPUTED_VALUE"""),"tadnettqq@bluehost.com")</f>
        <v>tadnettqq@bluehost.com</v>
      </c>
      <c r="C964" s="6" t="str">
        <f>IFERROR(__xludf.DUMMYFUNCTION("""COMPUTED_VALUE"""),"Philippines")</f>
        <v>Philippines</v>
      </c>
      <c r="D964" s="6">
        <f>COUNTIFS('Raw Data Sales'!H964:H1962, LEFT(A964, FIND(" ",A964)-1), 'Raw Data Sales'!I964:I1962, MID(A964, FIND(" ",A964)+1, 100))</f>
        <v>1</v>
      </c>
      <c r="E964" s="6">
        <f>SUMIFS('Raw Data Sales'!M964:M1962, 'Raw Data Sales'!H964:H1962, LEFT(A964, FIND(" ",A964)-1), 'Raw Data Sales'!I964:I1962, MID(A964, FIND(" ",A964)+1, 100))</f>
        <v>38</v>
      </c>
      <c r="F964" s="6">
        <f>SUMIFS('Raw Data Sales'!N964:N1962, 'Raw Data Sales'!H964:H1962, LEFT(A964, FIND(" ",A964)-1), 'Raw Data Sales'!I964:I1962, MID(A964, FIND(" ",A964)+1, 100))</f>
        <v>8352.15</v>
      </c>
    </row>
    <row r="965">
      <c r="A965" s="6" t="str">
        <f>IFERROR(__xludf.DUMMYFUNCTION("UNIQUE('Raw Data Sales'!H965:H1963 &amp; "" "" &amp; 'Raw Data Sales'!I965:I1963)"),"Kearney Truelock")</f>
        <v>Kearney Truelock</v>
      </c>
      <c r="B965" s="6" t="str">
        <f>IFERROR(__xludf.DUMMYFUNCTION("""COMPUTED_VALUE"""),"ktruelockqr@themeforest.net")</f>
        <v>ktruelockqr@themeforest.net</v>
      </c>
      <c r="C965" s="6" t="str">
        <f>IFERROR(__xludf.DUMMYFUNCTION("""COMPUTED_VALUE"""),"Philippines")</f>
        <v>Philippines</v>
      </c>
      <c r="D965" s="6">
        <f>COUNTIFS('Raw Data Sales'!H965:H1963, LEFT(A965, FIND(" ",A965)-1), 'Raw Data Sales'!I965:I1963, MID(A965, FIND(" ",A965)+1, 100))</f>
        <v>1</v>
      </c>
      <c r="E965" s="6">
        <f>SUMIFS('Raw Data Sales'!M965:M1963, 'Raw Data Sales'!H965:H1963, LEFT(A965, FIND(" ",A965)-1), 'Raw Data Sales'!I965:I1963, MID(A965, FIND(" ",A965)+1, 100))</f>
        <v>48</v>
      </c>
      <c r="F965" s="6">
        <f>SUMIFS('Raw Data Sales'!N965:N1963, 'Raw Data Sales'!H965:H1963, LEFT(A965, FIND(" ",A965)-1), 'Raw Data Sales'!I965:I1963, MID(A965, FIND(" ",A965)+1, 100))</f>
        <v>9959.42</v>
      </c>
    </row>
    <row r="966">
      <c r="A966" s="6" t="str">
        <f>IFERROR(__xludf.DUMMYFUNCTION("UNIQUE('Raw Data Sales'!H966:H1964 &amp; "" "" &amp; 'Raw Data Sales'!I966:I1964)"),"Nicko Lapthorne")</f>
        <v>Nicko Lapthorne</v>
      </c>
      <c r="B966" s="6" t="str">
        <f>IFERROR(__xludf.DUMMYFUNCTION("""COMPUTED_VALUE"""),"nlapthorneqs@comsenz.com")</f>
        <v>nlapthorneqs@comsenz.com</v>
      </c>
      <c r="C966" s="6" t="str">
        <f>IFERROR(__xludf.DUMMYFUNCTION("""COMPUTED_VALUE"""),"China")</f>
        <v>China</v>
      </c>
      <c r="D966" s="6">
        <f>COUNTIFS('Raw Data Sales'!H966:H1964, LEFT(A966, FIND(" ",A966)-1), 'Raw Data Sales'!I966:I1964, MID(A966, FIND(" ",A966)+1, 100))</f>
        <v>1</v>
      </c>
      <c r="E966" s="6">
        <f>SUMIFS('Raw Data Sales'!M966:M1964, 'Raw Data Sales'!H966:H1964, LEFT(A966, FIND(" ",A966)-1), 'Raw Data Sales'!I966:I1964, MID(A966, FIND(" ",A966)+1, 100))</f>
        <v>43</v>
      </c>
      <c r="F966" s="6">
        <f>SUMIFS('Raw Data Sales'!N966:N1964, 'Raw Data Sales'!H966:H1964, LEFT(A966, FIND(" ",A966)-1), 'Raw Data Sales'!I966:I1964, MID(A966, FIND(" ",A966)+1, 100))</f>
        <v>8307.35</v>
      </c>
    </row>
    <row r="967">
      <c r="A967" s="6" t="str">
        <f>IFERROR(__xludf.DUMMYFUNCTION("UNIQUE('Raw Data Sales'!H967:H1965 &amp; "" "" &amp; 'Raw Data Sales'!I967:I1965)"),"Oralle Raine")</f>
        <v>Oralle Raine</v>
      </c>
      <c r="B967" s="6" t="str">
        <f>IFERROR(__xludf.DUMMYFUNCTION("""COMPUTED_VALUE"""),"oraineqt@hud.gov")</f>
        <v>oraineqt@hud.gov</v>
      </c>
      <c r="C967" s="6" t="str">
        <f>IFERROR(__xludf.DUMMYFUNCTION("""COMPUTED_VALUE"""),"Philippines")</f>
        <v>Philippines</v>
      </c>
      <c r="D967" s="6">
        <f>COUNTIFS('Raw Data Sales'!H967:H1965, LEFT(A967, FIND(" ",A967)-1), 'Raw Data Sales'!I967:I1965, MID(A967, FIND(" ",A967)+1, 100))</f>
        <v>1</v>
      </c>
      <c r="E967" s="6">
        <f>SUMIFS('Raw Data Sales'!M967:M1965, 'Raw Data Sales'!H967:H1965, LEFT(A967, FIND(" ",A967)-1), 'Raw Data Sales'!I967:I1965, MID(A967, FIND(" ",A967)+1, 100))</f>
        <v>19</v>
      </c>
      <c r="F967" s="6">
        <f>SUMIFS('Raw Data Sales'!N967:N1965, 'Raw Data Sales'!H967:H1965, LEFT(A967, FIND(" ",A967)-1), 'Raw Data Sales'!I967:I1965, MID(A967, FIND(" ",A967)+1, 100))</f>
        <v>1066.11</v>
      </c>
    </row>
    <row r="968">
      <c r="A968" s="6" t="str">
        <f>IFERROR(__xludf.DUMMYFUNCTION("UNIQUE('Raw Data Sales'!H968:H1966 &amp; "" "" &amp; 'Raw Data Sales'!I968:I1966)"),"Janifer Denisyev")</f>
        <v>Janifer Denisyev</v>
      </c>
      <c r="B968" s="6" t="str">
        <f>IFERROR(__xludf.DUMMYFUNCTION("""COMPUTED_VALUE"""),"jdenisyevqu@usgs.gov")</f>
        <v>jdenisyevqu@usgs.gov</v>
      </c>
      <c r="C968" s="6" t="str">
        <f>IFERROR(__xludf.DUMMYFUNCTION("""COMPUTED_VALUE"""),"Colombia")</f>
        <v>Colombia</v>
      </c>
      <c r="D968" s="6">
        <f>COUNTIFS('Raw Data Sales'!H968:H1966, LEFT(A968, FIND(" ",A968)-1), 'Raw Data Sales'!I968:I1966, MID(A968, FIND(" ",A968)+1, 100))</f>
        <v>1</v>
      </c>
      <c r="E968" s="6">
        <f>SUMIFS('Raw Data Sales'!M968:M1966, 'Raw Data Sales'!H968:H1966, LEFT(A968, FIND(" ",A968)-1), 'Raw Data Sales'!I968:I1966, MID(A968, FIND(" ",A968)+1, 100))</f>
        <v>24</v>
      </c>
      <c r="F968" s="6">
        <f>SUMIFS('Raw Data Sales'!N968:N1966, 'Raw Data Sales'!H968:H1966, LEFT(A968, FIND(" ",A968)-1), 'Raw Data Sales'!I968:I1966, MID(A968, FIND(" ",A968)+1, 100))</f>
        <v>8361.13</v>
      </c>
    </row>
    <row r="969">
      <c r="A969" s="6" t="str">
        <f>IFERROR(__xludf.DUMMYFUNCTION("UNIQUE('Raw Data Sales'!H969:H1967 &amp; "" "" &amp; 'Raw Data Sales'!I969:I1967)"),"Adelaide Bert")</f>
        <v>Adelaide Bert</v>
      </c>
      <c r="B969" s="6" t="str">
        <f>IFERROR(__xludf.DUMMYFUNCTION("""COMPUTED_VALUE"""),"abertqv@istockphoto.com")</f>
        <v>abertqv@istockphoto.com</v>
      </c>
      <c r="C969" s="6" t="str">
        <f>IFERROR(__xludf.DUMMYFUNCTION("""COMPUTED_VALUE"""),"Luxembourg")</f>
        <v>Luxembourg</v>
      </c>
      <c r="D969" s="6">
        <f>COUNTIFS('Raw Data Sales'!H969:H1967, LEFT(A969, FIND(" ",A969)-1), 'Raw Data Sales'!I969:I1967, MID(A969, FIND(" ",A969)+1, 100))</f>
        <v>1</v>
      </c>
      <c r="E969" s="6">
        <f>SUMIFS('Raw Data Sales'!M969:M1967, 'Raw Data Sales'!H969:H1967, LEFT(A969, FIND(" ",A969)-1), 'Raw Data Sales'!I969:I1967, MID(A969, FIND(" ",A969)+1, 100))</f>
        <v>87</v>
      </c>
      <c r="F969" s="6">
        <f>SUMIFS('Raw Data Sales'!N969:N1967, 'Raw Data Sales'!H969:H1967, LEFT(A969, FIND(" ",A969)-1), 'Raw Data Sales'!I969:I1967, MID(A969, FIND(" ",A969)+1, 100))</f>
        <v>8270.05</v>
      </c>
    </row>
    <row r="970">
      <c r="A970" s="6" t="str">
        <f>IFERROR(__xludf.DUMMYFUNCTION("UNIQUE('Raw Data Sales'!H970:H1968 &amp; "" "" &amp; 'Raw Data Sales'!I970:I1968)"),"Danette Hairesnape")</f>
        <v>Danette Hairesnape</v>
      </c>
      <c r="B970" s="6" t="str">
        <f>IFERROR(__xludf.DUMMYFUNCTION("""COMPUTED_VALUE"""),"dhairesnapeqw@ebay.com")</f>
        <v>dhairesnapeqw@ebay.com</v>
      </c>
      <c r="C970" s="6" t="str">
        <f>IFERROR(__xludf.DUMMYFUNCTION("""COMPUTED_VALUE"""),"Philippines")</f>
        <v>Philippines</v>
      </c>
      <c r="D970" s="6">
        <f>COUNTIFS('Raw Data Sales'!H970:H1968, LEFT(A970, FIND(" ",A970)-1), 'Raw Data Sales'!I970:I1968, MID(A970, FIND(" ",A970)+1, 100))</f>
        <v>1</v>
      </c>
      <c r="E970" s="6">
        <f>SUMIFS('Raw Data Sales'!M970:M1968, 'Raw Data Sales'!H970:H1968, LEFT(A970, FIND(" ",A970)-1), 'Raw Data Sales'!I970:I1968, MID(A970, FIND(" ",A970)+1, 100))</f>
        <v>89</v>
      </c>
      <c r="F970" s="6">
        <f>SUMIFS('Raw Data Sales'!N970:N1968, 'Raw Data Sales'!H970:H1968, LEFT(A970, FIND(" ",A970)-1), 'Raw Data Sales'!I970:I1968, MID(A970, FIND(" ",A970)+1, 100))</f>
        <v>6807.4</v>
      </c>
    </row>
    <row r="971">
      <c r="A971" s="6" t="str">
        <f>IFERROR(__xludf.DUMMYFUNCTION("UNIQUE('Raw Data Sales'!H971:H1969 &amp; "" "" &amp; 'Raw Data Sales'!I971:I1969)"),"Corrie Orrett")</f>
        <v>Corrie Orrett</v>
      </c>
      <c r="B971" s="6" t="str">
        <f>IFERROR(__xludf.DUMMYFUNCTION("""COMPUTED_VALUE"""),"correttqx@springer.com")</f>
        <v>correttqx@springer.com</v>
      </c>
      <c r="C971" s="6" t="str">
        <f>IFERROR(__xludf.DUMMYFUNCTION("""COMPUTED_VALUE"""),"Ukraine")</f>
        <v>Ukraine</v>
      </c>
      <c r="D971" s="6">
        <f>COUNTIFS('Raw Data Sales'!H971:H1969, LEFT(A971, FIND(" ",A971)-1), 'Raw Data Sales'!I971:I1969, MID(A971, FIND(" ",A971)+1, 100))</f>
        <v>1</v>
      </c>
      <c r="E971" s="6">
        <f>SUMIFS('Raw Data Sales'!M971:M1969, 'Raw Data Sales'!H971:H1969, LEFT(A971, FIND(" ",A971)-1), 'Raw Data Sales'!I971:I1969, MID(A971, FIND(" ",A971)+1, 100))</f>
        <v>23</v>
      </c>
      <c r="F971" s="6">
        <f>SUMIFS('Raw Data Sales'!N971:N1969, 'Raw Data Sales'!H971:H1969, LEFT(A971, FIND(" ",A971)-1), 'Raw Data Sales'!I971:I1969, MID(A971, FIND(" ",A971)+1, 100))</f>
        <v>8591.76</v>
      </c>
    </row>
    <row r="972">
      <c r="A972" s="6" t="str">
        <f>IFERROR(__xludf.DUMMYFUNCTION("UNIQUE('Raw Data Sales'!H972:H1970 &amp; "" "" &amp; 'Raw Data Sales'!I972:I1970)"),"Pauly Boal")</f>
        <v>Pauly Boal</v>
      </c>
      <c r="B972" s="6" t="str">
        <f>IFERROR(__xludf.DUMMYFUNCTION("""COMPUTED_VALUE"""),"pboalqy@earthlink.net")</f>
        <v>pboalqy@earthlink.net</v>
      </c>
      <c r="C972" s="6" t="str">
        <f>IFERROR(__xludf.DUMMYFUNCTION("""COMPUTED_VALUE"""),"New Zealand")</f>
        <v>New Zealand</v>
      </c>
      <c r="D972" s="6">
        <f>COUNTIFS('Raw Data Sales'!H972:H1970, LEFT(A972, FIND(" ",A972)-1), 'Raw Data Sales'!I972:I1970, MID(A972, FIND(" ",A972)+1, 100))</f>
        <v>1</v>
      </c>
      <c r="E972" s="6">
        <f>SUMIFS('Raw Data Sales'!M972:M1970, 'Raw Data Sales'!H972:H1970, LEFT(A972, FIND(" ",A972)-1), 'Raw Data Sales'!I972:I1970, MID(A972, FIND(" ",A972)+1, 100))</f>
        <v>11</v>
      </c>
      <c r="F972" s="6">
        <f>SUMIFS('Raw Data Sales'!N972:N1970, 'Raw Data Sales'!H972:H1970, LEFT(A972, FIND(" ",A972)-1), 'Raw Data Sales'!I972:I1970, MID(A972, FIND(" ",A972)+1, 100))</f>
        <v>7839.73</v>
      </c>
    </row>
    <row r="973">
      <c r="A973" s="6" t="str">
        <f>IFERROR(__xludf.DUMMYFUNCTION("UNIQUE('Raw Data Sales'!H973:H1971 &amp; "" "" &amp; 'Raw Data Sales'!I973:I1971)"),"Nero Artus")</f>
        <v>Nero Artus</v>
      </c>
      <c r="B973" s="6" t="str">
        <f>IFERROR(__xludf.DUMMYFUNCTION("""COMPUTED_VALUE"""),"nartusqz@thetimes.co.uk")</f>
        <v>nartusqz@thetimes.co.uk</v>
      </c>
      <c r="C973" s="6" t="str">
        <f>IFERROR(__xludf.DUMMYFUNCTION("""COMPUTED_VALUE"""),"China")</f>
        <v>China</v>
      </c>
      <c r="D973" s="6">
        <f>COUNTIFS('Raw Data Sales'!H973:H1971, LEFT(A973, FIND(" ",A973)-1), 'Raw Data Sales'!I973:I1971, MID(A973, FIND(" ",A973)+1, 100))</f>
        <v>1</v>
      </c>
      <c r="E973" s="6">
        <f>SUMIFS('Raw Data Sales'!M973:M1971, 'Raw Data Sales'!H973:H1971, LEFT(A973, FIND(" ",A973)-1), 'Raw Data Sales'!I973:I1971, MID(A973, FIND(" ",A973)+1, 100))</f>
        <v>30</v>
      </c>
      <c r="F973" s="6">
        <f>SUMIFS('Raw Data Sales'!N973:N1971, 'Raw Data Sales'!H973:H1971, LEFT(A973, FIND(" ",A973)-1), 'Raw Data Sales'!I973:I1971, MID(A973, FIND(" ",A973)+1, 100))</f>
        <v>9297.78</v>
      </c>
    </row>
    <row r="974">
      <c r="A974" s="6" t="str">
        <f>IFERROR(__xludf.DUMMYFUNCTION("UNIQUE('Raw Data Sales'!H974:H1972 &amp; "" "" &amp; 'Raw Data Sales'!I974:I1972)"),"Tawsha Dellatorre")</f>
        <v>Tawsha Dellatorre</v>
      </c>
      <c r="B974" s="6" t="str">
        <f>IFERROR(__xludf.DUMMYFUNCTION("""COMPUTED_VALUE"""),"tdellatorrer0@drupal.org")</f>
        <v>tdellatorrer0@drupal.org</v>
      </c>
      <c r="C974" s="6" t="str">
        <f>IFERROR(__xludf.DUMMYFUNCTION("""COMPUTED_VALUE"""),"Canada")</f>
        <v>Canada</v>
      </c>
      <c r="D974" s="6">
        <f>COUNTIFS('Raw Data Sales'!H974:H1972, LEFT(A974, FIND(" ",A974)-1), 'Raw Data Sales'!I974:I1972, MID(A974, FIND(" ",A974)+1, 100))</f>
        <v>1</v>
      </c>
      <c r="E974" s="6">
        <f>SUMIFS('Raw Data Sales'!M974:M1972, 'Raw Data Sales'!H974:H1972, LEFT(A974, FIND(" ",A974)-1), 'Raw Data Sales'!I974:I1972, MID(A974, FIND(" ",A974)+1, 100))</f>
        <v>57</v>
      </c>
      <c r="F974" s="6">
        <f>SUMIFS('Raw Data Sales'!N974:N1972, 'Raw Data Sales'!H974:H1972, LEFT(A974, FIND(" ",A974)-1), 'Raw Data Sales'!I974:I1972, MID(A974, FIND(" ",A974)+1, 100))</f>
        <v>8830.13</v>
      </c>
    </row>
    <row r="975">
      <c r="A975" s="6" t="str">
        <f>IFERROR(__xludf.DUMMYFUNCTION("UNIQUE('Raw Data Sales'!H975:H1973 &amp; "" "" &amp; 'Raw Data Sales'!I975:I1973)"),"Pandora France")</f>
        <v>Pandora France</v>
      </c>
      <c r="B975" s="6" t="str">
        <f>IFERROR(__xludf.DUMMYFUNCTION("""COMPUTED_VALUE"""),"pfrancer1@google.fr")</f>
        <v>pfrancer1@google.fr</v>
      </c>
      <c r="C975" s="6" t="str">
        <f>IFERROR(__xludf.DUMMYFUNCTION("""COMPUTED_VALUE"""),"Indonesia")</f>
        <v>Indonesia</v>
      </c>
      <c r="D975" s="6">
        <f>COUNTIFS('Raw Data Sales'!H975:H1973, LEFT(A975, FIND(" ",A975)-1), 'Raw Data Sales'!I975:I1973, MID(A975, FIND(" ",A975)+1, 100))</f>
        <v>1</v>
      </c>
      <c r="E975" s="6">
        <f>SUMIFS('Raw Data Sales'!M975:M1973, 'Raw Data Sales'!H975:H1973, LEFT(A975, FIND(" ",A975)-1), 'Raw Data Sales'!I975:I1973, MID(A975, FIND(" ",A975)+1, 100))</f>
        <v>18</v>
      </c>
      <c r="F975" s="6">
        <f>SUMIFS('Raw Data Sales'!N975:N1973, 'Raw Data Sales'!H975:H1973, LEFT(A975, FIND(" ",A975)-1), 'Raw Data Sales'!I975:I1973, MID(A975, FIND(" ",A975)+1, 100))</f>
        <v>3484.88</v>
      </c>
    </row>
    <row r="976">
      <c r="A976" s="6" t="str">
        <f>IFERROR(__xludf.DUMMYFUNCTION("UNIQUE('Raw Data Sales'!H976:H1974 &amp; "" "" &amp; 'Raw Data Sales'!I976:I1974)"),"Irv Kyston")</f>
        <v>Irv Kyston</v>
      </c>
      <c r="B976" s="6" t="str">
        <f>IFERROR(__xludf.DUMMYFUNCTION("""COMPUTED_VALUE"""),"ikystonr2@delicious.com")</f>
        <v>ikystonr2@delicious.com</v>
      </c>
      <c r="C976" s="6" t="str">
        <f>IFERROR(__xludf.DUMMYFUNCTION("""COMPUTED_VALUE"""),"Madagascar")</f>
        <v>Madagascar</v>
      </c>
      <c r="D976" s="6">
        <f>COUNTIFS('Raw Data Sales'!H976:H1974, LEFT(A976, FIND(" ",A976)-1), 'Raw Data Sales'!I976:I1974, MID(A976, FIND(" ",A976)+1, 100))</f>
        <v>1</v>
      </c>
      <c r="E976" s="6">
        <f>SUMIFS('Raw Data Sales'!M976:M1974, 'Raw Data Sales'!H976:H1974, LEFT(A976, FIND(" ",A976)-1), 'Raw Data Sales'!I976:I1974, MID(A976, FIND(" ",A976)+1, 100))</f>
        <v>74</v>
      </c>
      <c r="F976" s="6">
        <f>SUMIFS('Raw Data Sales'!N976:N1974, 'Raw Data Sales'!H976:H1974, LEFT(A976, FIND(" ",A976)-1), 'Raw Data Sales'!I976:I1974, MID(A976, FIND(" ",A976)+1, 100))</f>
        <v>4867.58</v>
      </c>
    </row>
    <row r="977">
      <c r="A977" s="6" t="str">
        <f>IFERROR(__xludf.DUMMYFUNCTION("UNIQUE('Raw Data Sales'!H977:H1975 &amp; "" "" &amp; 'Raw Data Sales'!I977:I1975)"),"Ronda Jouaneton")</f>
        <v>Ronda Jouaneton</v>
      </c>
      <c r="B977" s="6" t="str">
        <f>IFERROR(__xludf.DUMMYFUNCTION("""COMPUTED_VALUE"""),"rjouanetonr3@squarespace.com")</f>
        <v>rjouanetonr3@squarespace.com</v>
      </c>
      <c r="C977" s="6" t="str">
        <f>IFERROR(__xludf.DUMMYFUNCTION("""COMPUTED_VALUE"""),"Democratic Republic of the Congo")</f>
        <v>Democratic Republic of the Congo</v>
      </c>
      <c r="D977" s="6">
        <f>COUNTIFS('Raw Data Sales'!H977:H1975, LEFT(A977, FIND(" ",A977)-1), 'Raw Data Sales'!I977:I1975, MID(A977, FIND(" ",A977)+1, 100))</f>
        <v>1</v>
      </c>
      <c r="E977" s="6">
        <f>SUMIFS('Raw Data Sales'!M977:M1975, 'Raw Data Sales'!H977:H1975, LEFT(A977, FIND(" ",A977)-1), 'Raw Data Sales'!I977:I1975, MID(A977, FIND(" ",A977)+1, 100))</f>
        <v>83</v>
      </c>
      <c r="F977" s="6">
        <f>SUMIFS('Raw Data Sales'!N977:N1975, 'Raw Data Sales'!H977:H1975, LEFT(A977, FIND(" ",A977)-1), 'Raw Data Sales'!I977:I1975, MID(A977, FIND(" ",A977)+1, 100))</f>
        <v>2647.89</v>
      </c>
    </row>
    <row r="978">
      <c r="A978" s="6" t="str">
        <f>IFERROR(__xludf.DUMMYFUNCTION("UNIQUE('Raw Data Sales'!H978:H1976 &amp; "" "" &amp; 'Raw Data Sales'!I978:I1976)"),"Tarrance St Quenin")</f>
        <v>Tarrance St Quenin</v>
      </c>
      <c r="B978" s="6" t="str">
        <f>IFERROR(__xludf.DUMMYFUNCTION("""COMPUTED_VALUE"""),"tstqueninr4@google.com.au")</f>
        <v>tstqueninr4@google.com.au</v>
      </c>
      <c r="C978" s="6" t="str">
        <f>IFERROR(__xludf.DUMMYFUNCTION("""COMPUTED_VALUE"""),"Philippines")</f>
        <v>Philippines</v>
      </c>
      <c r="D978" s="6">
        <f>COUNTIFS('Raw Data Sales'!H978:H1976, LEFT(A978, FIND(" ",A978)-1), 'Raw Data Sales'!I978:I1976, MID(A978, FIND(" ",A978)+1, 100))</f>
        <v>1</v>
      </c>
      <c r="E978" s="6">
        <f>SUMIFS('Raw Data Sales'!M978:M1976, 'Raw Data Sales'!H978:H1976, LEFT(A978, FIND(" ",A978)-1), 'Raw Data Sales'!I978:I1976, MID(A978, FIND(" ",A978)+1, 100))</f>
        <v>54</v>
      </c>
      <c r="F978" s="6">
        <f>SUMIFS('Raw Data Sales'!N978:N1976, 'Raw Data Sales'!H978:H1976, LEFT(A978, FIND(" ",A978)-1), 'Raw Data Sales'!I978:I1976, MID(A978, FIND(" ",A978)+1, 100))</f>
        <v>6828.11</v>
      </c>
    </row>
    <row r="979">
      <c r="A979" s="6" t="str">
        <f>IFERROR(__xludf.DUMMYFUNCTION("UNIQUE('Raw Data Sales'!H979:H1977 &amp; "" "" &amp; 'Raw Data Sales'!I979:I1977)"),"Halley Knoller")</f>
        <v>Halley Knoller</v>
      </c>
      <c r="B979" s="6" t="str">
        <f>IFERROR(__xludf.DUMMYFUNCTION("""COMPUTED_VALUE"""),"hknollerr5@bandcamp.com")</f>
        <v>hknollerr5@bandcamp.com</v>
      </c>
      <c r="C979" s="6" t="str">
        <f>IFERROR(__xludf.DUMMYFUNCTION("""COMPUTED_VALUE"""),"France")</f>
        <v>France</v>
      </c>
      <c r="D979" s="6">
        <f>COUNTIFS('Raw Data Sales'!H979:H1977, LEFT(A979, FIND(" ",A979)-1), 'Raw Data Sales'!I979:I1977, MID(A979, FIND(" ",A979)+1, 100))</f>
        <v>1</v>
      </c>
      <c r="E979" s="6">
        <f>SUMIFS('Raw Data Sales'!M979:M1977, 'Raw Data Sales'!H979:H1977, LEFT(A979, FIND(" ",A979)-1), 'Raw Data Sales'!I979:I1977, MID(A979, FIND(" ",A979)+1, 100))</f>
        <v>54</v>
      </c>
      <c r="F979" s="6">
        <f>SUMIFS('Raw Data Sales'!N979:N1977, 'Raw Data Sales'!H979:H1977, LEFT(A979, FIND(" ",A979)-1), 'Raw Data Sales'!I979:I1977, MID(A979, FIND(" ",A979)+1, 100))</f>
        <v>7589.96</v>
      </c>
    </row>
    <row r="980">
      <c r="A980" s="6" t="str">
        <f>IFERROR(__xludf.DUMMYFUNCTION("UNIQUE('Raw Data Sales'!H980:H1978 &amp; "" "" &amp; 'Raw Data Sales'!I980:I1978)"),"Kellia Giacobelli")</f>
        <v>Kellia Giacobelli</v>
      </c>
      <c r="B980" s="6" t="str">
        <f>IFERROR(__xludf.DUMMYFUNCTION("""COMPUTED_VALUE"""),"kgiacobellir6@go.com")</f>
        <v>kgiacobellir6@go.com</v>
      </c>
      <c r="C980" s="6" t="str">
        <f>IFERROR(__xludf.DUMMYFUNCTION("""COMPUTED_VALUE"""),"North Korea")</f>
        <v>North Korea</v>
      </c>
      <c r="D980" s="6">
        <f>COUNTIFS('Raw Data Sales'!H980:H1978, LEFT(A980, FIND(" ",A980)-1), 'Raw Data Sales'!I980:I1978, MID(A980, FIND(" ",A980)+1, 100))</f>
        <v>1</v>
      </c>
      <c r="E980" s="6">
        <f>SUMIFS('Raw Data Sales'!M980:M1978, 'Raw Data Sales'!H980:H1978, LEFT(A980, FIND(" ",A980)-1), 'Raw Data Sales'!I980:I1978, MID(A980, FIND(" ",A980)+1, 100))</f>
        <v>91</v>
      </c>
      <c r="F980" s="6">
        <f>SUMIFS('Raw Data Sales'!N980:N1978, 'Raw Data Sales'!H980:H1978, LEFT(A980, FIND(" ",A980)-1), 'Raw Data Sales'!I980:I1978, MID(A980, FIND(" ",A980)+1, 100))</f>
        <v>8025.79</v>
      </c>
    </row>
    <row r="981">
      <c r="A981" s="6" t="str">
        <f>IFERROR(__xludf.DUMMYFUNCTION("UNIQUE('Raw Data Sales'!H981:H1979 &amp; "" "" &amp; 'Raw Data Sales'!I981:I1979)"),"Ettore Portman")</f>
        <v>Ettore Portman</v>
      </c>
      <c r="B981" s="6" t="str">
        <f>IFERROR(__xludf.DUMMYFUNCTION("""COMPUTED_VALUE"""),"eportmanr7@epa.gov")</f>
        <v>eportmanr7@epa.gov</v>
      </c>
      <c r="C981" s="6" t="str">
        <f>IFERROR(__xludf.DUMMYFUNCTION("""COMPUTED_VALUE"""),"Australia")</f>
        <v>Australia</v>
      </c>
      <c r="D981" s="6">
        <f>COUNTIFS('Raw Data Sales'!H981:H1979, LEFT(A981, FIND(" ",A981)-1), 'Raw Data Sales'!I981:I1979, MID(A981, FIND(" ",A981)+1, 100))</f>
        <v>1</v>
      </c>
      <c r="E981" s="6">
        <f>SUMIFS('Raw Data Sales'!M981:M1979, 'Raw Data Sales'!H981:H1979, LEFT(A981, FIND(" ",A981)-1), 'Raw Data Sales'!I981:I1979, MID(A981, FIND(" ",A981)+1, 100))</f>
        <v>37</v>
      </c>
      <c r="F981" s="6">
        <f>SUMIFS('Raw Data Sales'!N981:N1979, 'Raw Data Sales'!H981:H1979, LEFT(A981, FIND(" ",A981)-1), 'Raw Data Sales'!I981:I1979, MID(A981, FIND(" ",A981)+1, 100))</f>
        <v>2865.92</v>
      </c>
    </row>
    <row r="982">
      <c r="A982" s="6" t="str">
        <f>IFERROR(__xludf.DUMMYFUNCTION("UNIQUE('Raw Data Sales'!H982:H1980 &amp; "" "" &amp; 'Raw Data Sales'!I982:I1980)"),"Joni Cordery")</f>
        <v>Joni Cordery</v>
      </c>
      <c r="B982" s="6" t="str">
        <f>IFERROR(__xludf.DUMMYFUNCTION("""COMPUTED_VALUE"""),"jcorderyr8@loc.gov")</f>
        <v>jcorderyr8@loc.gov</v>
      </c>
      <c r="C982" s="6" t="str">
        <f>IFERROR(__xludf.DUMMYFUNCTION("""COMPUTED_VALUE"""),"Portugal")</f>
        <v>Portugal</v>
      </c>
      <c r="D982" s="6">
        <f>COUNTIFS('Raw Data Sales'!H982:H1980, LEFT(A982, FIND(" ",A982)-1), 'Raw Data Sales'!I982:I1980, MID(A982, FIND(" ",A982)+1, 100))</f>
        <v>1</v>
      </c>
      <c r="E982" s="6">
        <f>SUMIFS('Raw Data Sales'!M982:M1980, 'Raw Data Sales'!H982:H1980, LEFT(A982, FIND(" ",A982)-1), 'Raw Data Sales'!I982:I1980, MID(A982, FIND(" ",A982)+1, 100))</f>
        <v>1</v>
      </c>
      <c r="F982" s="6">
        <f>SUMIFS('Raw Data Sales'!N982:N1980, 'Raw Data Sales'!H982:H1980, LEFT(A982, FIND(" ",A982)-1), 'Raw Data Sales'!I982:I1980, MID(A982, FIND(" ",A982)+1, 100))</f>
        <v>9057.31</v>
      </c>
    </row>
    <row r="983">
      <c r="A983" s="6" t="str">
        <f>IFERROR(__xludf.DUMMYFUNCTION("UNIQUE('Raw Data Sales'!H983:H1981 &amp; "" "" &amp; 'Raw Data Sales'!I983:I1981)"),"Kattie Sherel")</f>
        <v>Kattie Sherel</v>
      </c>
      <c r="B983" s="6" t="str">
        <f>IFERROR(__xludf.DUMMYFUNCTION("""COMPUTED_VALUE"""),"ksherelr9@deviantart.com")</f>
        <v>ksherelr9@deviantart.com</v>
      </c>
      <c r="C983" s="6" t="str">
        <f>IFERROR(__xludf.DUMMYFUNCTION("""COMPUTED_VALUE"""),"Myanmar")</f>
        <v>Myanmar</v>
      </c>
      <c r="D983" s="6">
        <f>COUNTIFS('Raw Data Sales'!H983:H1981, LEFT(A983, FIND(" ",A983)-1), 'Raw Data Sales'!I983:I1981, MID(A983, FIND(" ",A983)+1, 100))</f>
        <v>1</v>
      </c>
      <c r="E983" s="6">
        <f>SUMIFS('Raw Data Sales'!M983:M1981, 'Raw Data Sales'!H983:H1981, LEFT(A983, FIND(" ",A983)-1), 'Raw Data Sales'!I983:I1981, MID(A983, FIND(" ",A983)+1, 100))</f>
        <v>79</v>
      </c>
      <c r="F983" s="6">
        <f>SUMIFS('Raw Data Sales'!N983:N1981, 'Raw Data Sales'!H983:H1981, LEFT(A983, FIND(" ",A983)-1), 'Raw Data Sales'!I983:I1981, MID(A983, FIND(" ",A983)+1, 100))</f>
        <v>611.57</v>
      </c>
    </row>
    <row r="984">
      <c r="A984" s="6" t="str">
        <f>IFERROR(__xludf.DUMMYFUNCTION("UNIQUE('Raw Data Sales'!H984:H1982 &amp; "" "" &amp; 'Raw Data Sales'!I984:I1982)"),"Lianna Winslade")</f>
        <v>Lianna Winslade</v>
      </c>
      <c r="B984" s="6" t="str">
        <f>IFERROR(__xludf.DUMMYFUNCTION("""COMPUTED_VALUE"""),"lwinsladera@accuweather.com")</f>
        <v>lwinsladera@accuweather.com</v>
      </c>
      <c r="C984" s="6" t="str">
        <f>IFERROR(__xludf.DUMMYFUNCTION("""COMPUTED_VALUE"""),"Zambia")</f>
        <v>Zambia</v>
      </c>
      <c r="D984" s="6">
        <f>COUNTIFS('Raw Data Sales'!H984:H1982, LEFT(A984, FIND(" ",A984)-1), 'Raw Data Sales'!I984:I1982, MID(A984, FIND(" ",A984)+1, 100))</f>
        <v>1</v>
      </c>
      <c r="E984" s="6">
        <f>SUMIFS('Raw Data Sales'!M984:M1982, 'Raw Data Sales'!H984:H1982, LEFT(A984, FIND(" ",A984)-1), 'Raw Data Sales'!I984:I1982, MID(A984, FIND(" ",A984)+1, 100))</f>
        <v>74</v>
      </c>
      <c r="F984" s="6">
        <f>SUMIFS('Raw Data Sales'!N984:N1982, 'Raw Data Sales'!H984:H1982, LEFT(A984, FIND(" ",A984)-1), 'Raw Data Sales'!I984:I1982, MID(A984, FIND(" ",A984)+1, 100))</f>
        <v>5247.18</v>
      </c>
    </row>
    <row r="985">
      <c r="A985" s="6" t="str">
        <f>IFERROR(__xludf.DUMMYFUNCTION("UNIQUE('Raw Data Sales'!H985:H1983 &amp; "" "" &amp; 'Raw Data Sales'!I985:I1983)"),"Evvie Schachter")</f>
        <v>Evvie Schachter</v>
      </c>
      <c r="B985" s="6" t="str">
        <f>IFERROR(__xludf.DUMMYFUNCTION("""COMPUTED_VALUE"""),"eschachterrb@com.com")</f>
        <v>eschachterrb@com.com</v>
      </c>
      <c r="C985" s="6" t="str">
        <f>IFERROR(__xludf.DUMMYFUNCTION("""COMPUTED_VALUE"""),"Indonesia")</f>
        <v>Indonesia</v>
      </c>
      <c r="D985" s="6">
        <f>COUNTIFS('Raw Data Sales'!H985:H1983, LEFT(A985, FIND(" ",A985)-1), 'Raw Data Sales'!I985:I1983, MID(A985, FIND(" ",A985)+1, 100))</f>
        <v>1</v>
      </c>
      <c r="E985" s="6">
        <f>SUMIFS('Raw Data Sales'!M985:M1983, 'Raw Data Sales'!H985:H1983, LEFT(A985, FIND(" ",A985)-1), 'Raw Data Sales'!I985:I1983, MID(A985, FIND(" ",A985)+1, 100))</f>
        <v>33</v>
      </c>
      <c r="F985" s="6">
        <f>SUMIFS('Raw Data Sales'!N985:N1983, 'Raw Data Sales'!H985:H1983, LEFT(A985, FIND(" ",A985)-1), 'Raw Data Sales'!I985:I1983, MID(A985, FIND(" ",A985)+1, 100))</f>
        <v>9741.81</v>
      </c>
    </row>
    <row r="986">
      <c r="A986" s="6" t="str">
        <f>IFERROR(__xludf.DUMMYFUNCTION("UNIQUE('Raw Data Sales'!H986:H1984 &amp; "" "" &amp; 'Raw Data Sales'!I986:I1984)"),"Yolande Dyke")</f>
        <v>Yolande Dyke</v>
      </c>
      <c r="B986" s="6" t="str">
        <f>IFERROR(__xludf.DUMMYFUNCTION("""COMPUTED_VALUE"""),"ydykerc@zdnet.com")</f>
        <v>ydykerc@zdnet.com</v>
      </c>
      <c r="C986" s="6" t="str">
        <f>IFERROR(__xludf.DUMMYFUNCTION("""COMPUTED_VALUE"""),"Denmark")</f>
        <v>Denmark</v>
      </c>
      <c r="D986" s="6">
        <f>COUNTIFS('Raw Data Sales'!H986:H1984, LEFT(A986, FIND(" ",A986)-1), 'Raw Data Sales'!I986:I1984, MID(A986, FIND(" ",A986)+1, 100))</f>
        <v>1</v>
      </c>
      <c r="E986" s="6">
        <f>SUMIFS('Raw Data Sales'!M986:M1984, 'Raw Data Sales'!H986:H1984, LEFT(A986, FIND(" ",A986)-1), 'Raw Data Sales'!I986:I1984, MID(A986, FIND(" ",A986)+1, 100))</f>
        <v>26</v>
      </c>
      <c r="F986" s="6">
        <f>SUMIFS('Raw Data Sales'!N986:N1984, 'Raw Data Sales'!H986:H1984, LEFT(A986, FIND(" ",A986)-1), 'Raw Data Sales'!I986:I1984, MID(A986, FIND(" ",A986)+1, 100))</f>
        <v>3211.12</v>
      </c>
    </row>
    <row r="987">
      <c r="A987" s="6" t="str">
        <f>IFERROR(__xludf.DUMMYFUNCTION("UNIQUE('Raw Data Sales'!H987:H1985 &amp; "" "" &amp; 'Raw Data Sales'!I987:I1985)"),"Maridel Karmel")</f>
        <v>Maridel Karmel</v>
      </c>
      <c r="B987" s="6" t="str">
        <f>IFERROR(__xludf.DUMMYFUNCTION("""COMPUTED_VALUE"""),"mkarmelrd@washingtonpost.com")</f>
        <v>mkarmelrd@washingtonpost.com</v>
      </c>
      <c r="C987" s="6" t="str">
        <f>IFERROR(__xludf.DUMMYFUNCTION("""COMPUTED_VALUE"""),"Japan")</f>
        <v>Japan</v>
      </c>
      <c r="D987" s="6">
        <f>COUNTIFS('Raw Data Sales'!H987:H1985, LEFT(A987, FIND(" ",A987)-1), 'Raw Data Sales'!I987:I1985, MID(A987, FIND(" ",A987)+1, 100))</f>
        <v>1</v>
      </c>
      <c r="E987" s="6">
        <f>SUMIFS('Raw Data Sales'!M987:M1985, 'Raw Data Sales'!H987:H1985, LEFT(A987, FIND(" ",A987)-1), 'Raw Data Sales'!I987:I1985, MID(A987, FIND(" ",A987)+1, 100))</f>
        <v>9</v>
      </c>
      <c r="F987" s="6">
        <f>SUMIFS('Raw Data Sales'!N987:N1985, 'Raw Data Sales'!H987:H1985, LEFT(A987, FIND(" ",A987)-1), 'Raw Data Sales'!I987:I1985, MID(A987, FIND(" ",A987)+1, 100))</f>
        <v>8219.28</v>
      </c>
    </row>
    <row r="988">
      <c r="A988" s="6" t="str">
        <f>IFERROR(__xludf.DUMMYFUNCTION("UNIQUE('Raw Data Sales'!H988:H1986 &amp; "" "" &amp; 'Raw Data Sales'!I988:I1986)"),"Kessia Churms")</f>
        <v>Kessia Churms</v>
      </c>
      <c r="B988" s="6" t="str">
        <f>IFERROR(__xludf.DUMMYFUNCTION("""COMPUTED_VALUE"""),"kchurmsre@google.nl")</f>
        <v>kchurmsre@google.nl</v>
      </c>
      <c r="C988" s="6" t="str">
        <f>IFERROR(__xludf.DUMMYFUNCTION("""COMPUTED_VALUE"""),"Czech Republic")</f>
        <v>Czech Republic</v>
      </c>
      <c r="D988" s="6">
        <f>COUNTIFS('Raw Data Sales'!H988:H1986, LEFT(A988, FIND(" ",A988)-1), 'Raw Data Sales'!I988:I1986, MID(A988, FIND(" ",A988)+1, 100))</f>
        <v>1</v>
      </c>
      <c r="E988" s="6">
        <f>SUMIFS('Raw Data Sales'!M988:M1986, 'Raw Data Sales'!H988:H1986, LEFT(A988, FIND(" ",A988)-1), 'Raw Data Sales'!I988:I1986, MID(A988, FIND(" ",A988)+1, 100))</f>
        <v>84</v>
      </c>
      <c r="F988" s="6">
        <f>SUMIFS('Raw Data Sales'!N988:N1986, 'Raw Data Sales'!H988:H1986, LEFT(A988, FIND(" ",A988)-1), 'Raw Data Sales'!I988:I1986, MID(A988, FIND(" ",A988)+1, 100))</f>
        <v>5531.13</v>
      </c>
    </row>
    <row r="989">
      <c r="A989" s="6" t="str">
        <f>IFERROR(__xludf.DUMMYFUNCTION("UNIQUE('Raw Data Sales'!H989:H1987 &amp; "" "" &amp; 'Raw Data Sales'!I989:I1987)"),"Ninnette Zelland")</f>
        <v>Ninnette Zelland</v>
      </c>
      <c r="B989" s="6" t="str">
        <f>IFERROR(__xludf.DUMMYFUNCTION("""COMPUTED_VALUE"""),"nzellandrf@aboutads.info")</f>
        <v>nzellandrf@aboutads.info</v>
      </c>
      <c r="C989" s="6" t="str">
        <f>IFERROR(__xludf.DUMMYFUNCTION("""COMPUTED_VALUE"""),"Peru")</f>
        <v>Peru</v>
      </c>
      <c r="D989" s="6">
        <f>COUNTIFS('Raw Data Sales'!H989:H1987, LEFT(A989, FIND(" ",A989)-1), 'Raw Data Sales'!I989:I1987, MID(A989, FIND(" ",A989)+1, 100))</f>
        <v>1</v>
      </c>
      <c r="E989" s="6">
        <f>SUMIFS('Raw Data Sales'!M989:M1987, 'Raw Data Sales'!H989:H1987, LEFT(A989, FIND(" ",A989)-1), 'Raw Data Sales'!I989:I1987, MID(A989, FIND(" ",A989)+1, 100))</f>
        <v>16</v>
      </c>
      <c r="F989" s="6">
        <f>SUMIFS('Raw Data Sales'!N989:N1987, 'Raw Data Sales'!H989:H1987, LEFT(A989, FIND(" ",A989)-1), 'Raw Data Sales'!I989:I1987, MID(A989, FIND(" ",A989)+1, 100))</f>
        <v>2190.68</v>
      </c>
    </row>
    <row r="990">
      <c r="A990" s="6" t="str">
        <f>IFERROR(__xludf.DUMMYFUNCTION("UNIQUE('Raw Data Sales'!H990:H1988 &amp; "" "" &amp; 'Raw Data Sales'!I990:I1988)"),"Freddy Hayland")</f>
        <v>Freddy Hayland</v>
      </c>
      <c r="B990" s="6" t="str">
        <f>IFERROR(__xludf.DUMMYFUNCTION("""COMPUTED_VALUE"""),"fhaylandrg@disqus.com")</f>
        <v>fhaylandrg@disqus.com</v>
      </c>
      <c r="C990" s="6" t="str">
        <f>IFERROR(__xludf.DUMMYFUNCTION("""COMPUTED_VALUE"""),"Philippines")</f>
        <v>Philippines</v>
      </c>
      <c r="D990" s="6">
        <f>COUNTIFS('Raw Data Sales'!H990:H1988, LEFT(A990, FIND(" ",A990)-1), 'Raw Data Sales'!I990:I1988, MID(A990, FIND(" ",A990)+1, 100))</f>
        <v>1</v>
      </c>
      <c r="E990" s="6">
        <f>SUMIFS('Raw Data Sales'!M990:M1988, 'Raw Data Sales'!H990:H1988, LEFT(A990, FIND(" ",A990)-1), 'Raw Data Sales'!I990:I1988, MID(A990, FIND(" ",A990)+1, 100))</f>
        <v>90</v>
      </c>
      <c r="F990" s="6">
        <f>SUMIFS('Raw Data Sales'!N990:N1988, 'Raw Data Sales'!H990:H1988, LEFT(A990, FIND(" ",A990)-1), 'Raw Data Sales'!I990:I1988, MID(A990, FIND(" ",A990)+1, 100))</f>
        <v>4642.98</v>
      </c>
    </row>
    <row r="991">
      <c r="A991" s="6" t="str">
        <f>IFERROR(__xludf.DUMMYFUNCTION("UNIQUE('Raw Data Sales'!H991:H1989 &amp; "" "" &amp; 'Raw Data Sales'!I991:I1989)"),"Tony Unitt")</f>
        <v>Tony Unitt</v>
      </c>
      <c r="B991" s="6" t="str">
        <f>IFERROR(__xludf.DUMMYFUNCTION("""COMPUTED_VALUE"""),"tunittrh@independent.co.uk")</f>
        <v>tunittrh@independent.co.uk</v>
      </c>
      <c r="C991" s="6" t="str">
        <f>IFERROR(__xludf.DUMMYFUNCTION("""COMPUTED_VALUE"""),"Indonesia")</f>
        <v>Indonesia</v>
      </c>
      <c r="D991" s="6">
        <f>COUNTIFS('Raw Data Sales'!H991:H1989, LEFT(A991, FIND(" ",A991)-1), 'Raw Data Sales'!I991:I1989, MID(A991, FIND(" ",A991)+1, 100))</f>
        <v>1</v>
      </c>
      <c r="E991" s="6">
        <f>SUMIFS('Raw Data Sales'!M991:M1989, 'Raw Data Sales'!H991:H1989, LEFT(A991, FIND(" ",A991)-1), 'Raw Data Sales'!I991:I1989, MID(A991, FIND(" ",A991)+1, 100))</f>
        <v>1</v>
      </c>
      <c r="F991" s="6">
        <f>SUMIFS('Raw Data Sales'!N991:N1989, 'Raw Data Sales'!H991:H1989, LEFT(A991, FIND(" ",A991)-1), 'Raw Data Sales'!I991:I1989, MID(A991, FIND(" ",A991)+1, 100))</f>
        <v>6803.85</v>
      </c>
    </row>
    <row r="992">
      <c r="A992" s="6" t="str">
        <f>IFERROR(__xludf.DUMMYFUNCTION("UNIQUE('Raw Data Sales'!H992:H1990 &amp; "" "" &amp; 'Raw Data Sales'!I992:I1990)"),"Madel Dodshon")</f>
        <v>Madel Dodshon</v>
      </c>
      <c r="B992" s="6" t="str">
        <f>IFERROR(__xludf.DUMMYFUNCTION("""COMPUTED_VALUE"""),"mdodshonri@google.co.jp")</f>
        <v>mdodshonri@google.co.jp</v>
      </c>
      <c r="C992" s="6" t="str">
        <f>IFERROR(__xludf.DUMMYFUNCTION("""COMPUTED_VALUE"""),"Portugal")</f>
        <v>Portugal</v>
      </c>
      <c r="D992" s="6">
        <f>COUNTIFS('Raw Data Sales'!H992:H1990, LEFT(A992, FIND(" ",A992)-1), 'Raw Data Sales'!I992:I1990, MID(A992, FIND(" ",A992)+1, 100))</f>
        <v>1</v>
      </c>
      <c r="E992" s="6">
        <f>SUMIFS('Raw Data Sales'!M992:M1990, 'Raw Data Sales'!H992:H1990, LEFT(A992, FIND(" ",A992)-1), 'Raw Data Sales'!I992:I1990, MID(A992, FIND(" ",A992)+1, 100))</f>
        <v>93</v>
      </c>
      <c r="F992" s="6">
        <f>SUMIFS('Raw Data Sales'!N992:N1990, 'Raw Data Sales'!H992:H1990, LEFT(A992, FIND(" ",A992)-1), 'Raw Data Sales'!I992:I1990, MID(A992, FIND(" ",A992)+1, 100))</f>
        <v>3755.48</v>
      </c>
    </row>
    <row r="993">
      <c r="A993" s="6" t="str">
        <f>IFERROR(__xludf.DUMMYFUNCTION("UNIQUE('Raw Data Sales'!H993:H1991 &amp; "" "" &amp; 'Raw Data Sales'!I993:I1991)"),"Barr Gathwaite")</f>
        <v>Barr Gathwaite</v>
      </c>
      <c r="B993" s="6" t="str">
        <f>IFERROR(__xludf.DUMMYFUNCTION("""COMPUTED_VALUE"""),"bgathwaiterj@un.org")</f>
        <v>bgathwaiterj@un.org</v>
      </c>
      <c r="C993" s="6" t="str">
        <f>IFERROR(__xludf.DUMMYFUNCTION("""COMPUTED_VALUE"""),"United States")</f>
        <v>United States</v>
      </c>
      <c r="D993" s="6">
        <f>COUNTIFS('Raw Data Sales'!H993:H1991, LEFT(A993, FIND(" ",A993)-1), 'Raw Data Sales'!I993:I1991, MID(A993, FIND(" ",A993)+1, 100))</f>
        <v>1</v>
      </c>
      <c r="E993" s="6">
        <f>SUMIFS('Raw Data Sales'!M993:M1991, 'Raw Data Sales'!H993:H1991, LEFT(A993, FIND(" ",A993)-1), 'Raw Data Sales'!I993:I1991, MID(A993, FIND(" ",A993)+1, 100))</f>
        <v>78</v>
      </c>
      <c r="F993" s="6">
        <f>SUMIFS('Raw Data Sales'!N993:N1991, 'Raw Data Sales'!H993:H1991, LEFT(A993, FIND(" ",A993)-1), 'Raw Data Sales'!I993:I1991, MID(A993, FIND(" ",A993)+1, 100))</f>
        <v>5257.2</v>
      </c>
    </row>
    <row r="994">
      <c r="A994" s="6" t="str">
        <f>IFERROR(__xludf.DUMMYFUNCTION("UNIQUE('Raw Data Sales'!H994:H1992 &amp; "" "" &amp; 'Raw Data Sales'!I994:I1992)"),"Mellie Dell 'Orto")</f>
        <v>Mellie Dell 'Orto</v>
      </c>
      <c r="B994" s="6" t="str">
        <f>IFERROR(__xludf.DUMMYFUNCTION("""COMPUTED_VALUE"""),"mdellortork@storify.com")</f>
        <v>mdellortork@storify.com</v>
      </c>
      <c r="C994" s="6" t="str">
        <f>IFERROR(__xludf.DUMMYFUNCTION("""COMPUTED_VALUE"""),"China")</f>
        <v>China</v>
      </c>
      <c r="D994" s="6">
        <f>COUNTIFS('Raw Data Sales'!H994:H1992, LEFT(A994, FIND(" ",A994)-1), 'Raw Data Sales'!I994:I1992, MID(A994, FIND(" ",A994)+1, 100))</f>
        <v>1</v>
      </c>
      <c r="E994" s="6">
        <f>SUMIFS('Raw Data Sales'!M994:M1992, 'Raw Data Sales'!H994:H1992, LEFT(A994, FIND(" ",A994)-1), 'Raw Data Sales'!I994:I1992, MID(A994, FIND(" ",A994)+1, 100))</f>
        <v>22</v>
      </c>
      <c r="F994" s="6">
        <f>SUMIFS('Raw Data Sales'!N994:N1992, 'Raw Data Sales'!H994:H1992, LEFT(A994, FIND(" ",A994)-1), 'Raw Data Sales'!I994:I1992, MID(A994, FIND(" ",A994)+1, 100))</f>
        <v>1811.91</v>
      </c>
    </row>
    <row r="995">
      <c r="A995" s="6" t="str">
        <f>IFERROR(__xludf.DUMMYFUNCTION("UNIQUE('Raw Data Sales'!H995:H1993 &amp; "" "" &amp; 'Raw Data Sales'!I995:I1993)"),"Zacharie Fawcett")</f>
        <v>Zacharie Fawcett</v>
      </c>
      <c r="B995" s="6" t="str">
        <f>IFERROR(__xludf.DUMMYFUNCTION("""COMPUTED_VALUE"""),"zfawcettrl@usnews.com")</f>
        <v>zfawcettrl@usnews.com</v>
      </c>
      <c r="C995" s="6" t="str">
        <f>IFERROR(__xludf.DUMMYFUNCTION("""COMPUTED_VALUE"""),"Honduras")</f>
        <v>Honduras</v>
      </c>
      <c r="D995" s="6">
        <f>COUNTIFS('Raw Data Sales'!H995:H1993, LEFT(A995, FIND(" ",A995)-1), 'Raw Data Sales'!I995:I1993, MID(A995, FIND(" ",A995)+1, 100))</f>
        <v>1</v>
      </c>
      <c r="E995" s="6">
        <f>SUMIFS('Raw Data Sales'!M995:M1993, 'Raw Data Sales'!H995:H1993, LEFT(A995, FIND(" ",A995)-1), 'Raw Data Sales'!I995:I1993, MID(A995, FIND(" ",A995)+1, 100))</f>
        <v>22</v>
      </c>
      <c r="F995" s="6">
        <f>SUMIFS('Raw Data Sales'!N995:N1993, 'Raw Data Sales'!H995:H1993, LEFT(A995, FIND(" ",A995)-1), 'Raw Data Sales'!I995:I1993, MID(A995, FIND(" ",A995)+1, 100))</f>
        <v>4651.24</v>
      </c>
    </row>
    <row r="996">
      <c r="A996" s="6" t="str">
        <f>IFERROR(__xludf.DUMMYFUNCTION("UNIQUE('Raw Data Sales'!H996:H1994 &amp; "" "" &amp; 'Raw Data Sales'!I996:I1994)"),"Roderigo Pavlovic")</f>
        <v>Roderigo Pavlovic</v>
      </c>
      <c r="B996" s="6" t="str">
        <f>IFERROR(__xludf.DUMMYFUNCTION("""COMPUTED_VALUE"""),"rpavlovicrm@arstechnica.com")</f>
        <v>rpavlovicrm@arstechnica.com</v>
      </c>
      <c r="C996" s="6" t="str">
        <f>IFERROR(__xludf.DUMMYFUNCTION("""COMPUTED_VALUE"""),"Czech Republic")</f>
        <v>Czech Republic</v>
      </c>
      <c r="D996" s="6">
        <f>COUNTIFS('Raw Data Sales'!H996:H1994, LEFT(A996, FIND(" ",A996)-1), 'Raw Data Sales'!I996:I1994, MID(A996, FIND(" ",A996)+1, 100))</f>
        <v>1</v>
      </c>
      <c r="E996" s="6">
        <f>SUMIFS('Raw Data Sales'!M996:M1994, 'Raw Data Sales'!H996:H1994, LEFT(A996, FIND(" ",A996)-1), 'Raw Data Sales'!I996:I1994, MID(A996, FIND(" ",A996)+1, 100))</f>
        <v>88</v>
      </c>
      <c r="F996" s="6">
        <f>SUMIFS('Raw Data Sales'!N996:N1994, 'Raw Data Sales'!H996:H1994, LEFT(A996, FIND(" ",A996)-1), 'Raw Data Sales'!I996:I1994, MID(A996, FIND(" ",A996)+1, 100))</f>
        <v>9689.65</v>
      </c>
    </row>
    <row r="997">
      <c r="A997" s="6" t="str">
        <f>IFERROR(__xludf.DUMMYFUNCTION("UNIQUE('Raw Data Sales'!H997:H1995 &amp; "" "" &amp; 'Raw Data Sales'!I997:I1995)"),"Wendeline Angell")</f>
        <v>Wendeline Angell</v>
      </c>
      <c r="B997" s="6" t="str">
        <f>IFERROR(__xludf.DUMMYFUNCTION("""COMPUTED_VALUE"""),"wangellrn@youtu.be")</f>
        <v>wangellrn@youtu.be</v>
      </c>
      <c r="C997" s="6" t="str">
        <f>IFERROR(__xludf.DUMMYFUNCTION("""COMPUTED_VALUE"""),"Iran")</f>
        <v>Iran</v>
      </c>
      <c r="D997" s="6">
        <f>COUNTIFS('Raw Data Sales'!H997:H1995, LEFT(A997, FIND(" ",A997)-1), 'Raw Data Sales'!I997:I1995, MID(A997, FIND(" ",A997)+1, 100))</f>
        <v>1</v>
      </c>
      <c r="E997" s="6">
        <f>SUMIFS('Raw Data Sales'!M997:M1995, 'Raw Data Sales'!H997:H1995, LEFT(A997, FIND(" ",A997)-1), 'Raw Data Sales'!I997:I1995, MID(A997, FIND(" ",A997)+1, 100))</f>
        <v>88</v>
      </c>
      <c r="F997" s="6">
        <f>SUMIFS('Raw Data Sales'!N997:N1995, 'Raw Data Sales'!H997:H1995, LEFT(A997, FIND(" ",A997)-1), 'Raw Data Sales'!I997:I1995, MID(A997, FIND(" ",A997)+1, 100))</f>
        <v>2735.73</v>
      </c>
    </row>
    <row r="998">
      <c r="A998" s="6" t="str">
        <f>IFERROR(__xludf.DUMMYFUNCTION("UNIQUE('Raw Data Sales'!H998:H1996 &amp; "" "" &amp; 'Raw Data Sales'!I998:I1996)"),"Jesselyn Bleasby")</f>
        <v>Jesselyn Bleasby</v>
      </c>
      <c r="B998" s="6" t="str">
        <f>IFERROR(__xludf.DUMMYFUNCTION("""COMPUTED_VALUE"""),"jbleasbyro@walmart.com")</f>
        <v>jbleasbyro@walmart.com</v>
      </c>
      <c r="C998" s="6" t="str">
        <f>IFERROR(__xludf.DUMMYFUNCTION("""COMPUTED_VALUE"""),"Mexico")</f>
        <v>Mexico</v>
      </c>
      <c r="D998" s="6">
        <f>COUNTIFS('Raw Data Sales'!H998:H1996, LEFT(A998, FIND(" ",A998)-1), 'Raw Data Sales'!I998:I1996, MID(A998, FIND(" ",A998)+1, 100))</f>
        <v>1</v>
      </c>
      <c r="E998" s="6">
        <f>SUMIFS('Raw Data Sales'!M998:M1996, 'Raw Data Sales'!H998:H1996, LEFT(A998, FIND(" ",A998)-1), 'Raw Data Sales'!I998:I1996, MID(A998, FIND(" ",A998)+1, 100))</f>
        <v>52</v>
      </c>
      <c r="F998" s="6">
        <f>SUMIFS('Raw Data Sales'!N998:N1996, 'Raw Data Sales'!H998:H1996, LEFT(A998, FIND(" ",A998)-1), 'Raw Data Sales'!I998:I1996, MID(A998, FIND(" ",A998)+1, 100))</f>
        <v>9056.99</v>
      </c>
    </row>
    <row r="999">
      <c r="A999" s="6" t="str">
        <f>IFERROR(__xludf.DUMMYFUNCTION("UNIQUE('Raw Data Sales'!H999:H1997 &amp; "" "" &amp; 'Raw Data Sales'!I999:I1997)"),"Dedra Hollows")</f>
        <v>Dedra Hollows</v>
      </c>
      <c r="B999" s="6" t="str">
        <f>IFERROR(__xludf.DUMMYFUNCTION("""COMPUTED_VALUE"""),"dhollowsrp@pagesperso-orange.fr")</f>
        <v>dhollowsrp@pagesperso-orange.fr</v>
      </c>
      <c r="C999" s="6" t="str">
        <f>IFERROR(__xludf.DUMMYFUNCTION("""COMPUTED_VALUE"""),"Ireland")</f>
        <v>Ireland</v>
      </c>
      <c r="D999" s="6">
        <f>COUNTIFS('Raw Data Sales'!H999:H1997, LEFT(A999, FIND(" ",A999)-1), 'Raw Data Sales'!I999:I1997, MID(A999, FIND(" ",A999)+1, 100))</f>
        <v>1</v>
      </c>
      <c r="E999" s="6">
        <f>SUMIFS('Raw Data Sales'!M999:M1997, 'Raw Data Sales'!H999:H1997, LEFT(A999, FIND(" ",A999)-1), 'Raw Data Sales'!I999:I1997, MID(A999, FIND(" ",A999)+1, 100))</f>
        <v>96</v>
      </c>
      <c r="F999" s="6">
        <f>SUMIFS('Raw Data Sales'!N999:N1997, 'Raw Data Sales'!H999:H1997, LEFT(A999, FIND(" ",A999)-1), 'Raw Data Sales'!I999:I1997, MID(A999, FIND(" ",A999)+1, 100))</f>
        <v>2209.09</v>
      </c>
    </row>
    <row r="1000">
      <c r="A1000" s="6" t="str">
        <f>IFERROR(__xludf.DUMMYFUNCTION("UNIQUE('Raw Data Sales'!H1000:H1998 &amp; "" "" &amp; 'Raw Data Sales'!I1000:I1998)"),"Diena Torrent")</f>
        <v>Diena Torrent</v>
      </c>
      <c r="B1000" s="6" t="str">
        <f>IFERROR(__xludf.DUMMYFUNCTION("""COMPUTED_VALUE"""),"dtorrentrq@gov.uk")</f>
        <v>dtorrentrq@gov.uk</v>
      </c>
      <c r="C1000" s="6" t="str">
        <f>IFERROR(__xludf.DUMMYFUNCTION("""COMPUTED_VALUE"""),"Armenia")</f>
        <v>Armenia</v>
      </c>
      <c r="D1000" s="6">
        <f>COUNTIFS('Raw Data Sales'!H1000:H1998, LEFT(A1000, FIND(" ",A1000)-1), 'Raw Data Sales'!I1000:I1998, MID(A1000, FIND(" ",A1000)+1, 100))</f>
        <v>1</v>
      </c>
      <c r="E1000" s="6">
        <f>SUMIFS('Raw Data Sales'!M1000:M1998, 'Raw Data Sales'!H1000:H1998, LEFT(A1000, FIND(" ",A1000)-1), 'Raw Data Sales'!I1000:I1998, MID(A1000, FIND(" ",A1000)+1, 100))</f>
        <v>56</v>
      </c>
      <c r="F1000" s="6">
        <f>SUMIFS('Raw Data Sales'!N1000:N1998, 'Raw Data Sales'!H1000:H1998, LEFT(A1000, FIND(" ",A1000)-1), 'Raw Data Sales'!I1000:I1998, MID(A1000, FIND(" ",A1000)+1, 100))</f>
        <v>9565.57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3.63"/>
    <col customWidth="1" min="3" max="3" width="19.75"/>
    <col customWidth="1" min="4" max="4" width="33.13"/>
    <col customWidth="1" min="5" max="5" width="22.0"/>
    <col customWidth="1" min="6" max="6" width="7.25"/>
    <col customWidth="1" min="7" max="7" width="7.88"/>
    <col customWidth="1" min="8" max="8" width="13.63"/>
  </cols>
  <sheetData>
    <row r="1">
      <c r="A1" s="4" t="s">
        <v>6193</v>
      </c>
      <c r="B1" s="4" t="s">
        <v>6194</v>
      </c>
      <c r="C1" s="4" t="s">
        <v>6187</v>
      </c>
      <c r="D1" s="4" t="s">
        <v>6181</v>
      </c>
      <c r="E1" s="4" t="s">
        <v>6182</v>
      </c>
      <c r="F1" s="4" t="s">
        <v>6195</v>
      </c>
      <c r="G1" s="4" t="s">
        <v>6196</v>
      </c>
      <c r="H1" s="4" t="s">
        <v>6197</v>
      </c>
      <c r="I1" s="7"/>
    </row>
    <row r="2">
      <c r="A2" s="6">
        <f>'Raw Data Sales'!A2</f>
        <v>1</v>
      </c>
      <c r="B2" s="8">
        <f>IFERROR(__xludf.DUMMYFUNCTION("UNIQUE('Raw Data Sales'!D2:D1000)"),44227.0)</f>
        <v>44227</v>
      </c>
      <c r="C2" s="6" t="str">
        <f>IFERROR(__xludf.DUMMYFUNCTION("UNIQUE('Raw Data Sales'!H2:H1000 &amp; "" "" &amp; 'Raw Data Sales'!I2:I1000)"),"Gayelord Vieyra")</f>
        <v>Gayelord Vieyra</v>
      </c>
      <c r="D2" s="6" t="str">
        <f>IFERROR(__xludf.DUMMYFUNCTION("UNIQUE('Raw Data Sales'!E2:E1000)"),"Ultra-Thin Laptop Sleeve")</f>
        <v>Ultra-Thin Laptop Sleeve</v>
      </c>
      <c r="E2" s="6" t="str">
        <f>'Raw Data Sales'!F2</f>
        <v>Accessories</v>
      </c>
      <c r="F2" s="6">
        <f>'Raw Data Sales'!M2</f>
        <v>54</v>
      </c>
      <c r="G2" s="6">
        <f>'Raw Data Sales'!N2</f>
        <v>2305.58</v>
      </c>
      <c r="H2" s="6" t="str">
        <f>'Raw Data Sales'!O2</f>
        <v>Credit Card</v>
      </c>
    </row>
    <row r="3">
      <c r="A3" s="6">
        <f>'Raw Data Sales'!A3</f>
        <v>2</v>
      </c>
      <c r="B3" s="8">
        <f>IFERROR(__xludf.DUMMYFUNCTION("""COMPUTED_VALUE"""),44046.0)</f>
        <v>44046</v>
      </c>
      <c r="C3" s="6" t="str">
        <f>IFERROR(__xludf.DUMMYFUNCTION("UNIQUE('Raw Data Sales'!H3:H1001 &amp; "" "" &amp; 'Raw Data Sales'!I3:I1001)"),"Luce McIlwraith")</f>
        <v>Luce McIlwraith</v>
      </c>
      <c r="D3" s="6" t="str">
        <f>IFERROR(__xludf.DUMMYFUNCTION("""COMPUTED_VALUE"""),"Sweet Chili Thai Sauce")</f>
        <v>Sweet Chili Thai Sauce</v>
      </c>
      <c r="E3" s="6" t="str">
        <f>'Raw Data Sales'!F3</f>
        <v>Food - Condiments</v>
      </c>
      <c r="F3" s="6">
        <f>'Raw Data Sales'!M3</f>
        <v>75</v>
      </c>
      <c r="G3" s="6">
        <f>'Raw Data Sales'!N3</f>
        <v>2292.82</v>
      </c>
      <c r="H3" s="6" t="str">
        <f>'Raw Data Sales'!O3</f>
        <v>PayPal</v>
      </c>
    </row>
    <row r="4">
      <c r="A4" s="6">
        <f>'Raw Data Sales'!A4</f>
        <v>3</v>
      </c>
      <c r="B4" s="8">
        <f>IFERROR(__xludf.DUMMYFUNCTION("""COMPUTED_VALUE"""),43916.0)</f>
        <v>43916</v>
      </c>
      <c r="C4" s="6" t="str">
        <f>IFERROR(__xludf.DUMMYFUNCTION("UNIQUE('Raw Data Sales'!H4:H1002 &amp; "" "" &amp; 'Raw Data Sales'!I4:I1002)"),"Melisent Beglin")</f>
        <v>Melisent Beglin</v>
      </c>
      <c r="D4" s="6" t="str">
        <f>IFERROR(__xludf.DUMMYFUNCTION("""COMPUTED_VALUE"""),"Wireless Induction Charger")</f>
        <v>Wireless Induction Charger</v>
      </c>
      <c r="E4" s="6" t="str">
        <f>'Raw Data Sales'!F4</f>
        <v>Electronics</v>
      </c>
      <c r="F4" s="6">
        <f>'Raw Data Sales'!M4</f>
        <v>70</v>
      </c>
      <c r="G4" s="6">
        <f>'Raw Data Sales'!N4</f>
        <v>205.91</v>
      </c>
      <c r="H4" s="6" t="str">
        <f>'Raw Data Sales'!O4</f>
        <v>Cash</v>
      </c>
    </row>
    <row r="5">
      <c r="A5" s="6">
        <f>'Raw Data Sales'!A5</f>
        <v>4</v>
      </c>
      <c r="B5" s="8">
        <f>IFERROR(__xludf.DUMMYFUNCTION("""COMPUTED_VALUE"""),44247.0)</f>
        <v>44247</v>
      </c>
      <c r="C5" s="6" t="str">
        <f>IFERROR(__xludf.DUMMYFUNCTION("UNIQUE('Raw Data Sales'!H5:H1003 &amp; "" "" &amp; 'Raw Data Sales'!I5:I1003)"),"Giustina Hares")</f>
        <v>Giustina Hares</v>
      </c>
      <c r="D5" s="6" t="str">
        <f>IFERROR(__xludf.DUMMYFUNCTION("""COMPUTED_VALUE"""),"Herbed Mushroom Risotto")</f>
        <v>Herbed Mushroom Risotto</v>
      </c>
      <c r="E5" s="6" t="str">
        <f>'Raw Data Sales'!F5</f>
        <v>Food - Prepared Foods</v>
      </c>
      <c r="F5" s="6">
        <f>'Raw Data Sales'!M5</f>
        <v>93</v>
      </c>
      <c r="G5" s="6">
        <f>'Raw Data Sales'!N5</f>
        <v>8714.41</v>
      </c>
      <c r="H5" s="6" t="str">
        <f>'Raw Data Sales'!O5</f>
        <v>Credit Card</v>
      </c>
    </row>
    <row r="6">
      <c r="A6" s="6">
        <f>'Raw Data Sales'!A6</f>
        <v>5</v>
      </c>
      <c r="B6" s="8">
        <f>IFERROR(__xludf.DUMMYFUNCTION("""COMPUTED_VALUE"""),44011.0)</f>
        <v>44011</v>
      </c>
      <c r="C6" s="6" t="str">
        <f>IFERROR(__xludf.DUMMYFUNCTION("UNIQUE('Raw Data Sales'!H6:H1004 &amp; "" "" &amp; 'Raw Data Sales'!I6:I1004)"),"Burch Spurden")</f>
        <v>Burch Spurden</v>
      </c>
      <c r="D6" s="6" t="str">
        <f>IFERROR(__xludf.DUMMYFUNCTION("""COMPUTED_VALUE"""),"Pesto Pasta Sauce")</f>
        <v>Pesto Pasta Sauce</v>
      </c>
      <c r="E6" s="6" t="str">
        <f>'Raw Data Sales'!F6</f>
        <v>Food - Sauces</v>
      </c>
      <c r="F6" s="6">
        <f>'Raw Data Sales'!M6</f>
        <v>25</v>
      </c>
      <c r="G6" s="6">
        <f>'Raw Data Sales'!N6</f>
        <v>1881.39</v>
      </c>
      <c r="H6" s="6" t="str">
        <f>'Raw Data Sales'!O6</f>
        <v>Cash</v>
      </c>
    </row>
    <row r="7">
      <c r="A7" s="6">
        <f>'Raw Data Sales'!A7</f>
        <v>6</v>
      </c>
      <c r="B7" s="8">
        <f>IFERROR(__xludf.DUMMYFUNCTION("""COMPUTED_VALUE"""),44236.0)</f>
        <v>44236</v>
      </c>
      <c r="C7" s="6" t="str">
        <f>IFERROR(__xludf.DUMMYFUNCTION("UNIQUE('Raw Data Sales'!H7:H1005 &amp; "" "" &amp; 'Raw Data Sales'!I7:I1005)"),"D'arcy Norvel")</f>
        <v>D'arcy Norvel</v>
      </c>
      <c r="D7" s="6" t="str">
        <f>IFERROR(__xludf.DUMMYFUNCTION("""COMPUTED_VALUE"""),"Digital Food Thermometer")</f>
        <v>Digital Food Thermometer</v>
      </c>
      <c r="E7" s="6" t="str">
        <f>'Raw Data Sales'!F7</f>
        <v>Kitchen</v>
      </c>
      <c r="F7" s="6">
        <f>'Raw Data Sales'!M7</f>
        <v>36</v>
      </c>
      <c r="G7" s="6">
        <f>'Raw Data Sales'!N7</f>
        <v>9400.42</v>
      </c>
      <c r="H7" s="6" t="str">
        <f>'Raw Data Sales'!O7</f>
        <v>Cash</v>
      </c>
    </row>
    <row r="8">
      <c r="A8" s="6">
        <f>'Raw Data Sales'!A8</f>
        <v>7</v>
      </c>
      <c r="B8" s="8">
        <f>IFERROR(__xludf.DUMMYFUNCTION("""COMPUTED_VALUE"""),44455.0)</f>
        <v>44455</v>
      </c>
      <c r="C8" s="6" t="str">
        <f>IFERROR(__xludf.DUMMYFUNCTION("UNIQUE('Raw Data Sales'!H8:H1006 &amp; "" "" &amp; 'Raw Data Sales'!I8:I1006)"),"Westley Krier")</f>
        <v>Westley Krier</v>
      </c>
      <c r="D8" s="6" t="str">
        <f>IFERROR(__xludf.DUMMYFUNCTION("""COMPUTED_VALUE"""),"Vegetable Spiralizer")</f>
        <v>Vegetable Spiralizer</v>
      </c>
      <c r="E8" s="6" t="str">
        <f>'Raw Data Sales'!F8</f>
        <v>Kitchen</v>
      </c>
      <c r="F8" s="6">
        <f>'Raw Data Sales'!M8</f>
        <v>69</v>
      </c>
      <c r="G8" s="6">
        <f>'Raw Data Sales'!N8</f>
        <v>3048.02</v>
      </c>
      <c r="H8" s="6" t="str">
        <f>'Raw Data Sales'!O8</f>
        <v>Cash</v>
      </c>
    </row>
    <row r="9">
      <c r="A9" s="6">
        <f>'Raw Data Sales'!A9</f>
        <v>8</v>
      </c>
      <c r="B9" s="8">
        <f>IFERROR(__xludf.DUMMYFUNCTION("""COMPUTED_VALUE"""),44206.0)</f>
        <v>44206</v>
      </c>
      <c r="C9" s="6" t="str">
        <f>IFERROR(__xludf.DUMMYFUNCTION("UNIQUE('Raw Data Sales'!H9:H1007 &amp; "" "" &amp; 'Raw Data Sales'!I9:I1007)"),"Clayton Quenby")</f>
        <v>Clayton Quenby</v>
      </c>
      <c r="D9" s="6" t="str">
        <f>IFERROR(__xludf.DUMMYFUNCTION("""COMPUTED_VALUE"""),"Travel Hair Straightener")</f>
        <v>Travel Hair Straightener</v>
      </c>
      <c r="E9" s="6" t="str">
        <f>'Raw Data Sales'!F9</f>
        <v>Beauty</v>
      </c>
      <c r="F9" s="6">
        <f>'Raw Data Sales'!M9</f>
        <v>25</v>
      </c>
      <c r="G9" s="6">
        <f>'Raw Data Sales'!N9</f>
        <v>1135.79</v>
      </c>
      <c r="H9" s="6" t="str">
        <f>'Raw Data Sales'!O9</f>
        <v>PayPal</v>
      </c>
    </row>
    <row r="10">
      <c r="A10" s="6">
        <f>'Raw Data Sales'!A10</f>
        <v>9</v>
      </c>
      <c r="B10" s="8">
        <f>IFERROR(__xludf.DUMMYFUNCTION("""COMPUTED_VALUE"""),43840.0)</f>
        <v>43840</v>
      </c>
      <c r="C10" s="6" t="str">
        <f>IFERROR(__xludf.DUMMYFUNCTION("UNIQUE('Raw Data Sales'!H10:H1008 &amp; "" "" &amp; 'Raw Data Sales'!I10:I1008)"),"Dalston Darkins")</f>
        <v>Dalston Darkins</v>
      </c>
      <c r="D10" s="6" t="str">
        <f>IFERROR(__xludf.DUMMYFUNCTION("""COMPUTED_VALUE"""),"Dog Collar")</f>
        <v>Dog Collar</v>
      </c>
      <c r="E10" s="6" t="str">
        <f>'Raw Data Sales'!F10</f>
        <v>Pets</v>
      </c>
      <c r="F10" s="6">
        <f>'Raw Data Sales'!M10</f>
        <v>20</v>
      </c>
      <c r="G10" s="6">
        <f>'Raw Data Sales'!N10</f>
        <v>7919.81</v>
      </c>
      <c r="H10" s="6" t="str">
        <f>'Raw Data Sales'!O10</f>
        <v>PayPal</v>
      </c>
    </row>
    <row r="11">
      <c r="A11" s="6">
        <f>'Raw Data Sales'!A11</f>
        <v>10</v>
      </c>
      <c r="B11" s="8">
        <f>IFERROR(__xludf.DUMMYFUNCTION("""COMPUTED_VALUE"""),43901.0)</f>
        <v>43901</v>
      </c>
      <c r="C11" s="6" t="str">
        <f>IFERROR(__xludf.DUMMYFUNCTION("UNIQUE('Raw Data Sales'!H11:H1009 &amp; "" "" &amp; 'Raw Data Sales'!I11:I1009)"),"Courtenay Gilpillan")</f>
        <v>Courtenay Gilpillan</v>
      </c>
      <c r="D11" s="6" t="str">
        <f>IFERROR(__xludf.DUMMYFUNCTION("""COMPUTED_VALUE"""),"Compact Electric Kettle")</f>
        <v>Compact Electric Kettle</v>
      </c>
      <c r="E11" s="6" t="str">
        <f>'Raw Data Sales'!F11</f>
        <v>Kitchen</v>
      </c>
      <c r="F11" s="6">
        <f>'Raw Data Sales'!M11</f>
        <v>39</v>
      </c>
      <c r="G11" s="6">
        <f>'Raw Data Sales'!N11</f>
        <v>9904.39</v>
      </c>
      <c r="H11" s="6" t="str">
        <f>'Raw Data Sales'!O11</f>
        <v>Credit Card</v>
      </c>
    </row>
    <row r="12">
      <c r="A12" s="6">
        <f>'Raw Data Sales'!A12</f>
        <v>11</v>
      </c>
      <c r="B12" s="8">
        <f>IFERROR(__xludf.DUMMYFUNCTION("""COMPUTED_VALUE"""),44376.0)</f>
        <v>44376</v>
      </c>
      <c r="C12" s="6" t="str">
        <f>IFERROR(__xludf.DUMMYFUNCTION("UNIQUE('Raw Data Sales'!H12:H1010 &amp; "" "" &amp; 'Raw Data Sales'!I12:I1010)"),"Pernell Sawley")</f>
        <v>Pernell Sawley</v>
      </c>
      <c r="D12" s="6" t="str">
        <f>IFERROR(__xludf.DUMMYFUNCTION("""COMPUTED_VALUE"""),"Italian Herb Balsamic Marinade")</f>
        <v>Italian Herb Balsamic Marinade</v>
      </c>
      <c r="E12" s="6" t="str">
        <f>'Raw Data Sales'!F12</f>
        <v>Food - Condiments</v>
      </c>
      <c r="F12" s="6">
        <f>'Raw Data Sales'!M12</f>
        <v>1</v>
      </c>
      <c r="G12" s="6">
        <f>'Raw Data Sales'!N12</f>
        <v>5119.51</v>
      </c>
      <c r="H12" s="6" t="str">
        <f>'Raw Data Sales'!O12</f>
        <v>Cash</v>
      </c>
    </row>
    <row r="13">
      <c r="A13" s="6">
        <f>'Raw Data Sales'!A13</f>
        <v>12</v>
      </c>
      <c r="B13" s="8">
        <f>IFERROR(__xludf.DUMMYFUNCTION("""COMPUTED_VALUE"""),44010.0)</f>
        <v>44010</v>
      </c>
      <c r="C13" s="6" t="str">
        <f>IFERROR(__xludf.DUMMYFUNCTION("UNIQUE('Raw Data Sales'!H13:H1011 &amp; "" "" &amp; 'Raw Data Sales'!I13:I1011)"),"Kristyn Alejandre")</f>
        <v>Kristyn Alejandre</v>
      </c>
      <c r="D13" s="6" t="str">
        <f>IFERROR(__xludf.DUMMYFUNCTION("""COMPUTED_VALUE"""),"Whipped Cream Cheese")</f>
        <v>Whipped Cream Cheese</v>
      </c>
      <c r="E13" s="6" t="str">
        <f>'Raw Data Sales'!F13</f>
        <v>Food - Dairy</v>
      </c>
      <c r="F13" s="6">
        <f>'Raw Data Sales'!M13</f>
        <v>49</v>
      </c>
      <c r="G13" s="6">
        <f>'Raw Data Sales'!N13</f>
        <v>1482.23</v>
      </c>
      <c r="H13" s="6" t="str">
        <f>'Raw Data Sales'!O13</f>
        <v>Credit Card</v>
      </c>
    </row>
    <row r="14">
      <c r="A14" s="6">
        <f>'Raw Data Sales'!A14</f>
        <v>13</v>
      </c>
      <c r="B14" s="8">
        <f>IFERROR(__xludf.DUMMYFUNCTION("""COMPUTED_VALUE"""),44119.0)</f>
        <v>44119</v>
      </c>
      <c r="C14" s="6" t="str">
        <f>IFERROR(__xludf.DUMMYFUNCTION("UNIQUE('Raw Data Sales'!H14:H1012 &amp; "" "" &amp; 'Raw Data Sales'!I14:I1012)"),"Donnajean Truitt")</f>
        <v>Donnajean Truitt</v>
      </c>
      <c r="D14" s="6" t="str">
        <f>IFERROR(__xludf.DUMMYFUNCTION("""COMPUTED_VALUE"""),"Lemon Lime Sparkling Water")</f>
        <v>Lemon Lime Sparkling Water</v>
      </c>
      <c r="E14" s="6" t="str">
        <f>'Raw Data Sales'!F14</f>
        <v>Food - Beverages</v>
      </c>
      <c r="F14" s="6">
        <f>'Raw Data Sales'!M14</f>
        <v>78</v>
      </c>
      <c r="G14" s="6">
        <f>'Raw Data Sales'!N14</f>
        <v>7984.75</v>
      </c>
      <c r="H14" s="6" t="str">
        <f>'Raw Data Sales'!O14</f>
        <v>Cash</v>
      </c>
    </row>
    <row r="15">
      <c r="A15" s="6">
        <f>'Raw Data Sales'!A15</f>
        <v>14</v>
      </c>
      <c r="B15" s="8">
        <f>IFERROR(__xludf.DUMMYFUNCTION("""COMPUTED_VALUE"""),43895.0)</f>
        <v>43895</v>
      </c>
      <c r="C15" s="6" t="str">
        <f>IFERROR(__xludf.DUMMYFUNCTION("UNIQUE('Raw Data Sales'!H15:H1013 &amp; "" "" &amp; 'Raw Data Sales'!I15:I1013)"),"Moe Siebart")</f>
        <v>Moe Siebart</v>
      </c>
      <c r="D15" s="6" t="str">
        <f>IFERROR(__xludf.DUMMYFUNCTION("""COMPUTED_VALUE"""),"Over-The-Door Shoe Organizer")</f>
        <v>Over-The-Door Shoe Organizer</v>
      </c>
      <c r="E15" s="6" t="str">
        <f>'Raw Data Sales'!F15</f>
        <v>Home</v>
      </c>
      <c r="F15" s="6">
        <f>'Raw Data Sales'!M15</f>
        <v>11</v>
      </c>
      <c r="G15" s="6">
        <f>'Raw Data Sales'!N15</f>
        <v>6223.28</v>
      </c>
      <c r="H15" s="6" t="str">
        <f>'Raw Data Sales'!O15</f>
        <v>PayPal</v>
      </c>
    </row>
    <row r="16">
      <c r="A16" s="6">
        <f>'Raw Data Sales'!A16</f>
        <v>15</v>
      </c>
      <c r="B16" s="8">
        <f>IFERROR(__xludf.DUMMYFUNCTION("""COMPUTED_VALUE"""),44124.0)</f>
        <v>44124</v>
      </c>
      <c r="C16" s="6" t="str">
        <f>IFERROR(__xludf.DUMMYFUNCTION("UNIQUE('Raw Data Sales'!H16:H1014 &amp; "" "" &amp; 'Raw Data Sales'!I16:I1014)"),"Gibby Ibanez")</f>
        <v>Gibby Ibanez</v>
      </c>
      <c r="D16" s="6" t="str">
        <f>IFERROR(__xludf.DUMMYFUNCTION("""COMPUTED_VALUE"""),"Trackpad for Laptop")</f>
        <v>Trackpad for Laptop</v>
      </c>
      <c r="E16" s="6" t="str">
        <f>'Raw Data Sales'!F16</f>
        <v>Accessories</v>
      </c>
      <c r="F16" s="6">
        <f>'Raw Data Sales'!M16</f>
        <v>21</v>
      </c>
      <c r="G16" s="6">
        <f>'Raw Data Sales'!N16</f>
        <v>6990.63</v>
      </c>
      <c r="H16" s="6" t="str">
        <f>'Raw Data Sales'!O16</f>
        <v>Credit Card</v>
      </c>
    </row>
    <row r="17">
      <c r="A17" s="6">
        <f>'Raw Data Sales'!A17</f>
        <v>16</v>
      </c>
      <c r="B17" s="8">
        <f>IFERROR(__xludf.DUMMYFUNCTION("""COMPUTED_VALUE"""),43855.0)</f>
        <v>43855</v>
      </c>
      <c r="C17" s="6" t="str">
        <f>IFERROR(__xludf.DUMMYFUNCTION("UNIQUE('Raw Data Sales'!H17:H1015 &amp; "" "" &amp; 'Raw Data Sales'!I17:I1015)"),"Bartholomeo Huggons")</f>
        <v>Bartholomeo Huggons</v>
      </c>
      <c r="D17" s="6" t="str">
        <f>IFERROR(__xludf.DUMMYFUNCTION("""COMPUTED_VALUE"""),"Electric Griddle with Lid")</f>
        <v>Electric Griddle with Lid</v>
      </c>
      <c r="E17" s="6" t="str">
        <f>'Raw Data Sales'!F17</f>
        <v>Kitchen</v>
      </c>
      <c r="F17" s="6">
        <f>'Raw Data Sales'!M17</f>
        <v>29</v>
      </c>
      <c r="G17" s="6">
        <f>'Raw Data Sales'!N17</f>
        <v>4354.31</v>
      </c>
      <c r="H17" s="6" t="str">
        <f>'Raw Data Sales'!O17</f>
        <v>Credit Card</v>
      </c>
    </row>
    <row r="18">
      <c r="A18" s="6">
        <f>'Raw Data Sales'!A18</f>
        <v>17</v>
      </c>
      <c r="B18" s="8">
        <f>IFERROR(__xludf.DUMMYFUNCTION("""COMPUTED_VALUE"""),44220.0)</f>
        <v>44220</v>
      </c>
      <c r="C18" s="6" t="str">
        <f>IFERROR(__xludf.DUMMYFUNCTION("UNIQUE('Raw Data Sales'!H18:H1016 &amp; "" "" &amp; 'Raw Data Sales'!I18:I1016)"),"Carolee Lossman")</f>
        <v>Carolee Lossman</v>
      </c>
      <c r="D18" s="6" t="str">
        <f>IFERROR(__xludf.DUMMYFUNCTION("""COMPUTED_VALUE"""),"Smart Plug")</f>
        <v>Smart Plug</v>
      </c>
      <c r="E18" s="6" t="str">
        <f>'Raw Data Sales'!F18</f>
        <v>Smart Home</v>
      </c>
      <c r="F18" s="6">
        <f>'Raw Data Sales'!M18</f>
        <v>64</v>
      </c>
      <c r="G18" s="6">
        <f>'Raw Data Sales'!N18</f>
        <v>6168.49</v>
      </c>
      <c r="H18" s="6" t="str">
        <f>'Raw Data Sales'!O18</f>
        <v>Credit Card</v>
      </c>
    </row>
    <row r="19">
      <c r="A19" s="6">
        <f>'Raw Data Sales'!A19</f>
        <v>18</v>
      </c>
      <c r="B19" s="8">
        <f>IFERROR(__xludf.DUMMYFUNCTION("""COMPUTED_VALUE"""),43933.0)</f>
        <v>43933</v>
      </c>
      <c r="C19" s="6" t="str">
        <f>IFERROR(__xludf.DUMMYFUNCTION("UNIQUE('Raw Data Sales'!H19:H1017 &amp; "" "" &amp; 'Raw Data Sales'!I19:I1017)"),"Hill Izsak")</f>
        <v>Hill Izsak</v>
      </c>
      <c r="D19" s="6" t="str">
        <f>IFERROR(__xludf.DUMMYFUNCTION("""COMPUTED_VALUE"""),"Microfiber Cleaning Cloth Set")</f>
        <v>Microfiber Cleaning Cloth Set</v>
      </c>
      <c r="E19" s="6" t="str">
        <f>'Raw Data Sales'!F19</f>
        <v>Home</v>
      </c>
      <c r="F19" s="6">
        <f>'Raw Data Sales'!M19</f>
        <v>25</v>
      </c>
      <c r="G19" s="6">
        <f>'Raw Data Sales'!N19</f>
        <v>9172.97</v>
      </c>
      <c r="H19" s="6" t="str">
        <f>'Raw Data Sales'!O19</f>
        <v>Credit Card</v>
      </c>
    </row>
    <row r="20">
      <c r="A20" s="6">
        <f>'Raw Data Sales'!A20</f>
        <v>19</v>
      </c>
      <c r="B20" s="8">
        <f>IFERROR(__xludf.DUMMYFUNCTION("""COMPUTED_VALUE"""),44093.0)</f>
        <v>44093</v>
      </c>
      <c r="C20" s="6" t="str">
        <f>IFERROR(__xludf.DUMMYFUNCTION("UNIQUE('Raw Data Sales'!H20:H1018 &amp; "" "" &amp; 'Raw Data Sales'!I20:I1018)"),"Hayley Schurcke")</f>
        <v>Hayley Schurcke</v>
      </c>
      <c r="D20" s="6" t="str">
        <f>IFERROR(__xludf.DUMMYFUNCTION("""COMPUTED_VALUE"""),"Mediterranean Couscous")</f>
        <v>Mediterranean Couscous</v>
      </c>
      <c r="E20" s="6" t="str">
        <f>'Raw Data Sales'!F20</f>
        <v>Food - Grains</v>
      </c>
      <c r="F20" s="6">
        <f>'Raw Data Sales'!M20</f>
        <v>58</v>
      </c>
      <c r="G20" s="6">
        <f>'Raw Data Sales'!N20</f>
        <v>8194.18</v>
      </c>
      <c r="H20" s="6" t="str">
        <f>'Raw Data Sales'!O20</f>
        <v>Cash</v>
      </c>
    </row>
    <row r="21">
      <c r="A21" s="6">
        <f>'Raw Data Sales'!A21</f>
        <v>20</v>
      </c>
      <c r="B21" s="8">
        <f>IFERROR(__xludf.DUMMYFUNCTION("""COMPUTED_VALUE"""),44159.0)</f>
        <v>44159</v>
      </c>
      <c r="C21" s="6" t="str">
        <f>IFERROR(__xludf.DUMMYFUNCTION("UNIQUE('Raw Data Sales'!H21:H1019 &amp; "" "" &amp; 'Raw Data Sales'!I21:I1019)"),"Cristionna Tresise")</f>
        <v>Cristionna Tresise</v>
      </c>
      <c r="D21" s="6" t="str">
        <f>IFERROR(__xludf.DUMMYFUNCTION("""COMPUTED_VALUE"""),"Weighted Jump Rope")</f>
        <v>Weighted Jump Rope</v>
      </c>
      <c r="E21" s="6" t="str">
        <f>'Raw Data Sales'!F21</f>
        <v>Fitness</v>
      </c>
      <c r="F21" s="6">
        <f>'Raw Data Sales'!M21</f>
        <v>25</v>
      </c>
      <c r="G21" s="6">
        <f>'Raw Data Sales'!N21</f>
        <v>1397.42</v>
      </c>
      <c r="H21" s="6" t="str">
        <f>'Raw Data Sales'!O21</f>
        <v>Cash</v>
      </c>
    </row>
    <row r="22">
      <c r="A22" s="6">
        <f>'Raw Data Sales'!A22</f>
        <v>21</v>
      </c>
      <c r="B22" s="8">
        <f>IFERROR(__xludf.DUMMYFUNCTION("""COMPUTED_VALUE"""),44326.0)</f>
        <v>44326</v>
      </c>
      <c r="C22" s="6" t="str">
        <f>IFERROR(__xludf.DUMMYFUNCTION("UNIQUE('Raw Data Sales'!H22:H1020 &amp; "" "" &amp; 'Raw Data Sales'!I22:I1020)"),"Gherardo Bonnell")</f>
        <v>Gherardo Bonnell</v>
      </c>
      <c r="D22" s="6" t="str">
        <f>IFERROR(__xludf.DUMMYFUNCTION("""COMPUTED_VALUE"""),"Instant Mashed Potatoes")</f>
        <v>Instant Mashed Potatoes</v>
      </c>
      <c r="E22" s="6" t="str">
        <f>'Raw Data Sales'!F22</f>
        <v>Food - Sides</v>
      </c>
      <c r="F22" s="6">
        <f>'Raw Data Sales'!M22</f>
        <v>16</v>
      </c>
      <c r="G22" s="6">
        <f>'Raw Data Sales'!N22</f>
        <v>7180.54</v>
      </c>
      <c r="H22" s="6" t="str">
        <f>'Raw Data Sales'!O22</f>
        <v>Cash</v>
      </c>
    </row>
    <row r="23">
      <c r="A23" s="6">
        <f>'Raw Data Sales'!A23</f>
        <v>22</v>
      </c>
      <c r="B23" s="8">
        <f>IFERROR(__xludf.DUMMYFUNCTION("""COMPUTED_VALUE"""),43841.0)</f>
        <v>43841</v>
      </c>
      <c r="C23" s="6" t="str">
        <f>IFERROR(__xludf.DUMMYFUNCTION("UNIQUE('Raw Data Sales'!H23:H1021 &amp; "" "" &amp; 'Raw Data Sales'!I23:I1021)"),"Dorry Benwell")</f>
        <v>Dorry Benwell</v>
      </c>
      <c r="D23" s="6" t="str">
        <f>IFERROR(__xludf.DUMMYFUNCTION("""COMPUTED_VALUE"""),"Vintage Button-Down Shirt")</f>
        <v>Vintage Button-Down Shirt</v>
      </c>
      <c r="E23" s="6" t="str">
        <f>'Raw Data Sales'!F23</f>
        <v>Clothing - Shirts</v>
      </c>
      <c r="F23" s="6">
        <f>'Raw Data Sales'!M23</f>
        <v>26</v>
      </c>
      <c r="G23" s="6">
        <f>'Raw Data Sales'!N23</f>
        <v>120.28</v>
      </c>
      <c r="H23" s="6" t="str">
        <f>'Raw Data Sales'!O23</f>
        <v>Cash</v>
      </c>
    </row>
    <row r="24">
      <c r="A24" s="6">
        <f>'Raw Data Sales'!A24</f>
        <v>23</v>
      </c>
      <c r="B24" s="8">
        <f>IFERROR(__xludf.DUMMYFUNCTION("""COMPUTED_VALUE"""),44384.0)</f>
        <v>44384</v>
      </c>
      <c r="C24" s="6" t="str">
        <f>IFERROR(__xludf.DUMMYFUNCTION("UNIQUE('Raw Data Sales'!H24:H1022 &amp; "" "" &amp; 'Raw Data Sales'!I24:I1022)"),"Sherwin Golds")</f>
        <v>Sherwin Golds</v>
      </c>
      <c r="D24" s="6" t="str">
        <f>IFERROR(__xludf.DUMMYFUNCTION("""COMPUTED_VALUE"""),"Black Bean Soup")</f>
        <v>Black Bean Soup</v>
      </c>
      <c r="E24" s="6" t="str">
        <f>'Raw Data Sales'!F24</f>
        <v>Food - Soups</v>
      </c>
      <c r="F24" s="6">
        <f>'Raw Data Sales'!M24</f>
        <v>42</v>
      </c>
      <c r="G24" s="6">
        <f>'Raw Data Sales'!N24</f>
        <v>3597.95</v>
      </c>
      <c r="H24" s="6" t="str">
        <f>'Raw Data Sales'!O24</f>
        <v>PayPal</v>
      </c>
    </row>
    <row r="25">
      <c r="A25" s="6">
        <f>'Raw Data Sales'!A25</f>
        <v>24</v>
      </c>
      <c r="B25" s="8">
        <f>IFERROR(__xludf.DUMMYFUNCTION("""COMPUTED_VALUE"""),43906.0)</f>
        <v>43906</v>
      </c>
      <c r="C25" s="6" t="str">
        <f>IFERROR(__xludf.DUMMYFUNCTION("UNIQUE('Raw Data Sales'!H25:H1023 &amp; "" "" &amp; 'Raw Data Sales'!I25:I1023)"),"Nichols Edmenson")</f>
        <v>Nichols Edmenson</v>
      </c>
      <c r="D25" s="6" t="str">
        <f>IFERROR(__xludf.DUMMYFUNCTION("""COMPUTED_VALUE"""),"Home Office Chair")</f>
        <v>Home Office Chair</v>
      </c>
      <c r="E25" s="6" t="str">
        <f>'Raw Data Sales'!F25</f>
        <v>Furniture</v>
      </c>
      <c r="F25" s="6">
        <f>'Raw Data Sales'!M25</f>
        <v>47</v>
      </c>
      <c r="G25" s="6">
        <f>'Raw Data Sales'!N25</f>
        <v>792.14</v>
      </c>
      <c r="H25" s="6" t="str">
        <f>'Raw Data Sales'!O25</f>
        <v>PayPal</v>
      </c>
    </row>
    <row r="26">
      <c r="A26" s="6">
        <f>'Raw Data Sales'!A26</f>
        <v>25</v>
      </c>
      <c r="B26" s="8">
        <f>IFERROR(__xludf.DUMMYFUNCTION("""COMPUTED_VALUE"""),44345.0)</f>
        <v>44345</v>
      </c>
      <c r="C26" s="6" t="str">
        <f>IFERROR(__xludf.DUMMYFUNCTION("UNIQUE('Raw Data Sales'!H26:H1024 &amp; "" "" &amp; 'Raw Data Sales'!I26:I1024)"),"Jorey Haker")</f>
        <v>Jorey Haker</v>
      </c>
      <c r="D26" s="6" t="str">
        <f>IFERROR(__xludf.DUMMYFUNCTION("""COMPUTED_VALUE"""),"Car Vacuum Cleaner")</f>
        <v>Car Vacuum Cleaner</v>
      </c>
      <c r="E26" s="6" t="str">
        <f>'Raw Data Sales'!F26</f>
        <v>Automotive</v>
      </c>
      <c r="F26" s="6">
        <f>'Raw Data Sales'!M26</f>
        <v>3</v>
      </c>
      <c r="G26" s="6">
        <f>'Raw Data Sales'!N26</f>
        <v>5186.98</v>
      </c>
      <c r="H26" s="6" t="str">
        <f>'Raw Data Sales'!O26</f>
        <v>Cash</v>
      </c>
    </row>
    <row r="27">
      <c r="A27" s="6">
        <f>'Raw Data Sales'!A27</f>
        <v>26</v>
      </c>
      <c r="B27" s="8">
        <f>IFERROR(__xludf.DUMMYFUNCTION("""COMPUTED_VALUE"""),44516.0)</f>
        <v>44516</v>
      </c>
      <c r="C27" s="6" t="str">
        <f>IFERROR(__xludf.DUMMYFUNCTION("UNIQUE('Raw Data Sales'!H27:H1025 &amp; "" "" &amp; 'Raw Data Sales'!I27:I1025)"),"Chas Chagg")</f>
        <v>Chas Chagg</v>
      </c>
      <c r="D27" s="6" t="str">
        <f>IFERROR(__xludf.DUMMYFUNCTION("""COMPUTED_VALUE"""),"Savory Rice Cakes")</f>
        <v>Savory Rice Cakes</v>
      </c>
      <c r="E27" s="6" t="str">
        <f>'Raw Data Sales'!F27</f>
        <v>Food - Snacks</v>
      </c>
      <c r="F27" s="6">
        <f>'Raw Data Sales'!M27</f>
        <v>85</v>
      </c>
      <c r="G27" s="6">
        <f>'Raw Data Sales'!N27</f>
        <v>1768.48</v>
      </c>
      <c r="H27" s="6" t="str">
        <f>'Raw Data Sales'!O27</f>
        <v>Credit Card</v>
      </c>
    </row>
    <row r="28">
      <c r="A28" s="6">
        <f>'Raw Data Sales'!A28</f>
        <v>27</v>
      </c>
      <c r="B28" s="8">
        <f>IFERROR(__xludf.DUMMYFUNCTION("""COMPUTED_VALUE"""),44392.0)</f>
        <v>44392</v>
      </c>
      <c r="C28" s="6" t="str">
        <f>IFERROR(__xludf.DUMMYFUNCTION("UNIQUE('Raw Data Sales'!H28:H1026 &amp; "" "" &amp; 'Raw Data Sales'!I28:I1026)"),"Kirbie Rothon")</f>
        <v>Kirbie Rothon</v>
      </c>
      <c r="D28" s="6" t="str">
        <f>IFERROR(__xludf.DUMMYFUNCTION("""COMPUTED_VALUE"""),"Digital Drawing Tablet")</f>
        <v>Digital Drawing Tablet</v>
      </c>
      <c r="E28" s="6" t="str">
        <f>'Raw Data Sales'!F28</f>
        <v>Art Supplies</v>
      </c>
      <c r="F28" s="6">
        <f>'Raw Data Sales'!M28</f>
        <v>15</v>
      </c>
      <c r="G28" s="6">
        <f>'Raw Data Sales'!N28</f>
        <v>6170.8</v>
      </c>
      <c r="H28" s="6" t="str">
        <f>'Raw Data Sales'!O28</f>
        <v>Credit Card</v>
      </c>
    </row>
    <row r="29">
      <c r="A29" s="6">
        <f>'Raw Data Sales'!A29</f>
        <v>28</v>
      </c>
      <c r="B29" s="8">
        <f>IFERROR(__xludf.DUMMYFUNCTION("""COMPUTED_VALUE"""),44525.0)</f>
        <v>44525</v>
      </c>
      <c r="C29" s="6" t="str">
        <f>IFERROR(__xludf.DUMMYFUNCTION("UNIQUE('Raw Data Sales'!H29:H1027 &amp; "" "" &amp; 'Raw Data Sales'!I29:I1027)"),"Lotte Hazeldene")</f>
        <v>Lotte Hazeldene</v>
      </c>
      <c r="D29" s="6" t="str">
        <f>IFERROR(__xludf.DUMMYFUNCTION("""COMPUTED_VALUE"""),"Biodegradable Trash Bags")</f>
        <v>Biodegradable Trash Bags</v>
      </c>
      <c r="E29" s="6" t="str">
        <f>'Raw Data Sales'!F29</f>
        <v>Home</v>
      </c>
      <c r="F29" s="6">
        <f>'Raw Data Sales'!M29</f>
        <v>100</v>
      </c>
      <c r="G29" s="6">
        <f>'Raw Data Sales'!N29</f>
        <v>7819.25</v>
      </c>
      <c r="H29" s="6" t="str">
        <f>'Raw Data Sales'!O29</f>
        <v>Credit Card</v>
      </c>
    </row>
    <row r="30">
      <c r="A30" s="6">
        <f>'Raw Data Sales'!A30</f>
        <v>29</v>
      </c>
      <c r="B30" s="8">
        <f>IFERROR(__xludf.DUMMYFUNCTION("""COMPUTED_VALUE"""),44398.0)</f>
        <v>44398</v>
      </c>
      <c r="C30" s="6" t="str">
        <f>IFERROR(__xludf.DUMMYFUNCTION("UNIQUE('Raw Data Sales'!H30:H1028 &amp; "" "" &amp; 'Raw Data Sales'!I30:I1028)"),"Lida Ades")</f>
        <v>Lida Ades</v>
      </c>
      <c r="D30" s="6" t="str">
        <f>IFERROR(__xludf.DUMMYFUNCTION("""COMPUTED_VALUE"""),"Camera Lens Cleaning Kit")</f>
        <v>Camera Lens Cleaning Kit</v>
      </c>
      <c r="E30" s="6" t="str">
        <f>'Raw Data Sales'!F30</f>
        <v>Photography</v>
      </c>
      <c r="F30" s="6">
        <f>'Raw Data Sales'!M30</f>
        <v>99</v>
      </c>
      <c r="G30" s="6">
        <f>'Raw Data Sales'!N30</f>
        <v>89.42</v>
      </c>
      <c r="H30" s="6" t="str">
        <f>'Raw Data Sales'!O30</f>
        <v>PayPal</v>
      </c>
    </row>
    <row r="31">
      <c r="A31" s="6">
        <f>'Raw Data Sales'!A31</f>
        <v>30</v>
      </c>
      <c r="B31" s="8">
        <f>IFERROR(__xludf.DUMMYFUNCTION("""COMPUTED_VALUE"""),44429.0)</f>
        <v>44429</v>
      </c>
      <c r="C31" s="6" t="str">
        <f>IFERROR(__xludf.DUMMYFUNCTION("UNIQUE('Raw Data Sales'!H31:H1029 &amp; "" "" &amp; 'Raw Data Sales'!I31:I1029)"),"Sullivan Huster")</f>
        <v>Sullivan Huster</v>
      </c>
      <c r="D31" s="6" t="str">
        <f>IFERROR(__xludf.DUMMYFUNCTION("""COMPUTED_VALUE"""),"Ribbed Knit Dress")</f>
        <v>Ribbed Knit Dress</v>
      </c>
      <c r="E31" s="6" t="str">
        <f>'Raw Data Sales'!F31</f>
        <v>Clothing - Dresses</v>
      </c>
      <c r="F31" s="6">
        <f>'Raw Data Sales'!M31</f>
        <v>13</v>
      </c>
      <c r="G31" s="6">
        <f>'Raw Data Sales'!N31</f>
        <v>6307.09</v>
      </c>
      <c r="H31" s="6" t="str">
        <f>'Raw Data Sales'!O31</f>
        <v>Credit Card</v>
      </c>
    </row>
    <row r="32">
      <c r="A32" s="6">
        <f>'Raw Data Sales'!A32</f>
        <v>31</v>
      </c>
      <c r="B32" s="8">
        <f>IFERROR(__xludf.DUMMYFUNCTION("""COMPUTED_VALUE"""),44177.0)</f>
        <v>44177</v>
      </c>
      <c r="C32" s="6" t="str">
        <f>IFERROR(__xludf.DUMMYFUNCTION("UNIQUE('Raw Data Sales'!H32:H1030 &amp; "" "" &amp; 'Raw Data Sales'!I32:I1030)"),"Eimile Boase")</f>
        <v>Eimile Boase</v>
      </c>
      <c r="D32" s="6" t="str">
        <f>IFERROR(__xludf.DUMMYFUNCTION("""COMPUTED_VALUE"""),"Shower Curtain Hooks")</f>
        <v>Shower Curtain Hooks</v>
      </c>
      <c r="E32" s="6" t="str">
        <f>'Raw Data Sales'!F32</f>
        <v>Home</v>
      </c>
      <c r="F32" s="6">
        <f>'Raw Data Sales'!M32</f>
        <v>93</v>
      </c>
      <c r="G32" s="6">
        <f>'Raw Data Sales'!N32</f>
        <v>6644.91</v>
      </c>
      <c r="H32" s="6" t="str">
        <f>'Raw Data Sales'!O32</f>
        <v>Cash</v>
      </c>
    </row>
    <row r="33">
      <c r="A33" s="6">
        <f>'Raw Data Sales'!A33</f>
        <v>32</v>
      </c>
      <c r="B33" s="8">
        <f>IFERROR(__xludf.DUMMYFUNCTION("""COMPUTED_VALUE"""),44257.0)</f>
        <v>44257</v>
      </c>
      <c r="C33" s="6" t="str">
        <f>IFERROR(__xludf.DUMMYFUNCTION("UNIQUE('Raw Data Sales'!H33:H1031 &amp; "" "" &amp; 'Raw Data Sales'!I33:I1031)"),"Jude Monery")</f>
        <v>Jude Monery</v>
      </c>
      <c r="D33" s="6" t="str">
        <f>IFERROR(__xludf.DUMMYFUNCTION("""COMPUTED_VALUE"""),"Guitar Tuner")</f>
        <v>Guitar Tuner</v>
      </c>
      <c r="E33" s="6" t="str">
        <f>'Raw Data Sales'!F33</f>
        <v>Music</v>
      </c>
      <c r="F33" s="6">
        <f>'Raw Data Sales'!M33</f>
        <v>98</v>
      </c>
      <c r="G33" s="6">
        <f>'Raw Data Sales'!N33</f>
        <v>9152.9</v>
      </c>
      <c r="H33" s="6" t="str">
        <f>'Raw Data Sales'!O33</f>
        <v>Cash</v>
      </c>
    </row>
    <row r="34">
      <c r="A34" s="6">
        <f>'Raw Data Sales'!A34</f>
        <v>33</v>
      </c>
      <c r="B34" s="8">
        <f>IFERROR(__xludf.DUMMYFUNCTION("""COMPUTED_VALUE"""),43944.0)</f>
        <v>43944</v>
      </c>
      <c r="C34" s="6" t="str">
        <f>IFERROR(__xludf.DUMMYFUNCTION("UNIQUE('Raw Data Sales'!H34:H1032 &amp; "" "" &amp; 'Raw Data Sales'!I34:I1032)"),"Fania Breheny")</f>
        <v>Fania Breheny</v>
      </c>
      <c r="D34" s="6" t="str">
        <f>IFERROR(__xludf.DUMMYFUNCTION("""COMPUTED_VALUE"""),"Thai Basil Fried Rice")</f>
        <v>Thai Basil Fried Rice</v>
      </c>
      <c r="E34" s="6" t="str">
        <f>'Raw Data Sales'!F34</f>
        <v>Food - Frozen</v>
      </c>
      <c r="F34" s="6">
        <f>'Raw Data Sales'!M34</f>
        <v>61</v>
      </c>
      <c r="G34" s="6">
        <f>'Raw Data Sales'!N34</f>
        <v>7812.34</v>
      </c>
      <c r="H34" s="6" t="str">
        <f>'Raw Data Sales'!O34</f>
        <v>PayPal</v>
      </c>
    </row>
    <row r="35">
      <c r="A35" s="6">
        <f>'Raw Data Sales'!A35</f>
        <v>34</v>
      </c>
      <c r="B35" s="8">
        <f>IFERROR(__xludf.DUMMYFUNCTION("""COMPUTED_VALUE"""),44479.0)</f>
        <v>44479</v>
      </c>
      <c r="C35" s="6" t="str">
        <f>IFERROR(__xludf.DUMMYFUNCTION("UNIQUE('Raw Data Sales'!H35:H1033 &amp; "" "" &amp; 'Raw Data Sales'!I35:I1033)"),"Dex Pinner")</f>
        <v>Dex Pinner</v>
      </c>
      <c r="D35" s="6" t="str">
        <f>IFERROR(__xludf.DUMMYFUNCTION("""COMPUTED_VALUE"""),"Rechargeable Hand Warmer")</f>
        <v>Rechargeable Hand Warmer</v>
      </c>
      <c r="E35" s="6" t="str">
        <f>'Raw Data Sales'!F35</f>
        <v>Accessories</v>
      </c>
      <c r="F35" s="6">
        <f>'Raw Data Sales'!M35</f>
        <v>4</v>
      </c>
      <c r="G35" s="6">
        <f>'Raw Data Sales'!N35</f>
        <v>4026.69</v>
      </c>
      <c r="H35" s="6" t="str">
        <f>'Raw Data Sales'!O35</f>
        <v>Credit Card</v>
      </c>
    </row>
    <row r="36">
      <c r="A36" s="6">
        <f>'Raw Data Sales'!A36</f>
        <v>35</v>
      </c>
      <c r="B36" s="8">
        <f>IFERROR(__xludf.DUMMYFUNCTION("""COMPUTED_VALUE"""),44107.0)</f>
        <v>44107</v>
      </c>
      <c r="C36" s="6" t="str">
        <f>IFERROR(__xludf.DUMMYFUNCTION("UNIQUE('Raw Data Sales'!H36:H1034 &amp; "" "" &amp; 'Raw Data Sales'!I36:I1034)"),"Glendon Boome")</f>
        <v>Glendon Boome</v>
      </c>
      <c r="D36" s="6" t="str">
        <f>IFERROR(__xludf.DUMMYFUNCTION("""COMPUTED_VALUE"""),"Canned Coconut Milk")</f>
        <v>Canned Coconut Milk</v>
      </c>
      <c r="E36" s="6" t="str">
        <f>'Raw Data Sales'!F36</f>
        <v>Food - Canned Goods</v>
      </c>
      <c r="F36" s="6">
        <f>'Raw Data Sales'!M36</f>
        <v>61</v>
      </c>
      <c r="G36" s="6">
        <f>'Raw Data Sales'!N36</f>
        <v>1483.36</v>
      </c>
      <c r="H36" s="6" t="str">
        <f>'Raw Data Sales'!O36</f>
        <v>PayPal</v>
      </c>
    </row>
    <row r="37">
      <c r="A37" s="6">
        <f>'Raw Data Sales'!A37</f>
        <v>36</v>
      </c>
      <c r="B37" s="8">
        <f>IFERROR(__xludf.DUMMYFUNCTION("""COMPUTED_VALUE"""),44340.0)</f>
        <v>44340</v>
      </c>
      <c r="C37" s="6" t="str">
        <f>IFERROR(__xludf.DUMMYFUNCTION("UNIQUE('Raw Data Sales'!H37:H1035 &amp; "" "" &amp; 'Raw Data Sales'!I37:I1035)"),"Celestia Guerrieri")</f>
        <v>Celestia Guerrieri</v>
      </c>
      <c r="D37" s="6" t="str">
        <f>IFERROR(__xludf.DUMMYFUNCTION("""COMPUTED_VALUE"""),"Tuna Fish (canned)")</f>
        <v>Tuna Fish (canned)</v>
      </c>
      <c r="E37" s="6" t="str">
        <f>'Raw Data Sales'!F37</f>
        <v>Food - Canned Goods</v>
      </c>
      <c r="F37" s="6">
        <f>'Raw Data Sales'!M37</f>
        <v>82</v>
      </c>
      <c r="G37" s="6">
        <f>'Raw Data Sales'!N37</f>
        <v>2163.95</v>
      </c>
      <c r="H37" s="6" t="str">
        <f>'Raw Data Sales'!O37</f>
        <v>PayPal</v>
      </c>
    </row>
    <row r="38">
      <c r="A38" s="6">
        <f>'Raw Data Sales'!A38</f>
        <v>37</v>
      </c>
      <c r="B38" s="8">
        <f>IFERROR(__xludf.DUMMYFUNCTION("""COMPUTED_VALUE"""),44162.0)</f>
        <v>44162</v>
      </c>
      <c r="C38" s="6" t="str">
        <f>IFERROR(__xludf.DUMMYFUNCTION("UNIQUE('Raw Data Sales'!H38:H1036 &amp; "" "" &amp; 'Raw Data Sales'!I38:I1036)"),"Karlotta Burrell")</f>
        <v>Karlotta Burrell</v>
      </c>
      <c r="D38" s="6" t="str">
        <f>IFERROR(__xludf.DUMMYFUNCTION("""COMPUTED_VALUE"""),"BBQ Lentil Chips")</f>
        <v>BBQ Lentil Chips</v>
      </c>
      <c r="E38" s="6" t="str">
        <f>'Raw Data Sales'!F38</f>
        <v>Food - Snacks</v>
      </c>
      <c r="F38" s="6">
        <f>'Raw Data Sales'!M38</f>
        <v>48</v>
      </c>
      <c r="G38" s="6">
        <f>'Raw Data Sales'!N38</f>
        <v>2660.13</v>
      </c>
      <c r="H38" s="6" t="str">
        <f>'Raw Data Sales'!O38</f>
        <v>Credit Card</v>
      </c>
    </row>
    <row r="39">
      <c r="A39" s="6">
        <f>'Raw Data Sales'!A39</f>
        <v>38</v>
      </c>
      <c r="B39" s="8">
        <f>IFERROR(__xludf.DUMMYFUNCTION("""COMPUTED_VALUE"""),43957.0)</f>
        <v>43957</v>
      </c>
      <c r="C39" s="6" t="str">
        <f>IFERROR(__xludf.DUMMYFUNCTION("UNIQUE('Raw Data Sales'!H39:H1037 &amp; "" "" &amp; 'Raw Data Sales'!I39:I1037)"),"Ulises Scutts")</f>
        <v>Ulises Scutts</v>
      </c>
      <c r="D39" s="6" t="str">
        <f>IFERROR(__xludf.DUMMYFUNCTION("""COMPUTED_VALUE"""),"Honey BBQ Ribs")</f>
        <v>Honey BBQ Ribs</v>
      </c>
      <c r="E39" s="6" t="str">
        <f>'Raw Data Sales'!F39</f>
        <v>Food - Meat</v>
      </c>
      <c r="F39" s="6">
        <f>'Raw Data Sales'!M39</f>
        <v>99</v>
      </c>
      <c r="G39" s="6">
        <f>'Raw Data Sales'!N39</f>
        <v>5132.13</v>
      </c>
      <c r="H39" s="6" t="str">
        <f>'Raw Data Sales'!O39</f>
        <v>Credit Card</v>
      </c>
    </row>
    <row r="40">
      <c r="A40" s="6">
        <f>'Raw Data Sales'!A40</f>
        <v>39</v>
      </c>
      <c r="B40" s="8">
        <f>IFERROR(__xludf.DUMMYFUNCTION("""COMPUTED_VALUE"""),44368.0)</f>
        <v>44368</v>
      </c>
      <c r="C40" s="6" t="str">
        <f>IFERROR(__xludf.DUMMYFUNCTION("UNIQUE('Raw Data Sales'!H40:H1038 &amp; "" "" &amp; 'Raw Data Sales'!I40:I1038)"),"Tristam Tofanelli")</f>
        <v>Tristam Tofanelli</v>
      </c>
      <c r="D40" s="6" t="str">
        <f>IFERROR(__xludf.DUMMYFUNCTION("""COMPUTED_VALUE"""),"Foot Spa Bath Massager")</f>
        <v>Foot Spa Bath Massager</v>
      </c>
      <c r="E40" s="6" t="str">
        <f>'Raw Data Sales'!F40</f>
        <v>Health</v>
      </c>
      <c r="F40" s="6">
        <f>'Raw Data Sales'!M40</f>
        <v>73</v>
      </c>
      <c r="G40" s="6">
        <f>'Raw Data Sales'!N40</f>
        <v>9593.87</v>
      </c>
      <c r="H40" s="6" t="str">
        <f>'Raw Data Sales'!O40</f>
        <v>Cash</v>
      </c>
    </row>
    <row r="41">
      <c r="A41" s="6">
        <f>'Raw Data Sales'!A41</f>
        <v>40</v>
      </c>
      <c r="B41" s="8">
        <f>IFERROR(__xludf.DUMMYFUNCTION("""COMPUTED_VALUE"""),44456.0)</f>
        <v>44456</v>
      </c>
      <c r="C41" s="6" t="str">
        <f>IFERROR(__xludf.DUMMYFUNCTION("UNIQUE('Raw Data Sales'!H41:H1039 &amp; "" "" &amp; 'Raw Data Sales'!I41:I1039)"),"Shandeigh Scarbarrow")</f>
        <v>Shandeigh Scarbarrow</v>
      </c>
      <c r="D41" s="6" t="str">
        <f>IFERROR(__xludf.DUMMYFUNCTION("""COMPUTED_VALUE"""),"Electric Kettle with Temperature Control")</f>
        <v>Electric Kettle with Temperature Control</v>
      </c>
      <c r="E41" s="6" t="str">
        <f>'Raw Data Sales'!F41</f>
        <v>Kitchen</v>
      </c>
      <c r="F41" s="6">
        <f>'Raw Data Sales'!M41</f>
        <v>66</v>
      </c>
      <c r="G41" s="6">
        <f>'Raw Data Sales'!N41</f>
        <v>9624.76</v>
      </c>
      <c r="H41" s="6" t="str">
        <f>'Raw Data Sales'!O41</f>
        <v>Cash</v>
      </c>
    </row>
    <row r="42">
      <c r="A42" s="6">
        <f>'Raw Data Sales'!A42</f>
        <v>41</v>
      </c>
      <c r="B42" s="8">
        <f>IFERROR(__xludf.DUMMYFUNCTION("""COMPUTED_VALUE"""),44383.0)</f>
        <v>44383</v>
      </c>
      <c r="C42" s="6" t="str">
        <f>IFERROR(__xludf.DUMMYFUNCTION("UNIQUE('Raw Data Sales'!H42:H1040 &amp; "" "" &amp; 'Raw Data Sales'!I42:I1040)"),"Ivie Trusdale")</f>
        <v>Ivie Trusdale</v>
      </c>
      <c r="D42" s="6" t="str">
        <f>IFERROR(__xludf.DUMMYFUNCTION("""COMPUTED_VALUE"""),"Classic Black Dress")</f>
        <v>Classic Black Dress</v>
      </c>
      <c r="E42" s="6" t="str">
        <f>'Raw Data Sales'!F42</f>
        <v>Clothing - Dresses</v>
      </c>
      <c r="F42" s="6">
        <f>'Raw Data Sales'!M42</f>
        <v>32</v>
      </c>
      <c r="G42" s="6">
        <f>'Raw Data Sales'!N42</f>
        <v>2593.95</v>
      </c>
      <c r="H42" s="6" t="str">
        <f>'Raw Data Sales'!O42</f>
        <v>Cash</v>
      </c>
    </row>
    <row r="43">
      <c r="A43" s="6">
        <f>'Raw Data Sales'!A43</f>
        <v>42</v>
      </c>
      <c r="B43" s="8">
        <f>IFERROR(__xludf.DUMMYFUNCTION("""COMPUTED_VALUE"""),44513.0)</f>
        <v>44513</v>
      </c>
      <c r="C43" s="6" t="str">
        <f>IFERROR(__xludf.DUMMYFUNCTION("UNIQUE('Raw Data Sales'!H43:H1041 &amp; "" "" &amp; 'Raw Data Sales'!I43:I1041)"),"Winny Sissens")</f>
        <v>Winny Sissens</v>
      </c>
      <c r="D43" s="6" t="str">
        <f>IFERROR(__xludf.DUMMYFUNCTION("""COMPUTED_VALUE"""),"Pasta Portion Control Measure")</f>
        <v>Pasta Portion Control Measure</v>
      </c>
      <c r="E43" s="6" t="str">
        <f>'Raw Data Sales'!F43</f>
        <v>Kitchen</v>
      </c>
      <c r="F43" s="6">
        <f>'Raw Data Sales'!M43</f>
        <v>88</v>
      </c>
      <c r="G43" s="6">
        <f>'Raw Data Sales'!N43</f>
        <v>1618.03</v>
      </c>
      <c r="H43" s="6" t="str">
        <f>'Raw Data Sales'!O43</f>
        <v>PayPal</v>
      </c>
    </row>
    <row r="44">
      <c r="A44" s="6">
        <f>'Raw Data Sales'!A44</f>
        <v>43</v>
      </c>
      <c r="B44" s="8">
        <f>IFERROR(__xludf.DUMMYFUNCTION("""COMPUTED_VALUE"""),44487.0)</f>
        <v>44487</v>
      </c>
      <c r="C44" s="6" t="str">
        <f>IFERROR(__xludf.DUMMYFUNCTION("UNIQUE('Raw Data Sales'!H44:H1042 &amp; "" "" &amp; 'Raw Data Sales'!I44:I1042)"),"Rickey Sydenham")</f>
        <v>Rickey Sydenham</v>
      </c>
      <c r="D44" s="6" t="str">
        <f>IFERROR(__xludf.DUMMYFUNCTION("""COMPUTED_VALUE"""),"Ice Cream Maker")</f>
        <v>Ice Cream Maker</v>
      </c>
      <c r="E44" s="6" t="str">
        <f>'Raw Data Sales'!F44</f>
        <v>Kitchen</v>
      </c>
      <c r="F44" s="6">
        <f>'Raw Data Sales'!M44</f>
        <v>50</v>
      </c>
      <c r="G44" s="6">
        <f>'Raw Data Sales'!N44</f>
        <v>6191.5</v>
      </c>
      <c r="H44" s="6" t="str">
        <f>'Raw Data Sales'!O44</f>
        <v>PayPal</v>
      </c>
    </row>
    <row r="45">
      <c r="A45" s="6">
        <f>'Raw Data Sales'!A45</f>
        <v>44</v>
      </c>
      <c r="B45" s="8">
        <f>IFERROR(__xludf.DUMMYFUNCTION("""COMPUTED_VALUE"""),43969.0)</f>
        <v>43969</v>
      </c>
      <c r="C45" s="6" t="str">
        <f>IFERROR(__xludf.DUMMYFUNCTION("UNIQUE('Raw Data Sales'!H45:H1043 &amp; "" "" &amp; 'Raw Data Sales'!I45:I1043)"),"Enrique Mustin")</f>
        <v>Enrique Mustin</v>
      </c>
      <c r="D45" s="6" t="str">
        <f>IFERROR(__xludf.DUMMYFUNCTION("""COMPUTED_VALUE"""),"Organic Italian Seasoning")</f>
        <v>Organic Italian Seasoning</v>
      </c>
      <c r="E45" s="6" t="str">
        <f>'Raw Data Sales'!F45</f>
        <v>Food - Spices</v>
      </c>
      <c r="F45" s="6">
        <f>'Raw Data Sales'!M45</f>
        <v>24</v>
      </c>
      <c r="G45" s="6">
        <f>'Raw Data Sales'!N45</f>
        <v>7035.67</v>
      </c>
      <c r="H45" s="6" t="str">
        <f>'Raw Data Sales'!O45</f>
        <v>Credit Card</v>
      </c>
    </row>
    <row r="46">
      <c r="A46" s="6">
        <f>'Raw Data Sales'!A46</f>
        <v>45</v>
      </c>
      <c r="B46" s="8">
        <f>IFERROR(__xludf.DUMMYFUNCTION("""COMPUTED_VALUE"""),44128.0)</f>
        <v>44128</v>
      </c>
      <c r="C46" s="6" t="str">
        <f>IFERROR(__xludf.DUMMYFUNCTION("UNIQUE('Raw Data Sales'!H46:H1044 &amp; "" "" &amp; 'Raw Data Sales'!I46:I1044)"),"Clyde Sawkin")</f>
        <v>Clyde Sawkin</v>
      </c>
      <c r="D46" s="6" t="str">
        <f>IFERROR(__xludf.DUMMYFUNCTION("""COMPUTED_VALUE"""),"Teriyaki Stir-Fry Sauce")</f>
        <v>Teriyaki Stir-Fry Sauce</v>
      </c>
      <c r="E46" s="6" t="str">
        <f>'Raw Data Sales'!F46</f>
        <v>Home</v>
      </c>
      <c r="F46" s="6">
        <f>'Raw Data Sales'!M46</f>
        <v>77</v>
      </c>
      <c r="G46" s="6">
        <f>'Raw Data Sales'!N46</f>
        <v>5524.72</v>
      </c>
      <c r="H46" s="6" t="str">
        <f>'Raw Data Sales'!O46</f>
        <v>PayPal</v>
      </c>
    </row>
    <row r="47">
      <c r="A47" s="6">
        <f>'Raw Data Sales'!A47</f>
        <v>46</v>
      </c>
      <c r="B47" s="8">
        <f>IFERROR(__xludf.DUMMYFUNCTION("""COMPUTED_VALUE"""),44221.0)</f>
        <v>44221</v>
      </c>
      <c r="C47" s="6" t="str">
        <f>IFERROR(__xludf.DUMMYFUNCTION("UNIQUE('Raw Data Sales'!H47:H1045 &amp; "" "" &amp; 'Raw Data Sales'!I47:I1045)"),"Veronica Woodroffe")</f>
        <v>Veronica Woodroffe</v>
      </c>
      <c r="D47" s="6" t="str">
        <f>IFERROR(__xludf.DUMMYFUNCTION("""COMPUTED_VALUE"""),"Smashed Avocado with Lime")</f>
        <v>Smashed Avocado with Lime</v>
      </c>
      <c r="E47" s="6" t="str">
        <f>'Raw Data Sales'!F47</f>
        <v>Food - Condiments</v>
      </c>
      <c r="F47" s="6">
        <f>'Raw Data Sales'!M47</f>
        <v>26</v>
      </c>
      <c r="G47" s="6">
        <f>'Raw Data Sales'!N47</f>
        <v>9606.31</v>
      </c>
      <c r="H47" s="6" t="str">
        <f>'Raw Data Sales'!O47</f>
        <v>Credit Card</v>
      </c>
    </row>
    <row r="48">
      <c r="A48" s="6">
        <f>'Raw Data Sales'!A48</f>
        <v>47</v>
      </c>
      <c r="B48" s="8">
        <f>IFERROR(__xludf.DUMMYFUNCTION("""COMPUTED_VALUE"""),44037.0)</f>
        <v>44037</v>
      </c>
      <c r="C48" s="6" t="str">
        <f>IFERROR(__xludf.DUMMYFUNCTION("UNIQUE('Raw Data Sales'!H48:H1046 &amp; "" "" &amp; 'Raw Data Sales'!I48:I1046)"),"Niel Fillingham")</f>
        <v>Niel Fillingham</v>
      </c>
      <c r="D48" s="6" t="str">
        <f>IFERROR(__xludf.DUMMYFUNCTION("""COMPUTED_VALUE"""),"Fridge Magnet Set")</f>
        <v>Fridge Magnet Set</v>
      </c>
      <c r="E48" s="6" t="str">
        <f>'Raw Data Sales'!F48</f>
        <v>Food - Condiments</v>
      </c>
      <c r="F48" s="6">
        <f>'Raw Data Sales'!M48</f>
        <v>16</v>
      </c>
      <c r="G48" s="6">
        <f>'Raw Data Sales'!N48</f>
        <v>3150.34</v>
      </c>
      <c r="H48" s="6" t="str">
        <f>'Raw Data Sales'!O48</f>
        <v>PayPal</v>
      </c>
    </row>
    <row r="49">
      <c r="A49" s="6">
        <f>'Raw Data Sales'!A49</f>
        <v>48</v>
      </c>
      <c r="B49" s="8">
        <f>IFERROR(__xludf.DUMMYFUNCTION("""COMPUTED_VALUE"""),43862.0)</f>
        <v>43862</v>
      </c>
      <c r="C49" s="6" t="str">
        <f>IFERROR(__xludf.DUMMYFUNCTION("UNIQUE('Raw Data Sales'!H49:H1047 &amp; "" "" &amp; 'Raw Data Sales'!I49:I1047)"),"Derrek Cranefield")</f>
        <v>Derrek Cranefield</v>
      </c>
      <c r="D49" s="6" t="str">
        <f>IFERROR(__xludf.DUMMYFUNCTION("""COMPUTED_VALUE"""),"Gardening Kneeler and Seat")</f>
        <v>Gardening Kneeler and Seat</v>
      </c>
      <c r="E49" s="6" t="str">
        <f>'Raw Data Sales'!F49</f>
        <v>Home</v>
      </c>
      <c r="F49" s="6">
        <f>'Raw Data Sales'!M49</f>
        <v>5</v>
      </c>
      <c r="G49" s="6">
        <f>'Raw Data Sales'!N49</f>
        <v>3093.4</v>
      </c>
      <c r="H49" s="6" t="str">
        <f>'Raw Data Sales'!O49</f>
        <v>PayPal</v>
      </c>
    </row>
    <row r="50">
      <c r="A50" s="6">
        <f>'Raw Data Sales'!A50</f>
        <v>49</v>
      </c>
      <c r="B50" s="8">
        <f>IFERROR(__xludf.DUMMYFUNCTION("""COMPUTED_VALUE"""),43834.0)</f>
        <v>43834</v>
      </c>
      <c r="C50" s="6" t="str">
        <f>IFERROR(__xludf.DUMMYFUNCTION("UNIQUE('Raw Data Sales'!H50:H1048 &amp; "" "" &amp; 'Raw Data Sales'!I50:I1048)"),"Sammy Noel")</f>
        <v>Sammy Noel</v>
      </c>
      <c r="D50" s="6" t="str">
        <f>IFERROR(__xludf.DUMMYFUNCTION("""COMPUTED_VALUE"""),"Peanut Butter Chocolate Chip Bars")</f>
        <v>Peanut Butter Chocolate Chip Bars</v>
      </c>
      <c r="E50" s="6" t="str">
        <f>'Raw Data Sales'!F50</f>
        <v>Garden</v>
      </c>
      <c r="F50" s="6">
        <f>'Raw Data Sales'!M50</f>
        <v>77</v>
      </c>
      <c r="G50" s="6">
        <f>'Raw Data Sales'!N50</f>
        <v>5496.53</v>
      </c>
      <c r="H50" s="6" t="str">
        <f>'Raw Data Sales'!O50</f>
        <v>PayPal</v>
      </c>
    </row>
    <row r="51">
      <c r="A51" s="6">
        <f>'Raw Data Sales'!A51</f>
        <v>50</v>
      </c>
      <c r="B51" s="8">
        <f>IFERROR(__xludf.DUMMYFUNCTION("""COMPUTED_VALUE"""),44232.0)</f>
        <v>44232</v>
      </c>
      <c r="C51" s="6" t="str">
        <f>IFERROR(__xludf.DUMMYFUNCTION("UNIQUE('Raw Data Sales'!H51:H1049 &amp; "" "" &amp; 'Raw Data Sales'!I51:I1049)"),"Ibbie Ravenscroft")</f>
        <v>Ibbie Ravenscroft</v>
      </c>
      <c r="D51" s="6" t="str">
        <f>IFERROR(__xludf.DUMMYFUNCTION("""COMPUTED_VALUE"""),"Classic Minestrone Soup")</f>
        <v>Classic Minestrone Soup</v>
      </c>
      <c r="E51" s="6" t="str">
        <f>'Raw Data Sales'!F51</f>
        <v>Food - Snacks</v>
      </c>
      <c r="F51" s="6">
        <f>'Raw Data Sales'!M51</f>
        <v>96</v>
      </c>
      <c r="G51" s="6">
        <f>'Raw Data Sales'!N51</f>
        <v>8631.13</v>
      </c>
      <c r="H51" s="6" t="str">
        <f>'Raw Data Sales'!O51</f>
        <v>Credit Card</v>
      </c>
    </row>
    <row r="52">
      <c r="A52" s="6">
        <f>'Raw Data Sales'!A52</f>
        <v>51</v>
      </c>
      <c r="B52" s="8">
        <f>IFERROR(__xludf.DUMMYFUNCTION("""COMPUTED_VALUE"""),44364.0)</f>
        <v>44364</v>
      </c>
      <c r="C52" s="6" t="str">
        <f>IFERROR(__xludf.DUMMYFUNCTION("UNIQUE('Raw Data Sales'!H52:H1050 &amp; "" "" &amp; 'Raw Data Sales'!I52:I1050)"),"Agna Pawelczyk")</f>
        <v>Agna Pawelczyk</v>
      </c>
      <c r="D52" s="6" t="str">
        <f>IFERROR(__xludf.DUMMYFUNCTION("""COMPUTED_VALUE"""),"Thyme")</f>
        <v>Thyme</v>
      </c>
      <c r="E52" s="6" t="str">
        <f>'Raw Data Sales'!F52</f>
        <v>Food - Soups</v>
      </c>
      <c r="F52" s="6">
        <f>'Raw Data Sales'!M52</f>
        <v>17</v>
      </c>
      <c r="G52" s="6">
        <f>'Raw Data Sales'!N52</f>
        <v>7982.25</v>
      </c>
      <c r="H52" s="6" t="str">
        <f>'Raw Data Sales'!O52</f>
        <v>Credit Card</v>
      </c>
    </row>
    <row r="53">
      <c r="A53" s="6">
        <f>'Raw Data Sales'!A53</f>
        <v>52</v>
      </c>
      <c r="B53" s="8">
        <f>IFERROR(__xludf.DUMMYFUNCTION("""COMPUTED_VALUE"""),44502.0)</f>
        <v>44502</v>
      </c>
      <c r="C53" s="6" t="str">
        <f>IFERROR(__xludf.DUMMYFUNCTION("UNIQUE('Raw Data Sales'!H53:H1051 &amp; "" "" &amp; 'Raw Data Sales'!I53:I1051)"),"Judy Huet")</f>
        <v>Judy Huet</v>
      </c>
      <c r="D53" s="6" t="str">
        <f>IFERROR(__xludf.DUMMYFUNCTION("""COMPUTED_VALUE"""),"Instant Pot")</f>
        <v>Instant Pot</v>
      </c>
      <c r="E53" s="6" t="str">
        <f>'Raw Data Sales'!F53</f>
        <v>Food - Fresh Produce</v>
      </c>
      <c r="F53" s="6">
        <f>'Raw Data Sales'!M53</f>
        <v>56</v>
      </c>
      <c r="G53" s="6">
        <f>'Raw Data Sales'!N53</f>
        <v>619.38</v>
      </c>
      <c r="H53" s="6" t="str">
        <f>'Raw Data Sales'!O53</f>
        <v>Credit Card</v>
      </c>
    </row>
    <row r="54">
      <c r="A54" s="6">
        <f>'Raw Data Sales'!A54</f>
        <v>53</v>
      </c>
      <c r="B54" s="8">
        <f>IFERROR(__xludf.DUMMYFUNCTION("""COMPUTED_VALUE"""),44481.0)</f>
        <v>44481</v>
      </c>
      <c r="C54" s="6" t="str">
        <f>IFERROR(__xludf.DUMMYFUNCTION("UNIQUE('Raw Data Sales'!H54:H1052 &amp; "" "" &amp; 'Raw Data Sales'!I54:I1052)"),"Gunilla Voss")</f>
        <v>Gunilla Voss</v>
      </c>
      <c r="D54" s="6" t="str">
        <f>IFERROR(__xludf.DUMMYFUNCTION("""COMPUTED_VALUE"""),"Portable Pet Bathing Tool")</f>
        <v>Portable Pet Bathing Tool</v>
      </c>
      <c r="E54" s="6" t="str">
        <f>'Raw Data Sales'!F54</f>
        <v>Kitchen</v>
      </c>
      <c r="F54" s="6">
        <f>'Raw Data Sales'!M54</f>
        <v>36</v>
      </c>
      <c r="G54" s="6">
        <f>'Raw Data Sales'!N54</f>
        <v>1486.39</v>
      </c>
      <c r="H54" s="6" t="str">
        <f>'Raw Data Sales'!O54</f>
        <v>Cash</v>
      </c>
    </row>
    <row r="55">
      <c r="A55" s="6">
        <f>'Raw Data Sales'!A55</f>
        <v>54</v>
      </c>
      <c r="B55" s="8">
        <f>IFERROR(__xludf.DUMMYFUNCTION("""COMPUTED_VALUE"""),44437.0)</f>
        <v>44437</v>
      </c>
      <c r="C55" s="6" t="str">
        <f>IFERROR(__xludf.DUMMYFUNCTION("UNIQUE('Raw Data Sales'!H55:H1053 &amp; "" "" &amp; 'Raw Data Sales'!I55:I1053)"),"Nani Veschi")</f>
        <v>Nani Veschi</v>
      </c>
      <c r="D55" s="6" t="str">
        <f>IFERROR(__xludf.DUMMYFUNCTION("""COMPUTED_VALUE"""),"Blackberry Jam")</f>
        <v>Blackberry Jam</v>
      </c>
      <c r="E55" s="6" t="str">
        <f>'Raw Data Sales'!F55</f>
        <v>Pets</v>
      </c>
      <c r="F55" s="6">
        <f>'Raw Data Sales'!M55</f>
        <v>39</v>
      </c>
      <c r="G55" s="6">
        <f>'Raw Data Sales'!N55</f>
        <v>8712.25</v>
      </c>
      <c r="H55" s="6" t="str">
        <f>'Raw Data Sales'!O55</f>
        <v>Credit Card</v>
      </c>
    </row>
    <row r="56">
      <c r="A56" s="6">
        <f>'Raw Data Sales'!A56</f>
        <v>55</v>
      </c>
      <c r="B56" s="8">
        <f>IFERROR(__xludf.DUMMYFUNCTION("""COMPUTED_VALUE"""),43909.0)</f>
        <v>43909</v>
      </c>
      <c r="C56" s="6" t="str">
        <f>IFERROR(__xludf.DUMMYFUNCTION("UNIQUE('Raw Data Sales'!H56:H1054 &amp; "" "" &amp; 'Raw Data Sales'!I56:I1054)"),"Roseanna Rolf")</f>
        <v>Roseanna Rolf</v>
      </c>
      <c r="D56" s="6" t="str">
        <f>IFERROR(__xludf.DUMMYFUNCTION("""COMPUTED_VALUE"""),"Cinnamon Roll Protein Bar")</f>
        <v>Cinnamon Roll Protein Bar</v>
      </c>
      <c r="E56" s="6" t="str">
        <f>'Raw Data Sales'!F56</f>
        <v>Food - Condiments</v>
      </c>
      <c r="F56" s="6">
        <f>'Raw Data Sales'!M56</f>
        <v>56</v>
      </c>
      <c r="G56" s="6">
        <f>'Raw Data Sales'!N56</f>
        <v>3460.68</v>
      </c>
      <c r="H56" s="6" t="str">
        <f>'Raw Data Sales'!O56</f>
        <v>Credit Card</v>
      </c>
    </row>
    <row r="57">
      <c r="A57" s="6">
        <f>'Raw Data Sales'!A57</f>
        <v>56</v>
      </c>
      <c r="B57" s="8">
        <f>IFERROR(__xludf.DUMMYFUNCTION("""COMPUTED_VALUE"""),43890.0)</f>
        <v>43890</v>
      </c>
      <c r="C57" s="6" t="str">
        <f>IFERROR(__xludf.DUMMYFUNCTION("UNIQUE('Raw Data Sales'!H57:H1055 &amp; "" "" &amp; 'Raw Data Sales'!I57:I1055)"),"Johannah Gland")</f>
        <v>Johannah Gland</v>
      </c>
      <c r="D57" s="6" t="str">
        <f>IFERROR(__xludf.DUMMYFUNCTION("""COMPUTED_VALUE"""),"Energy Bites")</f>
        <v>Energy Bites</v>
      </c>
      <c r="E57" s="6" t="str">
        <f>'Raw Data Sales'!F57</f>
        <v>Food - Snacks</v>
      </c>
      <c r="F57" s="6">
        <f>'Raw Data Sales'!M57</f>
        <v>59</v>
      </c>
      <c r="G57" s="6">
        <f>'Raw Data Sales'!N57</f>
        <v>4664.86</v>
      </c>
      <c r="H57" s="6" t="str">
        <f>'Raw Data Sales'!O57</f>
        <v>Credit Card</v>
      </c>
    </row>
    <row r="58">
      <c r="A58" s="6">
        <f>'Raw Data Sales'!A58</f>
        <v>57</v>
      </c>
      <c r="B58" s="8">
        <f>IFERROR(__xludf.DUMMYFUNCTION("""COMPUTED_VALUE"""),44436.0)</f>
        <v>44436</v>
      </c>
      <c r="C58" s="6" t="str">
        <f>IFERROR(__xludf.DUMMYFUNCTION("UNIQUE('Raw Data Sales'!H58:H1056 &amp; "" "" &amp; 'Raw Data Sales'!I58:I1056)"),"Merell Kittiman")</f>
        <v>Merell Kittiman</v>
      </c>
      <c r="D58" s="6" t="str">
        <f>IFERROR(__xludf.DUMMYFUNCTION("""COMPUTED_VALUE"""),"Trendy Bomber Jacket")</f>
        <v>Trendy Bomber Jacket</v>
      </c>
      <c r="E58" s="6" t="str">
        <f>'Raw Data Sales'!F58</f>
        <v>Food - Snacks</v>
      </c>
      <c r="F58" s="6">
        <f>'Raw Data Sales'!M58</f>
        <v>30</v>
      </c>
      <c r="G58" s="6">
        <f>'Raw Data Sales'!N58</f>
        <v>7824.59</v>
      </c>
      <c r="H58" s="6" t="str">
        <f>'Raw Data Sales'!O58</f>
        <v>Cash</v>
      </c>
    </row>
    <row r="59">
      <c r="A59" s="6">
        <f>'Raw Data Sales'!A59</f>
        <v>58</v>
      </c>
      <c r="B59" s="8">
        <f>IFERROR(__xludf.DUMMYFUNCTION("""COMPUTED_VALUE"""),44072.0)</f>
        <v>44072</v>
      </c>
      <c r="C59" s="6" t="str">
        <f>IFERROR(__xludf.DUMMYFUNCTION("UNIQUE('Raw Data Sales'!H59:H1057 &amp; "" "" &amp; 'Raw Data Sales'!I59:I1057)"),"Anya Steventon")</f>
        <v>Anya Steventon</v>
      </c>
      <c r="D59" s="6" t="str">
        <f>IFERROR(__xludf.DUMMYFUNCTION("""COMPUTED_VALUE"""),"Portable Blender")</f>
        <v>Portable Blender</v>
      </c>
      <c r="E59" s="6" t="str">
        <f>'Raw Data Sales'!F59</f>
        <v>Clothing - Outerwear</v>
      </c>
      <c r="F59" s="6">
        <f>'Raw Data Sales'!M59</f>
        <v>45</v>
      </c>
      <c r="G59" s="6">
        <f>'Raw Data Sales'!N59</f>
        <v>4523.67</v>
      </c>
      <c r="H59" s="6" t="str">
        <f>'Raw Data Sales'!O59</f>
        <v>PayPal</v>
      </c>
    </row>
    <row r="60">
      <c r="A60" s="6">
        <f>'Raw Data Sales'!A60</f>
        <v>59</v>
      </c>
      <c r="B60" s="8">
        <f>IFERROR(__xludf.DUMMYFUNCTION("""COMPUTED_VALUE"""),44042.0)</f>
        <v>44042</v>
      </c>
      <c r="C60" s="6" t="str">
        <f>IFERROR(__xludf.DUMMYFUNCTION("UNIQUE('Raw Data Sales'!H60:H1058 &amp; "" "" &amp; 'Raw Data Sales'!I60:I1058)"),"Jasmina Weatherhead")</f>
        <v>Jasmina Weatherhead</v>
      </c>
      <c r="D60" s="6" t="str">
        <f>IFERROR(__xludf.DUMMYFUNCTION("""COMPUTED_VALUE"""),"Cilantro Lime Rice")</f>
        <v>Cilantro Lime Rice</v>
      </c>
      <c r="E60" s="6" t="str">
        <f>'Raw Data Sales'!F60</f>
        <v>Kitchen</v>
      </c>
      <c r="F60" s="6">
        <f>'Raw Data Sales'!M60</f>
        <v>41</v>
      </c>
      <c r="G60" s="6">
        <f>'Raw Data Sales'!N60</f>
        <v>5518.46</v>
      </c>
      <c r="H60" s="6" t="str">
        <f>'Raw Data Sales'!O60</f>
        <v>PayPal</v>
      </c>
    </row>
    <row r="61">
      <c r="A61" s="6">
        <f>'Raw Data Sales'!A61</f>
        <v>60</v>
      </c>
      <c r="B61" s="8">
        <f>IFERROR(__xludf.DUMMYFUNCTION("""COMPUTED_VALUE"""),44225.0)</f>
        <v>44225</v>
      </c>
      <c r="C61" s="6" t="str">
        <f>IFERROR(__xludf.DUMMYFUNCTION("UNIQUE('Raw Data Sales'!H61:H1059 &amp; "" "" &amp; 'Raw Data Sales'!I61:I1059)"),"Enrichetta Brundell")</f>
        <v>Enrichetta Brundell</v>
      </c>
      <c r="D61" s="6" t="str">
        <f>IFERROR(__xludf.DUMMYFUNCTION("""COMPUTED_VALUE"""),"Hiking Gaiters")</f>
        <v>Hiking Gaiters</v>
      </c>
      <c r="E61" s="6" t="str">
        <f>'Raw Data Sales'!F61</f>
        <v>Food - Grains</v>
      </c>
      <c r="F61" s="6">
        <f>'Raw Data Sales'!M61</f>
        <v>97</v>
      </c>
      <c r="G61" s="6">
        <f>'Raw Data Sales'!N61</f>
        <v>5230.02</v>
      </c>
      <c r="H61" s="6" t="str">
        <f>'Raw Data Sales'!O61</f>
        <v>Credit Card</v>
      </c>
    </row>
    <row r="62">
      <c r="A62" s="6">
        <f>'Raw Data Sales'!A62</f>
        <v>61</v>
      </c>
      <c r="B62" s="8">
        <f>IFERROR(__xludf.DUMMYFUNCTION("""COMPUTED_VALUE"""),43985.0)</f>
        <v>43985</v>
      </c>
      <c r="C62" s="6" t="str">
        <f>IFERROR(__xludf.DUMMYFUNCTION("UNIQUE('Raw Data Sales'!H62:H1060 &amp; "" "" &amp; 'Raw Data Sales'!I62:I1060)"),"Barbi Scobie")</f>
        <v>Barbi Scobie</v>
      </c>
      <c r="D62" s="6" t="str">
        <f>IFERROR(__xludf.DUMMYFUNCTION("""COMPUTED_VALUE"""),"Pretzel Bites")</f>
        <v>Pretzel Bites</v>
      </c>
      <c r="E62" s="6" t="str">
        <f>'Raw Data Sales'!F62</f>
        <v>Outdoor</v>
      </c>
      <c r="F62" s="6">
        <f>'Raw Data Sales'!M62</f>
        <v>48</v>
      </c>
      <c r="G62" s="6">
        <f>'Raw Data Sales'!N62</f>
        <v>4344</v>
      </c>
      <c r="H62" s="6" t="str">
        <f>'Raw Data Sales'!O62</f>
        <v>Cash</v>
      </c>
    </row>
    <row r="63">
      <c r="A63" s="6">
        <f>'Raw Data Sales'!A63</f>
        <v>62</v>
      </c>
      <c r="B63" s="8">
        <f>IFERROR(__xludf.DUMMYFUNCTION("""COMPUTED_VALUE"""),43846.0)</f>
        <v>43846</v>
      </c>
      <c r="C63" s="6" t="str">
        <f>IFERROR(__xludf.DUMMYFUNCTION("UNIQUE('Raw Data Sales'!H63:H1061 &amp; "" "" &amp; 'Raw Data Sales'!I63:I1061)"),"Baryram Muckian")</f>
        <v>Baryram Muckian</v>
      </c>
      <c r="D63" s="6" t="str">
        <f>IFERROR(__xludf.DUMMYFUNCTION("""COMPUTED_VALUE"""),"Homestyle Chicken Noodle Soup")</f>
        <v>Homestyle Chicken Noodle Soup</v>
      </c>
      <c r="E63" s="6" t="str">
        <f>'Raw Data Sales'!F63</f>
        <v>Food - Snacks</v>
      </c>
      <c r="F63" s="6">
        <f>'Raw Data Sales'!M63</f>
        <v>92</v>
      </c>
      <c r="G63" s="6">
        <f>'Raw Data Sales'!N63</f>
        <v>7875.06</v>
      </c>
      <c r="H63" s="6" t="str">
        <f>'Raw Data Sales'!O63</f>
        <v>PayPal</v>
      </c>
    </row>
    <row r="64">
      <c r="A64" s="6">
        <f>'Raw Data Sales'!A64</f>
        <v>63</v>
      </c>
      <c r="B64" s="8">
        <f>IFERROR(__xludf.DUMMYFUNCTION("""COMPUTED_VALUE"""),44222.0)</f>
        <v>44222</v>
      </c>
      <c r="C64" s="6" t="str">
        <f>IFERROR(__xludf.DUMMYFUNCTION("UNIQUE('Raw Data Sales'!H64:H1062 &amp; "" "" &amp; 'Raw Data Sales'!I64:I1062)"),"Barri Brownsword")</f>
        <v>Barri Brownsword</v>
      </c>
      <c r="D64" s="6" t="str">
        <f>IFERROR(__xludf.DUMMYFUNCTION("""COMPUTED_VALUE"""),"Dog Training Clicker")</f>
        <v>Dog Training Clicker</v>
      </c>
      <c r="E64" s="6" t="str">
        <f>'Raw Data Sales'!F64</f>
        <v>Food - Canned Goods</v>
      </c>
      <c r="F64" s="6">
        <f>'Raw Data Sales'!M64</f>
        <v>30</v>
      </c>
      <c r="G64" s="6">
        <f>'Raw Data Sales'!N64</f>
        <v>1201.8</v>
      </c>
      <c r="H64" s="6" t="str">
        <f>'Raw Data Sales'!O64</f>
        <v>PayPal</v>
      </c>
    </row>
    <row r="65">
      <c r="A65" s="6">
        <f>'Raw Data Sales'!A65</f>
        <v>64</v>
      </c>
      <c r="B65" s="8">
        <f>IFERROR(__xludf.DUMMYFUNCTION("""COMPUTED_VALUE"""),43911.0)</f>
        <v>43911</v>
      </c>
      <c r="C65" s="6" t="str">
        <f>IFERROR(__xludf.DUMMYFUNCTION("UNIQUE('Raw Data Sales'!H65:H1063 &amp; "" "" &amp; 'Raw Data Sales'!I65:I1063)"),"Emelda Hafner")</f>
        <v>Emelda Hafner</v>
      </c>
      <c r="D65" s="6" t="str">
        <f>IFERROR(__xludf.DUMMYFUNCTION("""COMPUTED_VALUE"""),"Siphon Coffee Maker")</f>
        <v>Siphon Coffee Maker</v>
      </c>
      <c r="E65" s="6" t="str">
        <f>'Raw Data Sales'!F65</f>
        <v>Pets</v>
      </c>
      <c r="F65" s="6">
        <f>'Raw Data Sales'!M65</f>
        <v>25</v>
      </c>
      <c r="G65" s="6">
        <f>'Raw Data Sales'!N65</f>
        <v>5978.58</v>
      </c>
      <c r="H65" s="6" t="str">
        <f>'Raw Data Sales'!O65</f>
        <v>Cash</v>
      </c>
    </row>
    <row r="66">
      <c r="A66" s="6">
        <f>'Raw Data Sales'!A66</f>
        <v>65</v>
      </c>
      <c r="B66" s="8">
        <f>IFERROR(__xludf.DUMMYFUNCTION("""COMPUTED_VALUE"""),44198.0)</f>
        <v>44198</v>
      </c>
      <c r="C66" s="6" t="str">
        <f>IFERROR(__xludf.DUMMYFUNCTION("UNIQUE('Raw Data Sales'!H66:H1064 &amp; "" "" &amp; 'Raw Data Sales'!I66:I1064)"),"Annabela Pavlata")</f>
        <v>Annabela Pavlata</v>
      </c>
      <c r="D66" s="6" t="str">
        <f>IFERROR(__xludf.DUMMYFUNCTION("""COMPUTED_VALUE"""),"Compressible Packing Cubes")</f>
        <v>Compressible Packing Cubes</v>
      </c>
      <c r="E66" s="6" t="str">
        <f>'Raw Data Sales'!F66</f>
        <v>Kitchen</v>
      </c>
      <c r="F66" s="6">
        <f>'Raw Data Sales'!M66</f>
        <v>86</v>
      </c>
      <c r="G66" s="6">
        <f>'Raw Data Sales'!N66</f>
        <v>1881.23</v>
      </c>
      <c r="H66" s="6" t="str">
        <f>'Raw Data Sales'!O66</f>
        <v>Cash</v>
      </c>
    </row>
    <row r="67">
      <c r="A67" s="6">
        <f>'Raw Data Sales'!A67</f>
        <v>66</v>
      </c>
      <c r="B67" s="8">
        <f>IFERROR(__xludf.DUMMYFUNCTION("""COMPUTED_VALUE"""),44201.0)</f>
        <v>44201</v>
      </c>
      <c r="C67" s="6" t="str">
        <f>IFERROR(__xludf.DUMMYFUNCTION("UNIQUE('Raw Data Sales'!H67:H1065 &amp; "" "" &amp; 'Raw Data Sales'!I67:I1065)"),"Perrine Luipold")</f>
        <v>Perrine Luipold</v>
      </c>
      <c r="D67" s="6" t="str">
        <f>IFERROR(__xludf.DUMMYFUNCTION("""COMPUTED_VALUE"""),"Sweet Potatoes")</f>
        <v>Sweet Potatoes</v>
      </c>
      <c r="E67" s="6" t="str">
        <f>'Raw Data Sales'!F67</f>
        <v>Travel</v>
      </c>
      <c r="F67" s="6">
        <f>'Raw Data Sales'!M67</f>
        <v>1</v>
      </c>
      <c r="G67" s="6">
        <f>'Raw Data Sales'!N67</f>
        <v>6960.72</v>
      </c>
      <c r="H67" s="6" t="str">
        <f>'Raw Data Sales'!O67</f>
        <v>PayPal</v>
      </c>
    </row>
    <row r="68">
      <c r="A68" s="6">
        <f>'Raw Data Sales'!A68</f>
        <v>67</v>
      </c>
      <c r="B68" s="8">
        <f>IFERROR(__xludf.DUMMYFUNCTION("""COMPUTED_VALUE"""),44249.0)</f>
        <v>44249</v>
      </c>
      <c r="C68" s="6" t="str">
        <f>IFERROR(__xludf.DUMMYFUNCTION("UNIQUE('Raw Data Sales'!H68:H1066 &amp; "" "" &amp; 'Raw Data Sales'!I68:I1066)"),"Kathi Jopling")</f>
        <v>Kathi Jopling</v>
      </c>
      <c r="D68" s="6" t="str">
        <f>IFERROR(__xludf.DUMMYFUNCTION("""COMPUTED_VALUE"""),"Herb Garden Planter Box")</f>
        <v>Herb Garden Planter Box</v>
      </c>
      <c r="E68" s="6" t="str">
        <f>'Raw Data Sales'!F68</f>
        <v>Food - Produce</v>
      </c>
      <c r="F68" s="6">
        <f>'Raw Data Sales'!M68</f>
        <v>94</v>
      </c>
      <c r="G68" s="6">
        <f>'Raw Data Sales'!N68</f>
        <v>4660.39</v>
      </c>
      <c r="H68" s="6" t="str">
        <f>'Raw Data Sales'!O68</f>
        <v>PayPal</v>
      </c>
    </row>
    <row r="69">
      <c r="A69" s="6">
        <f>'Raw Data Sales'!A69</f>
        <v>68</v>
      </c>
      <c r="B69" s="8">
        <f>IFERROR(__xludf.DUMMYFUNCTION("""COMPUTED_VALUE"""),44288.0)</f>
        <v>44288</v>
      </c>
      <c r="C69" s="6" t="str">
        <f>IFERROR(__xludf.DUMMYFUNCTION("UNIQUE('Raw Data Sales'!H69:H1067 &amp; "" "" &amp; 'Raw Data Sales'!I69:I1067)"),"Annie Sodo")</f>
        <v>Annie Sodo</v>
      </c>
      <c r="D69" s="6" t="str">
        <f>IFERROR(__xludf.DUMMYFUNCTION("""COMPUTED_VALUE"""),"Almond Butter")</f>
        <v>Almond Butter</v>
      </c>
      <c r="E69" s="6" t="str">
        <f>'Raw Data Sales'!F69</f>
        <v>Garden</v>
      </c>
      <c r="F69" s="6">
        <f>'Raw Data Sales'!M69</f>
        <v>13</v>
      </c>
      <c r="G69" s="6">
        <f>'Raw Data Sales'!N69</f>
        <v>259.74</v>
      </c>
      <c r="H69" s="6" t="str">
        <f>'Raw Data Sales'!O69</f>
        <v>Credit Card</v>
      </c>
    </row>
    <row r="70">
      <c r="A70" s="6">
        <f>'Raw Data Sales'!A70</f>
        <v>69</v>
      </c>
      <c r="B70" s="8">
        <f>IFERROR(__xludf.DUMMYFUNCTION("""COMPUTED_VALUE"""),44359.0)</f>
        <v>44359</v>
      </c>
      <c r="C70" s="6" t="str">
        <f>IFERROR(__xludf.DUMMYFUNCTION("UNIQUE('Raw Data Sales'!H70:H1068 &amp; "" "" &amp; 'Raw Data Sales'!I70:I1068)"),"Alysia Withers")</f>
        <v>Alysia Withers</v>
      </c>
      <c r="D70" s="6" t="str">
        <f>IFERROR(__xludf.DUMMYFUNCTION("""COMPUTED_VALUE"""),"Frozen Chicken Nuggets")</f>
        <v>Frozen Chicken Nuggets</v>
      </c>
      <c r="E70" s="6" t="str">
        <f>'Raw Data Sales'!F70</f>
        <v>Food - Condiments</v>
      </c>
      <c r="F70" s="6">
        <f>'Raw Data Sales'!M70</f>
        <v>75</v>
      </c>
      <c r="G70" s="6">
        <f>'Raw Data Sales'!N70</f>
        <v>6933.16</v>
      </c>
      <c r="H70" s="6" t="str">
        <f>'Raw Data Sales'!O70</f>
        <v>Credit Card</v>
      </c>
    </row>
    <row r="71">
      <c r="A71" s="6">
        <f>'Raw Data Sales'!A71</f>
        <v>70</v>
      </c>
      <c r="B71" s="8">
        <f>IFERROR(__xludf.DUMMYFUNCTION("""COMPUTED_VALUE"""),44253.0)</f>
        <v>44253</v>
      </c>
      <c r="C71" s="6" t="str">
        <f>IFERROR(__xludf.DUMMYFUNCTION("UNIQUE('Raw Data Sales'!H71:H1069 &amp; "" "" &amp; 'Raw Data Sales'!I71:I1069)"),"Nata Stirley")</f>
        <v>Nata Stirley</v>
      </c>
      <c r="D71" s="6" t="str">
        <f>IFERROR(__xludf.DUMMYFUNCTION("""COMPUTED_VALUE"""),"Over-the-Door Shoe Organizer")</f>
        <v>Over-the-Door Shoe Organizer</v>
      </c>
      <c r="E71" s="6" t="str">
        <f>'Raw Data Sales'!F71</f>
        <v>Food - Frozen Foods</v>
      </c>
      <c r="F71" s="6">
        <f>'Raw Data Sales'!M71</f>
        <v>42</v>
      </c>
      <c r="G71" s="6">
        <f>'Raw Data Sales'!N71</f>
        <v>9508.39</v>
      </c>
      <c r="H71" s="6" t="str">
        <f>'Raw Data Sales'!O71</f>
        <v>PayPal</v>
      </c>
    </row>
    <row r="72">
      <c r="A72" s="6">
        <f>'Raw Data Sales'!A72</f>
        <v>71</v>
      </c>
      <c r="B72" s="8">
        <f>IFERROR(__xludf.DUMMYFUNCTION("""COMPUTED_VALUE"""),44260.0)</f>
        <v>44260</v>
      </c>
      <c r="C72" s="6" t="str">
        <f>IFERROR(__xludf.DUMMYFUNCTION("UNIQUE('Raw Data Sales'!H72:H1070 &amp; "" "" &amp; 'Raw Data Sales'!I72:I1070)"),"Shirlee Boatwright")</f>
        <v>Shirlee Boatwright</v>
      </c>
      <c r="D72" s="6" t="str">
        <f>IFERROR(__xludf.DUMMYFUNCTION("""COMPUTED_VALUE"""),"Honey Sesame Cashews")</f>
        <v>Honey Sesame Cashews</v>
      </c>
      <c r="E72" s="6" t="str">
        <f>'Raw Data Sales'!F72</f>
        <v>Home</v>
      </c>
      <c r="F72" s="6">
        <f>'Raw Data Sales'!M72</f>
        <v>60</v>
      </c>
      <c r="G72" s="6">
        <f>'Raw Data Sales'!N72</f>
        <v>9110.34</v>
      </c>
      <c r="H72" s="6" t="str">
        <f>'Raw Data Sales'!O72</f>
        <v>Credit Card</v>
      </c>
    </row>
    <row r="73">
      <c r="A73" s="6">
        <f>'Raw Data Sales'!A73</f>
        <v>72</v>
      </c>
      <c r="B73" s="8">
        <f>IFERROR(__xludf.DUMMYFUNCTION("""COMPUTED_VALUE"""),44269.0)</f>
        <v>44269</v>
      </c>
      <c r="C73" s="6" t="str">
        <f>IFERROR(__xludf.DUMMYFUNCTION("UNIQUE('Raw Data Sales'!H73:H1071 &amp; "" "" &amp; 'Raw Data Sales'!I73:I1071)"),"Geoffry Dybell")</f>
        <v>Geoffry Dybell</v>
      </c>
      <c r="D73" s="6" t="str">
        <f>IFERROR(__xludf.DUMMYFUNCTION("""COMPUTED_VALUE"""),"Watercolor Set")</f>
        <v>Watercolor Set</v>
      </c>
      <c r="E73" s="6" t="str">
        <f>'Raw Data Sales'!F73</f>
        <v>Food - Snacks</v>
      </c>
      <c r="F73" s="6">
        <f>'Raw Data Sales'!M73</f>
        <v>1</v>
      </c>
      <c r="G73" s="6">
        <f>'Raw Data Sales'!N73</f>
        <v>4885.85</v>
      </c>
      <c r="H73" s="6" t="str">
        <f>'Raw Data Sales'!O73</f>
        <v>Credit Card</v>
      </c>
    </row>
    <row r="74">
      <c r="A74" s="6">
        <f>'Raw Data Sales'!A74</f>
        <v>73</v>
      </c>
      <c r="B74" s="8">
        <f>IFERROR(__xludf.DUMMYFUNCTION("""COMPUTED_VALUE"""),44318.0)</f>
        <v>44318</v>
      </c>
      <c r="C74" s="6" t="str">
        <f>IFERROR(__xludf.DUMMYFUNCTION("UNIQUE('Raw Data Sales'!H74:H1072 &amp; "" "" &amp; 'Raw Data Sales'!I74:I1072)"),"Jelene Kyllford")</f>
        <v>Jelene Kyllford</v>
      </c>
      <c r="D74" s="6" t="str">
        <f>IFERROR(__xludf.DUMMYFUNCTION("""COMPUTED_VALUE"""),"Pest Control Traps")</f>
        <v>Pest Control Traps</v>
      </c>
      <c r="E74" s="6" t="str">
        <f>'Raw Data Sales'!F74</f>
        <v>Art Supplies</v>
      </c>
      <c r="F74" s="6">
        <f>'Raw Data Sales'!M74</f>
        <v>15</v>
      </c>
      <c r="G74" s="6">
        <f>'Raw Data Sales'!N74</f>
        <v>1084.43</v>
      </c>
      <c r="H74" s="6" t="str">
        <f>'Raw Data Sales'!O74</f>
        <v>PayPal</v>
      </c>
    </row>
    <row r="75">
      <c r="A75" s="6">
        <f>'Raw Data Sales'!A75</f>
        <v>74</v>
      </c>
      <c r="B75" s="8">
        <f>IFERROR(__xludf.DUMMYFUNCTION("""COMPUTED_VALUE"""),43833.0)</f>
        <v>43833</v>
      </c>
      <c r="C75" s="6" t="str">
        <f>IFERROR(__xludf.DUMMYFUNCTION("UNIQUE('Raw Data Sales'!H75:H1073 &amp; "" "" &amp; 'Raw Data Sales'!I75:I1073)"),"Dix Greenroad")</f>
        <v>Dix Greenroad</v>
      </c>
      <c r="D75" s="6" t="str">
        <f>IFERROR(__xludf.DUMMYFUNCTION("""COMPUTED_VALUE"""),"Portable Jump Starter")</f>
        <v>Portable Jump Starter</v>
      </c>
      <c r="E75" s="6" t="str">
        <f>'Raw Data Sales'!F75</f>
        <v>Home</v>
      </c>
      <c r="F75" s="6">
        <f>'Raw Data Sales'!M75</f>
        <v>26</v>
      </c>
      <c r="G75" s="6">
        <f>'Raw Data Sales'!N75</f>
        <v>5592.37</v>
      </c>
      <c r="H75" s="6" t="str">
        <f>'Raw Data Sales'!O75</f>
        <v>PayPal</v>
      </c>
    </row>
    <row r="76">
      <c r="A76" s="6">
        <f>'Raw Data Sales'!A76</f>
        <v>75</v>
      </c>
      <c r="B76" s="8">
        <f>IFERROR(__xludf.DUMMYFUNCTION("""COMPUTED_VALUE"""),44467.0)</f>
        <v>44467</v>
      </c>
      <c r="C76" s="6" t="str">
        <f>IFERROR(__xludf.DUMMYFUNCTION("UNIQUE('Raw Data Sales'!H76:H1074 &amp; "" "" &amp; 'Raw Data Sales'!I76:I1074)"),"Jeno McManamon")</f>
        <v>Jeno McManamon</v>
      </c>
      <c r="D76" s="6" t="str">
        <f>IFERROR(__xludf.DUMMYFUNCTION("""COMPUTED_VALUE"""),"Tropical Fruit Bowl")</f>
        <v>Tropical Fruit Bowl</v>
      </c>
      <c r="E76" s="6" t="str">
        <f>'Raw Data Sales'!F76</f>
        <v>Automotive</v>
      </c>
      <c r="F76" s="6">
        <f>'Raw Data Sales'!M76</f>
        <v>46</v>
      </c>
      <c r="G76" s="6">
        <f>'Raw Data Sales'!N76</f>
        <v>5455.24</v>
      </c>
      <c r="H76" s="6" t="str">
        <f>'Raw Data Sales'!O76</f>
        <v>PayPal</v>
      </c>
    </row>
    <row r="77">
      <c r="A77" s="6">
        <f>'Raw Data Sales'!A77</f>
        <v>76</v>
      </c>
      <c r="B77" s="8">
        <f>IFERROR(__xludf.DUMMYFUNCTION("""COMPUTED_VALUE"""),44286.0)</f>
        <v>44286</v>
      </c>
      <c r="C77" s="6" t="str">
        <f>IFERROR(__xludf.DUMMYFUNCTION("UNIQUE('Raw Data Sales'!H77:H1075 &amp; "" "" &amp; 'Raw Data Sales'!I77:I1075)"),"Timoteo Kryska")</f>
        <v>Timoteo Kryska</v>
      </c>
      <c r="D77" s="6" t="str">
        <f>IFERROR(__xludf.DUMMYFUNCTION("""COMPUTED_VALUE"""),"Essential Oil Diffuser")</f>
        <v>Essential Oil Diffuser</v>
      </c>
      <c r="E77" s="6" t="str">
        <f>'Raw Data Sales'!F77</f>
        <v>Food - Snacks</v>
      </c>
      <c r="F77" s="6">
        <f>'Raw Data Sales'!M77</f>
        <v>41</v>
      </c>
      <c r="G77" s="6">
        <f>'Raw Data Sales'!N77</f>
        <v>7111.75</v>
      </c>
      <c r="H77" s="6" t="str">
        <f>'Raw Data Sales'!O77</f>
        <v>PayPal</v>
      </c>
    </row>
    <row r="78">
      <c r="A78" s="6">
        <f>'Raw Data Sales'!A78</f>
        <v>77</v>
      </c>
      <c r="B78" s="8">
        <f>IFERROR(__xludf.DUMMYFUNCTION("""COMPUTED_VALUE"""),44244.0)</f>
        <v>44244</v>
      </c>
      <c r="C78" s="6" t="str">
        <f>IFERROR(__xludf.DUMMYFUNCTION("UNIQUE('Raw Data Sales'!H78:H1076 &amp; "" "" &amp; 'Raw Data Sales'!I78:I1076)"),"Constancia Hickinbottom")</f>
        <v>Constancia Hickinbottom</v>
      </c>
      <c r="D78" s="6" t="str">
        <f>IFERROR(__xludf.DUMMYFUNCTION("""COMPUTED_VALUE"""),"Pumpkin Spice Pancake Mix")</f>
        <v>Pumpkin Spice Pancake Mix</v>
      </c>
      <c r="E78" s="6" t="str">
        <f>'Raw Data Sales'!F78</f>
        <v>Health</v>
      </c>
      <c r="F78" s="6">
        <f>'Raw Data Sales'!M78</f>
        <v>41</v>
      </c>
      <c r="G78" s="6">
        <f>'Raw Data Sales'!N78</f>
        <v>3585.58</v>
      </c>
      <c r="H78" s="6" t="str">
        <f>'Raw Data Sales'!O78</f>
        <v>Credit Card</v>
      </c>
    </row>
    <row r="79">
      <c r="A79" s="6">
        <f>'Raw Data Sales'!A79</f>
        <v>78</v>
      </c>
      <c r="B79" s="8">
        <f>IFERROR(__xludf.DUMMYFUNCTION("""COMPUTED_VALUE"""),44397.0)</f>
        <v>44397</v>
      </c>
      <c r="C79" s="6" t="str">
        <f>IFERROR(__xludf.DUMMYFUNCTION("UNIQUE('Raw Data Sales'!H79:H1077 &amp; "" "" &amp; 'Raw Data Sales'!I79:I1077)"),"Barret Bernhart")</f>
        <v>Barret Bernhart</v>
      </c>
      <c r="D79" s="6" t="str">
        <f>IFERROR(__xludf.DUMMYFUNCTION("""COMPUTED_VALUE"""),"Inspirational Wall Art")</f>
        <v>Inspirational Wall Art</v>
      </c>
      <c r="E79" s="6" t="str">
        <f>'Raw Data Sales'!F79</f>
        <v>Food - Breakfast</v>
      </c>
      <c r="F79" s="6">
        <f>'Raw Data Sales'!M79</f>
        <v>7</v>
      </c>
      <c r="G79" s="6">
        <f>'Raw Data Sales'!N79</f>
        <v>8020.74</v>
      </c>
      <c r="H79" s="6" t="str">
        <f>'Raw Data Sales'!O79</f>
        <v>PayPal</v>
      </c>
    </row>
    <row r="80">
      <c r="A80" s="6">
        <f>'Raw Data Sales'!A80</f>
        <v>79</v>
      </c>
      <c r="B80" s="8">
        <f>IFERROR(__xludf.DUMMYFUNCTION("""COMPUTED_VALUE"""),44180.0)</f>
        <v>44180</v>
      </c>
      <c r="C80" s="6" t="str">
        <f>IFERROR(__xludf.DUMMYFUNCTION("UNIQUE('Raw Data Sales'!H80:H1078 &amp; "" "" &amp; 'Raw Data Sales'!I80:I1078)"),"Raimundo Moxted")</f>
        <v>Raimundo Moxted</v>
      </c>
      <c r="D80" s="6" t="str">
        <f>IFERROR(__xludf.DUMMYFUNCTION("""COMPUTED_VALUE"""),"Maple Cinnamon Almonds")</f>
        <v>Maple Cinnamon Almonds</v>
      </c>
      <c r="E80" s="6" t="str">
        <f>'Raw Data Sales'!F80</f>
        <v>Home</v>
      </c>
      <c r="F80" s="6">
        <f>'Raw Data Sales'!M80</f>
        <v>81</v>
      </c>
      <c r="G80" s="6">
        <f>'Raw Data Sales'!N80</f>
        <v>3647.03</v>
      </c>
      <c r="H80" s="6" t="str">
        <f>'Raw Data Sales'!O80</f>
        <v>Credit Card</v>
      </c>
    </row>
    <row r="81">
      <c r="A81" s="6">
        <f>'Raw Data Sales'!A81</f>
        <v>80</v>
      </c>
      <c r="B81" s="8">
        <f>IFERROR(__xludf.DUMMYFUNCTION("""COMPUTED_VALUE"""),44137.0)</f>
        <v>44137</v>
      </c>
      <c r="C81" s="6" t="str">
        <f>IFERROR(__xludf.DUMMYFUNCTION("UNIQUE('Raw Data Sales'!H81:H1079 &amp; "" "" &amp; 'Raw Data Sales'!I81:I1079)"),"Gay Fairholme")</f>
        <v>Gay Fairholme</v>
      </c>
      <c r="D81" s="6" t="str">
        <f>IFERROR(__xludf.DUMMYFUNCTION("""COMPUTED_VALUE"""),"Honey Glazed Carrots")</f>
        <v>Honey Glazed Carrots</v>
      </c>
      <c r="E81" s="6" t="str">
        <f>'Raw Data Sales'!F81</f>
        <v>Food - Nuts</v>
      </c>
      <c r="F81" s="6">
        <f>'Raw Data Sales'!M81</f>
        <v>15</v>
      </c>
      <c r="G81" s="6">
        <f>'Raw Data Sales'!N81</f>
        <v>1793.41</v>
      </c>
      <c r="H81" s="6" t="str">
        <f>'Raw Data Sales'!O81</f>
        <v>Credit Card</v>
      </c>
    </row>
    <row r="82">
      <c r="A82" s="6">
        <f>'Raw Data Sales'!A82</f>
        <v>81</v>
      </c>
      <c r="B82" s="8">
        <f>IFERROR(__xludf.DUMMYFUNCTION("""COMPUTED_VALUE"""),44083.0)</f>
        <v>44083</v>
      </c>
      <c r="C82" s="6" t="str">
        <f>IFERROR(__xludf.DUMMYFUNCTION("UNIQUE('Raw Data Sales'!H82:H1080 &amp; "" "" &amp; 'Raw Data Sales'!I82:I1080)"),"Sancho Featherby")</f>
        <v>Sancho Featherby</v>
      </c>
      <c r="D82" s="6" t="str">
        <f>IFERROR(__xludf.DUMMYFUNCTION("""COMPUTED_VALUE"""),"Electric Wax Warmer")</f>
        <v>Electric Wax Warmer</v>
      </c>
      <c r="E82" s="6" t="str">
        <f>'Raw Data Sales'!F82</f>
        <v>Food - Produce</v>
      </c>
      <c r="F82" s="6">
        <f>'Raw Data Sales'!M82</f>
        <v>79</v>
      </c>
      <c r="G82" s="6">
        <f>'Raw Data Sales'!N82</f>
        <v>8416.21</v>
      </c>
      <c r="H82" s="6" t="str">
        <f>'Raw Data Sales'!O82</f>
        <v>Credit Card</v>
      </c>
    </row>
    <row r="83">
      <c r="A83" s="6">
        <f>'Raw Data Sales'!A83</f>
        <v>82</v>
      </c>
      <c r="B83" s="8">
        <f>IFERROR(__xludf.DUMMYFUNCTION("""COMPUTED_VALUE"""),44204.0)</f>
        <v>44204</v>
      </c>
      <c r="C83" s="6" t="str">
        <f>IFERROR(__xludf.DUMMYFUNCTION("UNIQUE('Raw Data Sales'!H83:H1081 &amp; "" "" &amp; 'Raw Data Sales'!I83:I1081)"),"Kimmy Beardsall")</f>
        <v>Kimmy Beardsall</v>
      </c>
      <c r="D83" s="6" t="str">
        <f>IFERROR(__xludf.DUMMYFUNCTION("""COMPUTED_VALUE"""),"Artisan Cornbread Mix")</f>
        <v>Artisan Cornbread Mix</v>
      </c>
      <c r="E83" s="6" t="str">
        <f>'Raw Data Sales'!F83</f>
        <v>Home</v>
      </c>
      <c r="F83" s="6">
        <f>'Raw Data Sales'!M83</f>
        <v>29</v>
      </c>
      <c r="G83" s="6">
        <f>'Raw Data Sales'!N83</f>
        <v>878.72</v>
      </c>
      <c r="H83" s="6" t="str">
        <f>'Raw Data Sales'!O83</f>
        <v>Credit Card</v>
      </c>
    </row>
    <row r="84">
      <c r="A84" s="6">
        <f>'Raw Data Sales'!A84</f>
        <v>83</v>
      </c>
      <c r="B84" s="8">
        <f>IFERROR(__xludf.DUMMYFUNCTION("""COMPUTED_VALUE"""),44501.0)</f>
        <v>44501</v>
      </c>
      <c r="C84" s="6" t="str">
        <f>IFERROR(__xludf.DUMMYFUNCTION("UNIQUE('Raw Data Sales'!H84:H1082 &amp; "" "" &amp; 'Raw Data Sales'!I84:I1082)"),"Ralph Giorgietto")</f>
        <v>Ralph Giorgietto</v>
      </c>
      <c r="D84" s="6" t="str">
        <f>IFERROR(__xludf.DUMMYFUNCTION("""COMPUTED_VALUE"""),"Screen Cleaning Kit")</f>
        <v>Screen Cleaning Kit</v>
      </c>
      <c r="E84" s="6" t="str">
        <f>'Raw Data Sales'!F84</f>
        <v>Food - Baking</v>
      </c>
      <c r="F84" s="6">
        <f>'Raw Data Sales'!M84</f>
        <v>39</v>
      </c>
      <c r="G84" s="6">
        <f>'Raw Data Sales'!N84</f>
        <v>4519.89</v>
      </c>
      <c r="H84" s="6" t="str">
        <f>'Raw Data Sales'!O84</f>
        <v>Credit Card</v>
      </c>
    </row>
    <row r="85">
      <c r="A85" s="6">
        <f>'Raw Data Sales'!A85</f>
        <v>84</v>
      </c>
      <c r="B85" s="8">
        <f>IFERROR(__xludf.DUMMYFUNCTION("""COMPUTED_VALUE"""),44043.0)</f>
        <v>44043</v>
      </c>
      <c r="C85" s="6" t="str">
        <f>IFERROR(__xludf.DUMMYFUNCTION("UNIQUE('Raw Data Sales'!H85:H1083 &amp; "" "" &amp; 'Raw Data Sales'!I85:I1083)"),"Sonnie Brettoner")</f>
        <v>Sonnie Brettoner</v>
      </c>
      <c r="D85" s="6" t="str">
        <f>IFERROR(__xludf.DUMMYFUNCTION("""COMPUTED_VALUE"""),"Sliced Ham")</f>
        <v>Sliced Ham</v>
      </c>
      <c r="E85" s="6" t="str">
        <f>'Raw Data Sales'!F85</f>
        <v>Electronics</v>
      </c>
      <c r="F85" s="6">
        <f>'Raw Data Sales'!M85</f>
        <v>99</v>
      </c>
      <c r="G85" s="6">
        <f>'Raw Data Sales'!N85</f>
        <v>4472.54</v>
      </c>
      <c r="H85" s="6" t="str">
        <f>'Raw Data Sales'!O85</f>
        <v>Credit Card</v>
      </c>
    </row>
    <row r="86">
      <c r="A86" s="6">
        <f>'Raw Data Sales'!A86</f>
        <v>85</v>
      </c>
      <c r="B86" s="8">
        <f>IFERROR(__xludf.DUMMYFUNCTION("""COMPUTED_VALUE"""),44375.0)</f>
        <v>44375</v>
      </c>
      <c r="C86" s="6" t="str">
        <f>IFERROR(__xludf.DUMMYFUNCTION("UNIQUE('Raw Data Sales'!H86:H1084 &amp; "" "" &amp; 'Raw Data Sales'!I86:I1084)"),"Beverley Argue")</f>
        <v>Beverley Argue</v>
      </c>
      <c r="D86" s="6" t="str">
        <f>IFERROR(__xludf.DUMMYFUNCTION("""COMPUTED_VALUE"""),"Thai Red Curry Paste")</f>
        <v>Thai Red Curry Paste</v>
      </c>
      <c r="E86" s="6" t="str">
        <f>'Raw Data Sales'!F86</f>
        <v>Food - Meat</v>
      </c>
      <c r="F86" s="6">
        <f>'Raw Data Sales'!M86</f>
        <v>67</v>
      </c>
      <c r="G86" s="6">
        <f>'Raw Data Sales'!N86</f>
        <v>3367.73</v>
      </c>
      <c r="H86" s="6" t="str">
        <f>'Raw Data Sales'!O86</f>
        <v>Credit Card</v>
      </c>
    </row>
    <row r="87">
      <c r="A87" s="6">
        <f>'Raw Data Sales'!A87</f>
        <v>86</v>
      </c>
      <c r="B87" s="8">
        <f>IFERROR(__xludf.DUMMYFUNCTION("""COMPUTED_VALUE"""),43959.0)</f>
        <v>43959</v>
      </c>
      <c r="C87" s="6" t="str">
        <f>IFERROR(__xludf.DUMMYFUNCTION("UNIQUE('Raw Data Sales'!H87:H1085 &amp; "" "" &amp; 'Raw Data Sales'!I87:I1085)"),"Sylvester Bolwell")</f>
        <v>Sylvester Bolwell</v>
      </c>
      <c r="D87" s="6" t="str">
        <f>IFERROR(__xludf.DUMMYFUNCTION("""COMPUTED_VALUE"""),"Pumpkin Pie Spice")</f>
        <v>Pumpkin Pie Spice</v>
      </c>
      <c r="E87" s="6" t="str">
        <f>'Raw Data Sales'!F87</f>
        <v>Food - Condiments</v>
      </c>
      <c r="F87" s="6">
        <f>'Raw Data Sales'!M87</f>
        <v>88</v>
      </c>
      <c r="G87" s="6">
        <f>'Raw Data Sales'!N87</f>
        <v>325</v>
      </c>
      <c r="H87" s="6" t="str">
        <f>'Raw Data Sales'!O87</f>
        <v>Credit Card</v>
      </c>
    </row>
    <row r="88">
      <c r="A88" s="6">
        <f>'Raw Data Sales'!A88</f>
        <v>87</v>
      </c>
      <c r="B88" s="8">
        <f>IFERROR(__xludf.DUMMYFUNCTION("""COMPUTED_VALUE"""),44133.0)</f>
        <v>44133</v>
      </c>
      <c r="C88" s="6" t="str">
        <f>IFERROR(__xludf.DUMMYFUNCTION("UNIQUE('Raw Data Sales'!H88:H1086 &amp; "" "" &amp; 'Raw Data Sales'!I88:I1086)"),"Cornelia Shapcote")</f>
        <v>Cornelia Shapcote</v>
      </c>
      <c r="D88" s="6" t="str">
        <f>IFERROR(__xludf.DUMMYFUNCTION("""COMPUTED_VALUE"""),"Cauliflower Pizza Crust")</f>
        <v>Cauliflower Pizza Crust</v>
      </c>
      <c r="E88" s="6" t="str">
        <f>'Raw Data Sales'!F88</f>
        <v>Food - Baking</v>
      </c>
      <c r="F88" s="6">
        <f>'Raw Data Sales'!M88</f>
        <v>97</v>
      </c>
      <c r="G88" s="6">
        <f>'Raw Data Sales'!N88</f>
        <v>4123.93</v>
      </c>
      <c r="H88" s="6" t="str">
        <f>'Raw Data Sales'!O88</f>
        <v>PayPal</v>
      </c>
    </row>
    <row r="89">
      <c r="A89" s="6">
        <f>'Raw Data Sales'!A89</f>
        <v>88</v>
      </c>
      <c r="B89" s="8">
        <f>IFERROR(__xludf.DUMMYFUNCTION("""COMPUTED_VALUE"""),44270.0)</f>
        <v>44270</v>
      </c>
      <c r="C89" s="6" t="str">
        <f>IFERROR(__xludf.DUMMYFUNCTION("UNIQUE('Raw Data Sales'!H89:H1087 &amp; "" "" &amp; 'Raw Data Sales'!I89:I1087)"),"Gwendolin Marl")</f>
        <v>Gwendolin Marl</v>
      </c>
      <c r="D89" s="6" t="str">
        <f>IFERROR(__xludf.DUMMYFUNCTION("""COMPUTED_VALUE"""),"Gaming Mousepad")</f>
        <v>Gaming Mousepad</v>
      </c>
      <c r="E89" s="6" t="str">
        <f>'Raw Data Sales'!F89</f>
        <v>Food - Frozen Foods</v>
      </c>
      <c r="F89" s="6">
        <f>'Raw Data Sales'!M89</f>
        <v>69</v>
      </c>
      <c r="G89" s="6">
        <f>'Raw Data Sales'!N89</f>
        <v>26.6</v>
      </c>
      <c r="H89" s="6" t="str">
        <f>'Raw Data Sales'!O89</f>
        <v>PayPal</v>
      </c>
    </row>
    <row r="90">
      <c r="A90" s="6">
        <f>'Raw Data Sales'!A90</f>
        <v>89</v>
      </c>
      <c r="B90" s="8">
        <f>IFERROR(__xludf.DUMMYFUNCTION("""COMPUTED_VALUE"""),44309.0)</f>
        <v>44309</v>
      </c>
      <c r="C90" s="6" t="str">
        <f>IFERROR(__xludf.DUMMYFUNCTION("UNIQUE('Raw Data Sales'!H90:H1088 &amp; "" "" &amp; 'Raw Data Sales'!I90:I1088)"),"Connie Swalteridge")</f>
        <v>Connie Swalteridge</v>
      </c>
      <c r="D90" s="6" t="str">
        <f>IFERROR(__xludf.DUMMYFUNCTION("""COMPUTED_VALUE"""),"Electric Heat Press Machine")</f>
        <v>Electric Heat Press Machine</v>
      </c>
      <c r="E90" s="6" t="str">
        <f>'Raw Data Sales'!F90</f>
        <v>Gaming</v>
      </c>
      <c r="F90" s="6">
        <f>'Raw Data Sales'!M90</f>
        <v>35</v>
      </c>
      <c r="G90" s="6">
        <f>'Raw Data Sales'!N90</f>
        <v>367.33</v>
      </c>
      <c r="H90" s="6" t="str">
        <f>'Raw Data Sales'!O90</f>
        <v>PayPal</v>
      </c>
    </row>
    <row r="91">
      <c r="A91" s="6">
        <f>'Raw Data Sales'!A91</f>
        <v>90</v>
      </c>
      <c r="B91" s="8">
        <f>IFERROR(__xludf.DUMMYFUNCTION("""COMPUTED_VALUE"""),44268.0)</f>
        <v>44268</v>
      </c>
      <c r="C91" s="6" t="str">
        <f>IFERROR(__xludf.DUMMYFUNCTION("UNIQUE('Raw Data Sales'!H91:H1089 &amp; "" "" &amp; 'Raw Data Sales'!I91:I1089)"),"Maggie Trappe")</f>
        <v>Maggie Trappe</v>
      </c>
      <c r="D91" s="6" t="str">
        <f>IFERROR(__xludf.DUMMYFUNCTION("""COMPUTED_VALUE"""),"Chocolate Mint Protein Shake")</f>
        <v>Chocolate Mint Protein Shake</v>
      </c>
      <c r="E91" s="6" t="str">
        <f>'Raw Data Sales'!F91</f>
        <v>Crafts</v>
      </c>
      <c r="F91" s="6">
        <f>'Raw Data Sales'!M91</f>
        <v>87</v>
      </c>
      <c r="G91" s="6">
        <f>'Raw Data Sales'!N91</f>
        <v>2421.08</v>
      </c>
      <c r="H91" s="6" t="str">
        <f>'Raw Data Sales'!O91</f>
        <v>Credit Card</v>
      </c>
    </row>
    <row r="92">
      <c r="A92" s="6">
        <f>'Raw Data Sales'!A92</f>
        <v>91</v>
      </c>
      <c r="B92" s="8">
        <f>IFERROR(__xludf.DUMMYFUNCTION("""COMPUTED_VALUE"""),44065.0)</f>
        <v>44065</v>
      </c>
      <c r="C92" s="6" t="str">
        <f>IFERROR(__xludf.DUMMYFUNCTION("UNIQUE('Raw Data Sales'!H92:H1090 &amp; "" "" &amp; 'Raw Data Sales'!I92:I1090)"),"Meredithe Kelwick")</f>
        <v>Meredithe Kelwick</v>
      </c>
      <c r="D92" s="6" t="str">
        <f>IFERROR(__xludf.DUMMYFUNCTION("""COMPUTED_VALUE"""),"Popcorn Chicken")</f>
        <v>Popcorn Chicken</v>
      </c>
      <c r="E92" s="6" t="str">
        <f>'Raw Data Sales'!F92</f>
        <v>Food - Beverages</v>
      </c>
      <c r="F92" s="6">
        <f>'Raw Data Sales'!M92</f>
        <v>95</v>
      </c>
      <c r="G92" s="6">
        <f>'Raw Data Sales'!N92</f>
        <v>5850.7</v>
      </c>
      <c r="H92" s="6" t="str">
        <f>'Raw Data Sales'!O92</f>
        <v>PayPal</v>
      </c>
    </row>
    <row r="93">
      <c r="A93" s="6">
        <f>'Raw Data Sales'!A93</f>
        <v>92</v>
      </c>
      <c r="B93" s="8">
        <f>IFERROR(__xludf.DUMMYFUNCTION("""COMPUTED_VALUE"""),44063.0)</f>
        <v>44063</v>
      </c>
      <c r="C93" s="6" t="str">
        <f>IFERROR(__xludf.DUMMYFUNCTION("UNIQUE('Raw Data Sales'!H93:H1091 &amp; "" "" &amp; 'Raw Data Sales'!I93:I1091)"),"Zondra Maskrey")</f>
        <v>Zondra Maskrey</v>
      </c>
      <c r="D93" s="6" t="str">
        <f>IFERROR(__xludf.DUMMYFUNCTION("""COMPUTED_VALUE"""),"Spicy Kimchi")</f>
        <v>Spicy Kimchi</v>
      </c>
      <c r="E93" s="6" t="str">
        <f>'Raw Data Sales'!F93</f>
        <v>Food - Frozen</v>
      </c>
      <c r="F93" s="6">
        <f>'Raw Data Sales'!M93</f>
        <v>50</v>
      </c>
      <c r="G93" s="6">
        <f>'Raw Data Sales'!N93</f>
        <v>1400.05</v>
      </c>
      <c r="H93" s="6" t="str">
        <f>'Raw Data Sales'!O93</f>
        <v>Cash</v>
      </c>
    </row>
    <row r="94">
      <c r="A94" s="6">
        <f>'Raw Data Sales'!A94</f>
        <v>93</v>
      </c>
      <c r="B94" s="8">
        <f>IFERROR(__xludf.DUMMYFUNCTION("""COMPUTED_VALUE"""),44546.0)</f>
        <v>44546</v>
      </c>
      <c r="C94" s="6" t="str">
        <f>IFERROR(__xludf.DUMMYFUNCTION("UNIQUE('Raw Data Sales'!H94:H1092 &amp; "" "" &amp; 'Raw Data Sales'!I94:I1092)"),"Howey Keaveney")</f>
        <v>Howey Keaveney</v>
      </c>
      <c r="D94" s="6" t="str">
        <f>IFERROR(__xludf.DUMMYFUNCTION("""COMPUTED_VALUE"""),"Black Bean Spaghetti")</f>
        <v>Black Bean Spaghetti</v>
      </c>
      <c r="E94" s="6" t="str">
        <f>'Raw Data Sales'!F94</f>
        <v>Food - Condiments</v>
      </c>
      <c r="F94" s="6">
        <f>'Raw Data Sales'!M94</f>
        <v>93</v>
      </c>
      <c r="G94" s="6">
        <f>'Raw Data Sales'!N94</f>
        <v>2570.88</v>
      </c>
      <c r="H94" s="6" t="str">
        <f>'Raw Data Sales'!O94</f>
        <v>Credit Card</v>
      </c>
    </row>
    <row r="95">
      <c r="A95" s="6">
        <f>'Raw Data Sales'!A95</f>
        <v>94</v>
      </c>
      <c r="B95" s="8">
        <f>IFERROR(__xludf.DUMMYFUNCTION("""COMPUTED_VALUE"""),43900.0)</f>
        <v>43900</v>
      </c>
      <c r="C95" s="6" t="str">
        <f>IFERROR(__xludf.DUMMYFUNCTION("UNIQUE('Raw Data Sales'!H95:H1093 &amp; "" "" &amp; 'Raw Data Sales'!I95:I1093)"),"Ollie Jakubowsky")</f>
        <v>Ollie Jakubowsky</v>
      </c>
      <c r="D95" s="6" t="str">
        <f>IFERROR(__xludf.DUMMYFUNCTION("""COMPUTED_VALUE"""),"Sports Water Bottle with Infuser")</f>
        <v>Sports Water Bottle with Infuser</v>
      </c>
      <c r="E95" s="6" t="str">
        <f>'Raw Data Sales'!F95</f>
        <v>Food - Pasta</v>
      </c>
      <c r="F95" s="6">
        <f>'Raw Data Sales'!M95</f>
        <v>91</v>
      </c>
      <c r="G95" s="6">
        <f>'Raw Data Sales'!N95</f>
        <v>6866.16</v>
      </c>
      <c r="H95" s="6" t="str">
        <f>'Raw Data Sales'!O95</f>
        <v>PayPal</v>
      </c>
    </row>
    <row r="96">
      <c r="A96" s="6">
        <f>'Raw Data Sales'!A96</f>
        <v>95</v>
      </c>
      <c r="B96" s="8">
        <f>IFERROR(__xludf.DUMMYFUNCTION("""COMPUTED_VALUE"""),44477.0)</f>
        <v>44477</v>
      </c>
      <c r="C96" s="6" t="str">
        <f>IFERROR(__xludf.DUMMYFUNCTION("UNIQUE('Raw Data Sales'!H96:H1094 &amp; "" "" &amp; 'Raw Data Sales'!I96:I1094)"),"Luciana Deniseau")</f>
        <v>Luciana Deniseau</v>
      </c>
      <c r="D96" s="6" t="str">
        <f>IFERROR(__xludf.DUMMYFUNCTION("""COMPUTED_VALUE"""),"Beef Taco Skillet")</f>
        <v>Beef Taco Skillet</v>
      </c>
      <c r="E96" s="6" t="str">
        <f>'Raw Data Sales'!F96</f>
        <v>Fitness</v>
      </c>
      <c r="F96" s="6">
        <f>'Raw Data Sales'!M96</f>
        <v>28</v>
      </c>
      <c r="G96" s="6">
        <f>'Raw Data Sales'!N96</f>
        <v>8936.14</v>
      </c>
      <c r="H96" s="6" t="str">
        <f>'Raw Data Sales'!O96</f>
        <v>Credit Card</v>
      </c>
    </row>
    <row r="97">
      <c r="A97" s="6">
        <f>'Raw Data Sales'!A97</f>
        <v>96</v>
      </c>
      <c r="B97" s="8">
        <f>IFERROR(__xludf.DUMMYFUNCTION("""COMPUTED_VALUE"""),44514.0)</f>
        <v>44514</v>
      </c>
      <c r="C97" s="6" t="str">
        <f>IFERROR(__xludf.DUMMYFUNCTION("UNIQUE('Raw Data Sales'!H97:H1095 &amp; "" "" &amp; 'Raw Data Sales'!I97:I1095)"),"Nataline Marklin")</f>
        <v>Nataline Marklin</v>
      </c>
      <c r="D97" s="6" t="str">
        <f>IFERROR(__xludf.DUMMYFUNCTION("""COMPUTED_VALUE"""),"Organic Whole Grain Oats")</f>
        <v>Organic Whole Grain Oats</v>
      </c>
      <c r="E97" s="6" t="str">
        <f>'Raw Data Sales'!F97</f>
        <v>Food - Meal Kits</v>
      </c>
      <c r="F97" s="6">
        <f>'Raw Data Sales'!M97</f>
        <v>87</v>
      </c>
      <c r="G97" s="6">
        <f>'Raw Data Sales'!N97</f>
        <v>7005.31</v>
      </c>
      <c r="H97" s="6" t="str">
        <f>'Raw Data Sales'!O97</f>
        <v>Cash</v>
      </c>
    </row>
    <row r="98">
      <c r="A98" s="6">
        <f>'Raw Data Sales'!A98</f>
        <v>97</v>
      </c>
      <c r="B98" s="8">
        <f>IFERROR(__xludf.DUMMYFUNCTION("""COMPUTED_VALUE"""),43891.0)</f>
        <v>43891</v>
      </c>
      <c r="C98" s="6" t="str">
        <f>IFERROR(__xludf.DUMMYFUNCTION("UNIQUE('Raw Data Sales'!H98:H1096 &amp; "" "" &amp; 'Raw Data Sales'!I98:I1096)"),"Cristin Veracruysse")</f>
        <v>Cristin Veracruysse</v>
      </c>
      <c r="D98" s="6" t="str">
        <f>IFERROR(__xludf.DUMMYFUNCTION("""COMPUTED_VALUE"""),"Thai Peanut Dressing")</f>
        <v>Thai Peanut Dressing</v>
      </c>
      <c r="E98" s="6" t="str">
        <f>'Raw Data Sales'!F98</f>
        <v>Food - Breakfast</v>
      </c>
      <c r="F98" s="6">
        <f>'Raw Data Sales'!M98</f>
        <v>88</v>
      </c>
      <c r="G98" s="6">
        <f>'Raw Data Sales'!N98</f>
        <v>3375.98</v>
      </c>
      <c r="H98" s="6" t="str">
        <f>'Raw Data Sales'!O98</f>
        <v>Credit Card</v>
      </c>
    </row>
    <row r="99">
      <c r="A99" s="6">
        <f>'Raw Data Sales'!A99</f>
        <v>98</v>
      </c>
      <c r="B99" s="8">
        <f>IFERROR(__xludf.DUMMYFUNCTION("""COMPUTED_VALUE"""),44024.0)</f>
        <v>44024</v>
      </c>
      <c r="C99" s="6" t="str">
        <f>IFERROR(__xludf.DUMMYFUNCTION("UNIQUE('Raw Data Sales'!H99:H1097 &amp; "" "" &amp; 'Raw Data Sales'!I99:I1097)"),"Bradford Ewers")</f>
        <v>Bradford Ewers</v>
      </c>
      <c r="D99" s="6" t="str">
        <f>IFERROR(__xludf.DUMMYFUNCTION("""COMPUTED_VALUE"""),"Sushi Rice")</f>
        <v>Sushi Rice</v>
      </c>
      <c r="E99" s="6" t="str">
        <f>'Raw Data Sales'!F99</f>
        <v>Food - Condiments</v>
      </c>
      <c r="F99" s="6">
        <f>'Raw Data Sales'!M99</f>
        <v>94</v>
      </c>
      <c r="G99" s="6">
        <f>'Raw Data Sales'!N99</f>
        <v>9649.32</v>
      </c>
      <c r="H99" s="6" t="str">
        <f>'Raw Data Sales'!O99</f>
        <v>PayPal</v>
      </c>
    </row>
    <row r="100">
      <c r="A100" s="6">
        <f>'Raw Data Sales'!A100</f>
        <v>99</v>
      </c>
      <c r="B100" s="8">
        <f>IFERROR(__xludf.DUMMYFUNCTION("""COMPUTED_VALUE"""),44389.0)</f>
        <v>44389</v>
      </c>
      <c r="C100" s="6" t="str">
        <f>IFERROR(__xludf.DUMMYFUNCTION("UNIQUE('Raw Data Sales'!H100:H1098 &amp; "" "" &amp; 'Raw Data Sales'!I100:I1098)"),"Evelina Izacenko")</f>
        <v>Evelina Izacenko</v>
      </c>
      <c r="D100" s="6" t="str">
        <f>IFERROR(__xludf.DUMMYFUNCTION("""COMPUTED_VALUE"""),"Classic Caesar Dressing")</f>
        <v>Classic Caesar Dressing</v>
      </c>
      <c r="E100" s="6" t="str">
        <f>'Raw Data Sales'!F100</f>
        <v>Food - Grains</v>
      </c>
      <c r="F100" s="6">
        <f>'Raw Data Sales'!M100</f>
        <v>1</v>
      </c>
      <c r="G100" s="6">
        <f>'Raw Data Sales'!N100</f>
        <v>4228.75</v>
      </c>
      <c r="H100" s="6" t="str">
        <f>'Raw Data Sales'!O100</f>
        <v>PayPal</v>
      </c>
    </row>
    <row r="101">
      <c r="A101" s="6">
        <f>'Raw Data Sales'!A101</f>
        <v>100</v>
      </c>
      <c r="B101" s="8">
        <f>IFERROR(__xludf.DUMMYFUNCTION("""COMPUTED_VALUE"""),44259.0)</f>
        <v>44259</v>
      </c>
      <c r="C101" s="6" t="str">
        <f>IFERROR(__xludf.DUMMYFUNCTION("UNIQUE('Raw Data Sales'!H101:H1099 &amp; "" "" &amp; 'Raw Data Sales'!I101:I1099)"),"Alameda Rabson")</f>
        <v>Alameda Rabson</v>
      </c>
      <c r="D101" s="6" t="str">
        <f>IFERROR(__xludf.DUMMYFUNCTION("""COMPUTED_VALUE"""),"Yoga Mat")</f>
        <v>Yoga Mat</v>
      </c>
      <c r="E101" s="6" t="str">
        <f>'Raw Data Sales'!F101</f>
        <v>Food - Condiments</v>
      </c>
      <c r="F101" s="6">
        <f>'Raw Data Sales'!M101</f>
        <v>3</v>
      </c>
      <c r="G101" s="6">
        <f>'Raw Data Sales'!N101</f>
        <v>6384.25</v>
      </c>
      <c r="H101" s="6" t="str">
        <f>'Raw Data Sales'!O101</f>
        <v>PayPal</v>
      </c>
    </row>
    <row r="102">
      <c r="A102" s="6">
        <f>'Raw Data Sales'!A102</f>
        <v>101</v>
      </c>
      <c r="B102" s="8">
        <f>IFERROR(__xludf.DUMMYFUNCTION("""COMPUTED_VALUE"""),43940.0)</f>
        <v>43940</v>
      </c>
      <c r="C102" s="6" t="str">
        <f>IFERROR(__xludf.DUMMYFUNCTION("UNIQUE('Raw Data Sales'!H102:H1100 &amp; "" "" &amp; 'Raw Data Sales'!I102:I1100)"),"Zacharie Aronowicz")</f>
        <v>Zacharie Aronowicz</v>
      </c>
      <c r="D102" s="6" t="str">
        <f>IFERROR(__xludf.DUMMYFUNCTION("""COMPUTED_VALUE"""),"Wireless HDMI Receiver")</f>
        <v>Wireless HDMI Receiver</v>
      </c>
      <c r="E102" s="6" t="str">
        <f>'Raw Data Sales'!F102</f>
        <v>Fitness</v>
      </c>
      <c r="F102" s="6">
        <f>'Raw Data Sales'!M102</f>
        <v>39</v>
      </c>
      <c r="G102" s="6">
        <f>'Raw Data Sales'!N102</f>
        <v>2350.78</v>
      </c>
      <c r="H102" s="6" t="str">
        <f>'Raw Data Sales'!O102</f>
        <v>Credit Card</v>
      </c>
    </row>
    <row r="103">
      <c r="A103" s="6">
        <f>'Raw Data Sales'!A103</f>
        <v>102</v>
      </c>
      <c r="B103" s="8">
        <f>IFERROR(__xludf.DUMMYFUNCTION("""COMPUTED_VALUE"""),44285.0)</f>
        <v>44285</v>
      </c>
      <c r="C103" s="6" t="str">
        <f>IFERROR(__xludf.DUMMYFUNCTION("UNIQUE('Raw Data Sales'!H103:H1101 &amp; "" "" &amp; 'Raw Data Sales'!I103:I1101)"),"Darice Sanz")</f>
        <v>Darice Sanz</v>
      </c>
      <c r="D103" s="6" t="str">
        <f>IFERROR(__xludf.DUMMYFUNCTION("""COMPUTED_VALUE"""),"Fleece Lined Leggings")</f>
        <v>Fleece Lined Leggings</v>
      </c>
      <c r="E103" s="6" t="str">
        <f>'Raw Data Sales'!F103</f>
        <v>Electronics</v>
      </c>
      <c r="F103" s="6">
        <f>'Raw Data Sales'!M103</f>
        <v>98</v>
      </c>
      <c r="G103" s="6">
        <f>'Raw Data Sales'!N103</f>
        <v>864.12</v>
      </c>
      <c r="H103" s="6" t="str">
        <f>'Raw Data Sales'!O103</f>
        <v>Cash</v>
      </c>
    </row>
    <row r="104">
      <c r="A104" s="6">
        <f>'Raw Data Sales'!A104</f>
        <v>103</v>
      </c>
      <c r="B104" s="8">
        <f>IFERROR(__xludf.DUMMYFUNCTION("""COMPUTED_VALUE"""),43850.0)</f>
        <v>43850</v>
      </c>
      <c r="C104" s="6" t="str">
        <f>IFERROR(__xludf.DUMMYFUNCTION("UNIQUE('Raw Data Sales'!H104:H1102 &amp; "" "" &amp; 'Raw Data Sales'!I104:I1102)"),"Nixie Grix")</f>
        <v>Nixie Grix</v>
      </c>
      <c r="D104" s="6" t="str">
        <f>IFERROR(__xludf.DUMMYFUNCTION("""COMPUTED_VALUE"""),"Mushrooms")</f>
        <v>Mushrooms</v>
      </c>
      <c r="E104" s="6" t="str">
        <f>'Raw Data Sales'!F104</f>
        <v>Clothing</v>
      </c>
      <c r="F104" s="6">
        <f>'Raw Data Sales'!M104</f>
        <v>12</v>
      </c>
      <c r="G104" s="6">
        <f>'Raw Data Sales'!N104</f>
        <v>7587.97</v>
      </c>
      <c r="H104" s="6" t="str">
        <f>'Raw Data Sales'!O104</f>
        <v>Cash</v>
      </c>
    </row>
    <row r="105">
      <c r="A105" s="6">
        <f>'Raw Data Sales'!A105</f>
        <v>104</v>
      </c>
      <c r="B105" s="8">
        <f>IFERROR(__xludf.DUMMYFUNCTION("""COMPUTED_VALUE"""),44033.0)</f>
        <v>44033</v>
      </c>
      <c r="C105" s="6" t="str">
        <f>IFERROR(__xludf.DUMMYFUNCTION("UNIQUE('Raw Data Sales'!H105:H1103 &amp; "" "" &amp; 'Raw Data Sales'!I105:I1103)"),"Agata Legat")</f>
        <v>Agata Legat</v>
      </c>
      <c r="D105" s="6" t="str">
        <f>IFERROR(__xludf.DUMMYFUNCTION("""COMPUTED_VALUE"""),"Smart Thermostat")</f>
        <v>Smart Thermostat</v>
      </c>
      <c r="E105" s="6" t="str">
        <f>'Raw Data Sales'!F105</f>
        <v>Food - Produce</v>
      </c>
      <c r="F105" s="6">
        <f>'Raw Data Sales'!M105</f>
        <v>43</v>
      </c>
      <c r="G105" s="6">
        <f>'Raw Data Sales'!N105</f>
        <v>1705.72</v>
      </c>
      <c r="H105" s="6" t="str">
        <f>'Raw Data Sales'!O105</f>
        <v>PayPal</v>
      </c>
    </row>
    <row r="106">
      <c r="A106" s="6">
        <f>'Raw Data Sales'!A106</f>
        <v>105</v>
      </c>
      <c r="B106" s="8">
        <f>IFERROR(__xludf.DUMMYFUNCTION("""COMPUTED_VALUE"""),44264.0)</f>
        <v>44264</v>
      </c>
      <c r="C106" s="6" t="str">
        <f>IFERROR(__xludf.DUMMYFUNCTION("UNIQUE('Raw Data Sales'!H106:H1104 &amp; "" "" &amp; 'Raw Data Sales'!I106:I1104)"),"Phedra Heinsh")</f>
        <v>Phedra Heinsh</v>
      </c>
      <c r="D106" s="6" t="str">
        <f>IFERROR(__xludf.DUMMYFUNCTION("""COMPUTED_VALUE"""),"Vintage Graphic Tee")</f>
        <v>Vintage Graphic Tee</v>
      </c>
      <c r="E106" s="6" t="str">
        <f>'Raw Data Sales'!F106</f>
        <v>Smart Home</v>
      </c>
      <c r="F106" s="6">
        <f>'Raw Data Sales'!M106</f>
        <v>62</v>
      </c>
      <c r="G106" s="6">
        <f>'Raw Data Sales'!N106</f>
        <v>8176.76</v>
      </c>
      <c r="H106" s="6" t="str">
        <f>'Raw Data Sales'!O106</f>
        <v>Cash</v>
      </c>
    </row>
    <row r="107">
      <c r="A107" s="6">
        <f>'Raw Data Sales'!A107</f>
        <v>106</v>
      </c>
      <c r="B107" s="8">
        <f>IFERROR(__xludf.DUMMYFUNCTION("""COMPUTED_VALUE"""),43991.0)</f>
        <v>43991</v>
      </c>
      <c r="C107" s="6" t="str">
        <f>IFERROR(__xludf.DUMMYFUNCTION("UNIQUE('Raw Data Sales'!H107:H1105 &amp; "" "" &amp; 'Raw Data Sales'!I107:I1105)"),"Theodoric Rubie")</f>
        <v>Theodoric Rubie</v>
      </c>
      <c r="D107" s="6" t="str">
        <f>IFERROR(__xludf.DUMMYFUNCTION("""COMPUTED_VALUE"""),"Cinnamon Apple Sauce")</f>
        <v>Cinnamon Apple Sauce</v>
      </c>
      <c r="E107" s="6" t="str">
        <f>'Raw Data Sales'!F107</f>
        <v>Clothing - Tops</v>
      </c>
      <c r="F107" s="6">
        <f>'Raw Data Sales'!M107</f>
        <v>92</v>
      </c>
      <c r="G107" s="6">
        <f>'Raw Data Sales'!N107</f>
        <v>3952.67</v>
      </c>
      <c r="H107" s="6" t="str">
        <f>'Raw Data Sales'!O107</f>
        <v>Cash</v>
      </c>
    </row>
    <row r="108">
      <c r="A108" s="6">
        <f>'Raw Data Sales'!A108</f>
        <v>107</v>
      </c>
      <c r="B108" s="8">
        <f>IFERROR(__xludf.DUMMYFUNCTION("""COMPUTED_VALUE"""),43847.0)</f>
        <v>43847</v>
      </c>
      <c r="C108" s="6" t="str">
        <f>IFERROR(__xludf.DUMMYFUNCTION("UNIQUE('Raw Data Sales'!H108:H1106 &amp; "" "" &amp; 'Raw Data Sales'!I108:I1106)"),"Rinaldo Harbach")</f>
        <v>Rinaldo Harbach</v>
      </c>
      <c r="D108" s="6" t="str">
        <f>IFERROR(__xludf.DUMMYFUNCTION("""COMPUTED_VALUE"""),"Cotton Quilted Throw Blanket")</f>
        <v>Cotton Quilted Throw Blanket</v>
      </c>
      <c r="E108" s="6" t="str">
        <f>'Raw Data Sales'!F108</f>
        <v>Food - Canned Goods</v>
      </c>
      <c r="F108" s="6">
        <f>'Raw Data Sales'!M108</f>
        <v>1</v>
      </c>
      <c r="G108" s="6">
        <f>'Raw Data Sales'!N108</f>
        <v>205.97</v>
      </c>
      <c r="H108" s="6" t="str">
        <f>'Raw Data Sales'!O108</f>
        <v>Credit Card</v>
      </c>
    </row>
    <row r="109">
      <c r="A109" s="6">
        <f>'Raw Data Sales'!A109</f>
        <v>108</v>
      </c>
      <c r="B109" s="8">
        <f>IFERROR(__xludf.DUMMYFUNCTION("""COMPUTED_VALUE"""),44243.0)</f>
        <v>44243</v>
      </c>
      <c r="C109" s="6" t="str">
        <f>IFERROR(__xludf.DUMMYFUNCTION("UNIQUE('Raw Data Sales'!H109:H1107 &amp; "" "" &amp; 'Raw Data Sales'!I109:I1107)"),"Corrine Hannabuss")</f>
        <v>Corrine Hannabuss</v>
      </c>
      <c r="D109" s="6" t="str">
        <f>IFERROR(__xludf.DUMMYFUNCTION("""COMPUTED_VALUE"""),"Mayonnaise")</f>
        <v>Mayonnaise</v>
      </c>
      <c r="E109" s="6" t="str">
        <f>'Raw Data Sales'!F109</f>
        <v>Home</v>
      </c>
      <c r="F109" s="6">
        <f>'Raw Data Sales'!M109</f>
        <v>31</v>
      </c>
      <c r="G109" s="6">
        <f>'Raw Data Sales'!N109</f>
        <v>2551.47</v>
      </c>
      <c r="H109" s="6" t="str">
        <f>'Raw Data Sales'!O109</f>
        <v>PayPal</v>
      </c>
    </row>
    <row r="110">
      <c r="A110" s="6">
        <f>'Raw Data Sales'!A110</f>
        <v>109</v>
      </c>
      <c r="B110" s="8">
        <f>IFERROR(__xludf.DUMMYFUNCTION("""COMPUTED_VALUE"""),44473.0)</f>
        <v>44473</v>
      </c>
      <c r="C110" s="6" t="str">
        <f>IFERROR(__xludf.DUMMYFUNCTION("UNIQUE('Raw Data Sales'!H110:H1108 &amp; "" "" &amp; 'Raw Data Sales'!I110:I1108)"),"Corbie Coneybeer")</f>
        <v>Corbie Coneybeer</v>
      </c>
      <c r="D110" s="6" t="str">
        <f>IFERROR(__xludf.DUMMYFUNCTION("""COMPUTED_VALUE"""),"Car Phone Mount")</f>
        <v>Car Phone Mount</v>
      </c>
      <c r="E110" s="6" t="str">
        <f>'Raw Data Sales'!F110</f>
        <v>Food - Condiments</v>
      </c>
      <c r="F110" s="6">
        <f>'Raw Data Sales'!M110</f>
        <v>16</v>
      </c>
      <c r="G110" s="6">
        <f>'Raw Data Sales'!N110</f>
        <v>1773.76</v>
      </c>
      <c r="H110" s="6" t="str">
        <f>'Raw Data Sales'!O110</f>
        <v>Cash</v>
      </c>
    </row>
    <row r="111">
      <c r="A111" s="6">
        <f>'Raw Data Sales'!A111</f>
        <v>110</v>
      </c>
      <c r="B111" s="8">
        <f>IFERROR(__xludf.DUMMYFUNCTION("""COMPUTED_VALUE"""),44307.0)</f>
        <v>44307</v>
      </c>
      <c r="C111" s="6" t="str">
        <f>IFERROR(__xludf.DUMMYFUNCTION("UNIQUE('Raw Data Sales'!H111:H1109 &amp; "" "" &amp; 'Raw Data Sales'!I111:I1109)"),"Tallulah Pleven")</f>
        <v>Tallulah Pleven</v>
      </c>
      <c r="D111" s="6" t="str">
        <f>IFERROR(__xludf.DUMMYFUNCTION("""COMPUTED_VALUE"""),"Carrot Sticks")</f>
        <v>Carrot Sticks</v>
      </c>
      <c r="E111" s="6" t="str">
        <f>'Raw Data Sales'!F111</f>
        <v>Automotive</v>
      </c>
      <c r="F111" s="6">
        <f>'Raw Data Sales'!M111</f>
        <v>49</v>
      </c>
      <c r="G111" s="6">
        <f>'Raw Data Sales'!N111</f>
        <v>8805.15</v>
      </c>
      <c r="H111" s="6" t="str">
        <f>'Raw Data Sales'!O111</f>
        <v>Cash</v>
      </c>
    </row>
    <row r="112">
      <c r="A112" s="6">
        <f>'Raw Data Sales'!A112</f>
        <v>111</v>
      </c>
      <c r="B112" s="8">
        <f>IFERROR(__xludf.DUMMYFUNCTION("""COMPUTED_VALUE"""),43893.0)</f>
        <v>43893</v>
      </c>
      <c r="C112" s="6" t="str">
        <f>IFERROR(__xludf.DUMMYFUNCTION("UNIQUE('Raw Data Sales'!H112:H1110 &amp; "" "" &amp; 'Raw Data Sales'!I112:I1110)"),"Rem Haddeston")</f>
        <v>Rem Haddeston</v>
      </c>
      <c r="D112" s="6" t="str">
        <f>IFERROR(__xludf.DUMMYFUNCTION("""COMPUTED_VALUE"""),"Indestructible Dog Toy")</f>
        <v>Indestructible Dog Toy</v>
      </c>
      <c r="E112" s="6" t="str">
        <f>'Raw Data Sales'!F112</f>
        <v>Food - Produce</v>
      </c>
      <c r="F112" s="6">
        <f>'Raw Data Sales'!M112</f>
        <v>4</v>
      </c>
      <c r="G112" s="6">
        <f>'Raw Data Sales'!N112</f>
        <v>7616.39</v>
      </c>
      <c r="H112" s="6" t="str">
        <f>'Raw Data Sales'!O112</f>
        <v>Credit Card</v>
      </c>
    </row>
    <row r="113">
      <c r="A113" s="6">
        <f>'Raw Data Sales'!A113</f>
        <v>112</v>
      </c>
      <c r="B113" s="8">
        <f>IFERROR(__xludf.DUMMYFUNCTION("""COMPUTED_VALUE"""),43970.0)</f>
        <v>43970</v>
      </c>
      <c r="C113" s="6" t="str">
        <f>IFERROR(__xludf.DUMMYFUNCTION("UNIQUE('Raw Data Sales'!H113:H1111 &amp; "" "" &amp; 'Raw Data Sales'!I113:I1111)"),"Estell Grahamslaw")</f>
        <v>Estell Grahamslaw</v>
      </c>
      <c r="D113" s="6" t="str">
        <f>IFERROR(__xludf.DUMMYFUNCTION("""COMPUTED_VALUE"""),"Sesame Seeds")</f>
        <v>Sesame Seeds</v>
      </c>
      <c r="E113" s="6" t="str">
        <f>'Raw Data Sales'!F113</f>
        <v>Pets</v>
      </c>
      <c r="F113" s="6">
        <f>'Raw Data Sales'!M113</f>
        <v>70</v>
      </c>
      <c r="G113" s="6">
        <f>'Raw Data Sales'!N113</f>
        <v>1627.12</v>
      </c>
      <c r="H113" s="6" t="str">
        <f>'Raw Data Sales'!O113</f>
        <v>Cash</v>
      </c>
    </row>
    <row r="114">
      <c r="A114" s="6">
        <f>'Raw Data Sales'!A114</f>
        <v>113</v>
      </c>
      <c r="B114" s="8">
        <f>IFERROR(__xludf.DUMMYFUNCTION("""COMPUTED_VALUE"""),44284.0)</f>
        <v>44284</v>
      </c>
      <c r="C114" s="6" t="str">
        <f>IFERROR(__xludf.DUMMYFUNCTION("UNIQUE('Raw Data Sales'!H114:H1112 &amp; "" "" &amp; 'Raw Data Sales'!I114:I1112)"),"Jeane Readwin")</f>
        <v>Jeane Readwin</v>
      </c>
      <c r="D114" s="6" t="str">
        <f>IFERROR(__xludf.DUMMYFUNCTION("""COMPUTED_VALUE"""),"Vegan Tacos")</f>
        <v>Vegan Tacos</v>
      </c>
      <c r="E114" s="6" t="str">
        <f>'Raw Data Sales'!F114</f>
        <v>Food - Baking</v>
      </c>
      <c r="F114" s="6">
        <f>'Raw Data Sales'!M114</f>
        <v>55</v>
      </c>
      <c r="G114" s="6">
        <f>'Raw Data Sales'!N114</f>
        <v>8391.19</v>
      </c>
      <c r="H114" s="6" t="str">
        <f>'Raw Data Sales'!O114</f>
        <v>Cash</v>
      </c>
    </row>
    <row r="115">
      <c r="A115" s="6">
        <f>'Raw Data Sales'!A115</f>
        <v>114</v>
      </c>
      <c r="B115" s="8">
        <f>IFERROR(__xludf.DUMMYFUNCTION("""COMPUTED_VALUE"""),44317.0)</f>
        <v>44317</v>
      </c>
      <c r="C115" s="6" t="str">
        <f>IFERROR(__xludf.DUMMYFUNCTION("UNIQUE('Raw Data Sales'!H115:H1113 &amp; "" "" &amp; 'Raw Data Sales'!I115:I1113)"),"Creighton Henaughan")</f>
        <v>Creighton Henaughan</v>
      </c>
      <c r="D115" s="6" t="str">
        <f>IFERROR(__xludf.DUMMYFUNCTION("""COMPUTED_VALUE"""),"Robot Vacuum Cleaner")</f>
        <v>Robot Vacuum Cleaner</v>
      </c>
      <c r="E115" s="6" t="str">
        <f>'Raw Data Sales'!F115</f>
        <v>Food - Frozen Foods</v>
      </c>
      <c r="F115" s="6">
        <f>'Raw Data Sales'!M115</f>
        <v>56</v>
      </c>
      <c r="G115" s="6">
        <f>'Raw Data Sales'!N115</f>
        <v>2165.81</v>
      </c>
      <c r="H115" s="6" t="str">
        <f>'Raw Data Sales'!O115</f>
        <v>Credit Card</v>
      </c>
    </row>
    <row r="116">
      <c r="A116" s="6">
        <f>'Raw Data Sales'!A116</f>
        <v>115</v>
      </c>
      <c r="B116" s="8">
        <f>IFERROR(__xludf.DUMMYFUNCTION("""COMPUTED_VALUE"""),44302.0)</f>
        <v>44302</v>
      </c>
      <c r="C116" s="6" t="str">
        <f>IFERROR(__xludf.DUMMYFUNCTION("UNIQUE('Raw Data Sales'!H116:H1114 &amp; "" "" &amp; 'Raw Data Sales'!I116:I1114)"),"Silvie Collings")</f>
        <v>Silvie Collings</v>
      </c>
      <c r="D116" s="6" t="str">
        <f>IFERROR(__xludf.DUMMYFUNCTION("""COMPUTED_VALUE"""),"Infrared Thermometer Gun")</f>
        <v>Infrared Thermometer Gun</v>
      </c>
      <c r="E116" s="6" t="str">
        <f>'Raw Data Sales'!F116</f>
        <v>Home Appliances</v>
      </c>
      <c r="F116" s="6">
        <f>'Raw Data Sales'!M116</f>
        <v>74</v>
      </c>
      <c r="G116" s="6">
        <f>'Raw Data Sales'!N116</f>
        <v>1834.67</v>
      </c>
      <c r="H116" s="6" t="str">
        <f>'Raw Data Sales'!O116</f>
        <v>PayPal</v>
      </c>
    </row>
    <row r="117">
      <c r="A117" s="6">
        <f>'Raw Data Sales'!A117</f>
        <v>116</v>
      </c>
      <c r="B117" s="8">
        <f>IFERROR(__xludf.DUMMYFUNCTION("""COMPUTED_VALUE"""),44412.0)</f>
        <v>44412</v>
      </c>
      <c r="C117" s="6" t="str">
        <f>IFERROR(__xludf.DUMMYFUNCTION("UNIQUE('Raw Data Sales'!H117:H1115 &amp; "" "" &amp; 'Raw Data Sales'!I117:I1115)"),"Andie Buer")</f>
        <v>Andie Buer</v>
      </c>
      <c r="D117" s="6" t="str">
        <f>IFERROR(__xludf.DUMMYFUNCTION("""COMPUTED_VALUE"""),"Microwave Popcorn Maker")</f>
        <v>Microwave Popcorn Maker</v>
      </c>
      <c r="E117" s="6" t="str">
        <f>'Raw Data Sales'!F117</f>
        <v>Health</v>
      </c>
      <c r="F117" s="6">
        <f>'Raw Data Sales'!M117</f>
        <v>30</v>
      </c>
      <c r="G117" s="6">
        <f>'Raw Data Sales'!N117</f>
        <v>9344.32</v>
      </c>
      <c r="H117" s="6" t="str">
        <f>'Raw Data Sales'!O117</f>
        <v>PayPal</v>
      </c>
    </row>
    <row r="118">
      <c r="A118" s="6">
        <f>'Raw Data Sales'!A118</f>
        <v>117</v>
      </c>
      <c r="B118" s="8">
        <f>IFERROR(__xludf.DUMMYFUNCTION("""COMPUTED_VALUE"""),44110.0)</f>
        <v>44110</v>
      </c>
      <c r="C118" s="6" t="str">
        <f>IFERROR(__xludf.DUMMYFUNCTION("UNIQUE('Raw Data Sales'!H118:H1116 &amp; "" "" &amp; 'Raw Data Sales'!I118:I1116)"),"Cob De Simoni")</f>
        <v>Cob De Simoni</v>
      </c>
      <c r="D118" s="6" t="str">
        <f>IFERROR(__xludf.DUMMYFUNCTION("""COMPUTED_VALUE"""),"Blackberry Compote")</f>
        <v>Blackberry Compote</v>
      </c>
      <c r="E118" s="6" t="str">
        <f>'Raw Data Sales'!F118</f>
        <v>Kitchen</v>
      </c>
      <c r="F118" s="6">
        <f>'Raw Data Sales'!M118</f>
        <v>21</v>
      </c>
      <c r="G118" s="6">
        <f>'Raw Data Sales'!N118</f>
        <v>7384.52</v>
      </c>
      <c r="H118" s="6" t="str">
        <f>'Raw Data Sales'!O118</f>
        <v>Cash</v>
      </c>
    </row>
    <row r="119">
      <c r="A119" s="6">
        <f>'Raw Data Sales'!A119</f>
        <v>118</v>
      </c>
      <c r="B119" s="8">
        <f>IFERROR(__xludf.DUMMYFUNCTION("""COMPUTED_VALUE"""),43941.0)</f>
        <v>43941</v>
      </c>
      <c r="C119" s="6" t="str">
        <f>IFERROR(__xludf.DUMMYFUNCTION("UNIQUE('Raw Data Sales'!H119:H1117 &amp; "" "" &amp; 'Raw Data Sales'!I119:I1117)"),"Jeanne Locksley")</f>
        <v>Jeanne Locksley</v>
      </c>
      <c r="D119" s="6" t="str">
        <f>IFERROR(__xludf.DUMMYFUNCTION("""COMPUTED_VALUE"""),"Rechargeable Laptop Battery Pack")</f>
        <v>Rechargeable Laptop Battery Pack</v>
      </c>
      <c r="E119" s="6" t="str">
        <f>'Raw Data Sales'!F119</f>
        <v>Food - Condiments</v>
      </c>
      <c r="F119" s="6">
        <f>'Raw Data Sales'!M119</f>
        <v>41</v>
      </c>
      <c r="G119" s="6">
        <f>'Raw Data Sales'!N119</f>
        <v>2734.99</v>
      </c>
      <c r="H119" s="6" t="str">
        <f>'Raw Data Sales'!O119</f>
        <v>Cash</v>
      </c>
    </row>
    <row r="120">
      <c r="A120" s="6">
        <f>'Raw Data Sales'!A120</f>
        <v>119</v>
      </c>
      <c r="B120" s="8">
        <f>IFERROR(__xludf.DUMMYFUNCTION("""COMPUTED_VALUE"""),44166.0)</f>
        <v>44166</v>
      </c>
      <c r="C120" s="6" t="str">
        <f>IFERROR(__xludf.DUMMYFUNCTION("UNIQUE('Raw Data Sales'!H120:H1118 &amp; "" "" &amp; 'Raw Data Sales'!I120:I1118)"),"Evy Crosi")</f>
        <v>Evy Crosi</v>
      </c>
      <c r="D120" s="6" t="str">
        <f>IFERROR(__xludf.DUMMYFUNCTION("""COMPUTED_VALUE"""),"Phone Screen Protector")</f>
        <v>Phone Screen Protector</v>
      </c>
      <c r="E120" s="6" t="str">
        <f>'Raw Data Sales'!F120</f>
        <v>Electronics</v>
      </c>
      <c r="F120" s="6">
        <f>'Raw Data Sales'!M120</f>
        <v>71</v>
      </c>
      <c r="G120" s="6">
        <f>'Raw Data Sales'!N120</f>
        <v>747.99</v>
      </c>
      <c r="H120" s="6" t="str">
        <f>'Raw Data Sales'!O120</f>
        <v>PayPal</v>
      </c>
    </row>
    <row r="121">
      <c r="A121" s="6">
        <f>'Raw Data Sales'!A121</f>
        <v>120</v>
      </c>
      <c r="B121" s="8">
        <f>IFERROR(__xludf.DUMMYFUNCTION("""COMPUTED_VALUE"""),44552.0)</f>
        <v>44552</v>
      </c>
      <c r="C121" s="6" t="str">
        <f>IFERROR(__xludf.DUMMYFUNCTION("UNIQUE('Raw Data Sales'!H121:H1119 &amp; "" "" &amp; 'Raw Data Sales'!I121:I1119)"),"Sherman Chaves")</f>
        <v>Sherman Chaves</v>
      </c>
      <c r="D121" s="6" t="str">
        <f>IFERROR(__xludf.DUMMYFUNCTION("""COMPUTED_VALUE"""),"Sliced Cucumbers")</f>
        <v>Sliced Cucumbers</v>
      </c>
      <c r="E121" s="6" t="str">
        <f>'Raw Data Sales'!F121</f>
        <v>Accessories</v>
      </c>
      <c r="F121" s="6">
        <f>'Raw Data Sales'!M121</f>
        <v>77</v>
      </c>
      <c r="G121" s="6">
        <f>'Raw Data Sales'!N121</f>
        <v>5048.35</v>
      </c>
      <c r="H121" s="6" t="str">
        <f>'Raw Data Sales'!O121</f>
        <v>Cash</v>
      </c>
    </row>
    <row r="122">
      <c r="A122" s="6">
        <f>'Raw Data Sales'!A122</f>
        <v>121</v>
      </c>
      <c r="B122" s="8">
        <f>IFERROR(__xludf.DUMMYFUNCTION("""COMPUTED_VALUE"""),44139.0)</f>
        <v>44139</v>
      </c>
      <c r="C122" s="6" t="str">
        <f>IFERROR(__xludf.DUMMYFUNCTION("UNIQUE('Raw Data Sales'!H122:H1120 &amp; "" "" &amp; 'Raw Data Sales'!I122:I1120)"),"Johannes Gadault")</f>
        <v>Johannes Gadault</v>
      </c>
      <c r="D122" s="6" t="str">
        <f>IFERROR(__xludf.DUMMYFUNCTION("""COMPUTED_VALUE"""),"Savory Trail Mix")</f>
        <v>Savory Trail Mix</v>
      </c>
      <c r="E122" s="6" t="str">
        <f>'Raw Data Sales'!F122</f>
        <v>Food - Produce</v>
      </c>
      <c r="F122" s="6">
        <f>'Raw Data Sales'!M122</f>
        <v>53</v>
      </c>
      <c r="G122" s="6">
        <f>'Raw Data Sales'!N122</f>
        <v>2042.29</v>
      </c>
      <c r="H122" s="6" t="str">
        <f>'Raw Data Sales'!O122</f>
        <v>PayPal</v>
      </c>
    </row>
    <row r="123">
      <c r="A123" s="6">
        <f>'Raw Data Sales'!A123</f>
        <v>122</v>
      </c>
      <c r="B123" s="8">
        <f>IFERROR(__xludf.DUMMYFUNCTION("""COMPUTED_VALUE"""),44341.0)</f>
        <v>44341</v>
      </c>
      <c r="C123" s="6" t="str">
        <f>IFERROR(__xludf.DUMMYFUNCTION("UNIQUE('Raw Data Sales'!H123:H1121 &amp; "" "" &amp; 'Raw Data Sales'!I123:I1121)"),"Tadeas Kings")</f>
        <v>Tadeas Kings</v>
      </c>
      <c r="D123" s="6" t="str">
        <f>IFERROR(__xludf.DUMMYFUNCTION("""COMPUTED_VALUE"""),"Insulated Lunch Bag")</f>
        <v>Insulated Lunch Bag</v>
      </c>
      <c r="E123" s="6" t="str">
        <f>'Raw Data Sales'!F123</f>
        <v>Food - Snacks</v>
      </c>
      <c r="F123" s="6">
        <f>'Raw Data Sales'!M123</f>
        <v>22</v>
      </c>
      <c r="G123" s="6">
        <f>'Raw Data Sales'!N123</f>
        <v>4820.45</v>
      </c>
      <c r="H123" s="6" t="str">
        <f>'Raw Data Sales'!O123</f>
        <v>Credit Card</v>
      </c>
    </row>
    <row r="124">
      <c r="A124" s="6">
        <f>'Raw Data Sales'!A124</f>
        <v>123</v>
      </c>
      <c r="B124" s="8">
        <f>IFERROR(__xludf.DUMMYFUNCTION("""COMPUTED_VALUE"""),44160.0)</f>
        <v>44160</v>
      </c>
      <c r="C124" s="6" t="str">
        <f>IFERROR(__xludf.DUMMYFUNCTION("UNIQUE('Raw Data Sales'!H124:H1122 &amp; "" "" &amp; 'Raw Data Sales'!I124:I1122)"),"Araldo Curling")</f>
        <v>Araldo Curling</v>
      </c>
      <c r="D124" s="6" t="str">
        <f>IFERROR(__xludf.DUMMYFUNCTION("""COMPUTED_VALUE"""),"Halloween Decoration Set")</f>
        <v>Halloween Decoration Set</v>
      </c>
      <c r="E124" s="6" t="str">
        <f>'Raw Data Sales'!F124</f>
        <v>Kitchen</v>
      </c>
      <c r="F124" s="6">
        <f>'Raw Data Sales'!M124</f>
        <v>57</v>
      </c>
      <c r="G124" s="6">
        <f>'Raw Data Sales'!N124</f>
        <v>7733.31</v>
      </c>
      <c r="H124" s="6" t="str">
        <f>'Raw Data Sales'!O124</f>
        <v>Credit Card</v>
      </c>
    </row>
    <row r="125">
      <c r="A125" s="6">
        <f>'Raw Data Sales'!A125</f>
        <v>124</v>
      </c>
      <c r="B125" s="8">
        <f>IFERROR(__xludf.DUMMYFUNCTION("""COMPUTED_VALUE"""),43968.0)</f>
        <v>43968</v>
      </c>
      <c r="C125" s="6" t="str">
        <f>IFERROR(__xludf.DUMMYFUNCTION("UNIQUE('Raw Data Sales'!H125:H1123 &amp; "" "" &amp; 'Raw Data Sales'!I125:I1123)"),"Grace Laroze")</f>
        <v>Grace Laroze</v>
      </c>
      <c r="D125" s="6" t="str">
        <f>IFERROR(__xludf.DUMMYFUNCTION("""COMPUTED_VALUE"""),"Granola Clusters")</f>
        <v>Granola Clusters</v>
      </c>
      <c r="E125" s="6" t="str">
        <f>'Raw Data Sales'!F125</f>
        <v>Home</v>
      </c>
      <c r="F125" s="6">
        <f>'Raw Data Sales'!M125</f>
        <v>58</v>
      </c>
      <c r="G125" s="6">
        <f>'Raw Data Sales'!N125</f>
        <v>825.82</v>
      </c>
      <c r="H125" s="6" t="str">
        <f>'Raw Data Sales'!O125</f>
        <v>PayPal</v>
      </c>
    </row>
    <row r="126">
      <c r="A126" s="6">
        <f>'Raw Data Sales'!A126</f>
        <v>125</v>
      </c>
      <c r="B126" s="8">
        <f>IFERROR(__xludf.DUMMYFUNCTION("""COMPUTED_VALUE"""),44407.0)</f>
        <v>44407</v>
      </c>
      <c r="C126" s="6" t="str">
        <f>IFERROR(__xludf.DUMMYFUNCTION("UNIQUE('Raw Data Sales'!H126:H1124 &amp; "" "" &amp; 'Raw Data Sales'!I126:I1124)"),"Juana Milella")</f>
        <v>Juana Milella</v>
      </c>
      <c r="D126" s="6" t="str">
        <f>IFERROR(__xludf.DUMMYFUNCTION("""COMPUTED_VALUE"""),"Garlic Herb Seasoning")</f>
        <v>Garlic Herb Seasoning</v>
      </c>
      <c r="E126" s="6" t="str">
        <f>'Raw Data Sales'!F126</f>
        <v>Food - Cereal</v>
      </c>
      <c r="F126" s="6">
        <f>'Raw Data Sales'!M126</f>
        <v>56</v>
      </c>
      <c r="G126" s="6">
        <f>'Raw Data Sales'!N126</f>
        <v>4118.69</v>
      </c>
      <c r="H126" s="6" t="str">
        <f>'Raw Data Sales'!O126</f>
        <v>PayPal</v>
      </c>
    </row>
    <row r="127">
      <c r="A127" s="6">
        <f>'Raw Data Sales'!A127</f>
        <v>126</v>
      </c>
      <c r="B127" s="8">
        <f>IFERROR(__xludf.DUMMYFUNCTION("""COMPUTED_VALUE"""),44494.0)</f>
        <v>44494</v>
      </c>
      <c r="C127" s="6" t="str">
        <f>IFERROR(__xludf.DUMMYFUNCTION("UNIQUE('Raw Data Sales'!H127:H1125 &amp; "" "" &amp; 'Raw Data Sales'!I127:I1125)"),"Boy Hoggetts")</f>
        <v>Boy Hoggetts</v>
      </c>
      <c r="D127" s="6" t="str">
        <f>IFERROR(__xludf.DUMMYFUNCTION("""COMPUTED_VALUE"""),"Smart LED Desk Lamp")</f>
        <v>Smart LED Desk Lamp</v>
      </c>
      <c r="E127" s="6" t="str">
        <f>'Raw Data Sales'!F127</f>
        <v>Food - Spices</v>
      </c>
      <c r="F127" s="6">
        <f>'Raw Data Sales'!M127</f>
        <v>35</v>
      </c>
      <c r="G127" s="6">
        <f>'Raw Data Sales'!N127</f>
        <v>6114.46</v>
      </c>
      <c r="H127" s="6" t="str">
        <f>'Raw Data Sales'!O127</f>
        <v>Credit Card</v>
      </c>
    </row>
    <row r="128">
      <c r="A128" s="6">
        <f>'Raw Data Sales'!A128</f>
        <v>127</v>
      </c>
      <c r="B128" s="8">
        <f>IFERROR(__xludf.DUMMYFUNCTION("""COMPUTED_VALUE"""),44492.0)</f>
        <v>44492</v>
      </c>
      <c r="C128" s="6" t="str">
        <f>IFERROR(__xludf.DUMMYFUNCTION("UNIQUE('Raw Data Sales'!H128:H1126 &amp; "" "" &amp; 'Raw Data Sales'!I128:I1126)"),"Huntley Northridge")</f>
        <v>Huntley Northridge</v>
      </c>
      <c r="D128" s="6" t="str">
        <f>IFERROR(__xludf.DUMMYFUNCTION("""COMPUTED_VALUE"""),"Californian Raisins")</f>
        <v>Californian Raisins</v>
      </c>
      <c r="E128" s="6" t="str">
        <f>'Raw Data Sales'!F128</f>
        <v>Office</v>
      </c>
      <c r="F128" s="6">
        <f>'Raw Data Sales'!M128</f>
        <v>51</v>
      </c>
      <c r="G128" s="6">
        <f>'Raw Data Sales'!N128</f>
        <v>4329.48</v>
      </c>
      <c r="H128" s="6" t="str">
        <f>'Raw Data Sales'!O128</f>
        <v>Credit Card</v>
      </c>
    </row>
    <row r="129">
      <c r="A129" s="6">
        <f>'Raw Data Sales'!A129</f>
        <v>128</v>
      </c>
      <c r="B129" s="8">
        <f>IFERROR(__xludf.DUMMYFUNCTION("""COMPUTED_VALUE"""),44202.0)</f>
        <v>44202</v>
      </c>
      <c r="C129" s="6" t="str">
        <f>IFERROR(__xludf.DUMMYFUNCTION("UNIQUE('Raw Data Sales'!H129:H1127 &amp; "" "" &amp; 'Raw Data Sales'!I129:I1127)"),"Gibb Thorsen")</f>
        <v>Gibb Thorsen</v>
      </c>
      <c r="D129" s="6" t="str">
        <f>IFERROR(__xludf.DUMMYFUNCTION("""COMPUTED_VALUE"""),"Chocolate Chip Energy Balls")</f>
        <v>Chocolate Chip Energy Balls</v>
      </c>
      <c r="E129" s="6" t="str">
        <f>'Raw Data Sales'!F129</f>
        <v>Food - Dried Fruits</v>
      </c>
      <c r="F129" s="6">
        <f>'Raw Data Sales'!M129</f>
        <v>69</v>
      </c>
      <c r="G129" s="6">
        <f>'Raw Data Sales'!N129</f>
        <v>3511.71</v>
      </c>
      <c r="H129" s="6" t="str">
        <f>'Raw Data Sales'!O129</f>
        <v>PayPal</v>
      </c>
    </row>
    <row r="130">
      <c r="A130" s="6">
        <f>'Raw Data Sales'!A130</f>
        <v>129</v>
      </c>
      <c r="B130" s="8">
        <f>IFERROR(__xludf.DUMMYFUNCTION("""COMPUTED_VALUE"""),43922.0)</f>
        <v>43922</v>
      </c>
      <c r="C130" s="6" t="str">
        <f>IFERROR(__xludf.DUMMYFUNCTION("UNIQUE('Raw Data Sales'!H130:H1128 &amp; "" "" &amp; 'Raw Data Sales'!I130:I1128)"),"Jermaine Rannigan")</f>
        <v>Jermaine Rannigan</v>
      </c>
      <c r="D130" s="6" t="str">
        <f>IFERROR(__xludf.DUMMYFUNCTION("""COMPUTED_VALUE"""),"Spinach and Ricotta Ravioli")</f>
        <v>Spinach and Ricotta Ravioli</v>
      </c>
      <c r="E130" s="6" t="str">
        <f>'Raw Data Sales'!F130</f>
        <v>Food - Snacks</v>
      </c>
      <c r="F130" s="6">
        <f>'Raw Data Sales'!M130</f>
        <v>82</v>
      </c>
      <c r="G130" s="6">
        <f>'Raw Data Sales'!N130</f>
        <v>4827.14</v>
      </c>
      <c r="H130" s="6" t="str">
        <f>'Raw Data Sales'!O130</f>
        <v>Credit Card</v>
      </c>
    </row>
    <row r="131">
      <c r="A131" s="6">
        <f>'Raw Data Sales'!A131</f>
        <v>130</v>
      </c>
      <c r="B131" s="8">
        <f>IFERROR(__xludf.DUMMYFUNCTION("""COMPUTED_VALUE"""),44282.0)</f>
        <v>44282</v>
      </c>
      <c r="C131" s="6" t="str">
        <f>IFERROR(__xludf.DUMMYFUNCTION("UNIQUE('Raw Data Sales'!H131:H1129 &amp; "" "" &amp; 'Raw Data Sales'!I131:I1129)"),"Robyn Breeds")</f>
        <v>Robyn Breeds</v>
      </c>
      <c r="D131" s="6" t="str">
        <f>IFERROR(__xludf.DUMMYFUNCTION("""COMPUTED_VALUE"""),"Lentil Vegetable Curry")</f>
        <v>Lentil Vegetable Curry</v>
      </c>
      <c r="E131" s="6" t="str">
        <f>'Raw Data Sales'!F131</f>
        <v>Food - Pasta</v>
      </c>
      <c r="F131" s="6">
        <f>'Raw Data Sales'!M131</f>
        <v>85</v>
      </c>
      <c r="G131" s="6">
        <f>'Raw Data Sales'!N131</f>
        <v>1376.12</v>
      </c>
      <c r="H131" s="6" t="str">
        <f>'Raw Data Sales'!O131</f>
        <v>Cash</v>
      </c>
    </row>
    <row r="132">
      <c r="A132" s="6">
        <f>'Raw Data Sales'!A132</f>
        <v>131</v>
      </c>
      <c r="B132" s="8">
        <f>IFERROR(__xludf.DUMMYFUNCTION("""COMPUTED_VALUE"""),44218.0)</f>
        <v>44218</v>
      </c>
      <c r="C132" s="6" t="str">
        <f>IFERROR(__xludf.DUMMYFUNCTION("UNIQUE('Raw Data Sales'!H132:H1130 &amp; "" "" &amp; 'Raw Data Sales'!I132:I1130)"),"Marquita Hayler")</f>
        <v>Marquita Hayler</v>
      </c>
      <c r="D132" s="6" t="str">
        <f>IFERROR(__xludf.DUMMYFUNCTION("""COMPUTED_VALUE"""),"Vegetable Chips")</f>
        <v>Vegetable Chips</v>
      </c>
      <c r="E132" s="6" t="str">
        <f>'Raw Data Sales'!F132</f>
        <v>Food - Prepared Meals</v>
      </c>
      <c r="F132" s="6">
        <f>'Raw Data Sales'!M132</f>
        <v>81</v>
      </c>
      <c r="G132" s="6">
        <f>'Raw Data Sales'!N132</f>
        <v>8744.84</v>
      </c>
      <c r="H132" s="6" t="str">
        <f>'Raw Data Sales'!O132</f>
        <v>Credit Card</v>
      </c>
    </row>
    <row r="133">
      <c r="A133" s="6">
        <f>'Raw Data Sales'!A133</f>
        <v>132</v>
      </c>
      <c r="B133" s="8">
        <f>IFERROR(__xludf.DUMMYFUNCTION("""COMPUTED_VALUE"""),44061.0)</f>
        <v>44061</v>
      </c>
      <c r="C133" s="6" t="str">
        <f>IFERROR(__xludf.DUMMYFUNCTION("UNIQUE('Raw Data Sales'!H133:H1131 &amp; "" "" &amp; 'Raw Data Sales'!I133:I1131)"),"Joann Loseby")</f>
        <v>Joann Loseby</v>
      </c>
      <c r="D133" s="6" t="str">
        <f>IFERROR(__xludf.DUMMYFUNCTION("""COMPUTED_VALUE"""),"LED Camping Lantern with USB Charging")</f>
        <v>LED Camping Lantern with USB Charging</v>
      </c>
      <c r="E133" s="6" t="str">
        <f>'Raw Data Sales'!F133</f>
        <v>Food - Snacks</v>
      </c>
      <c r="F133" s="6">
        <f>'Raw Data Sales'!M133</f>
        <v>55</v>
      </c>
      <c r="G133" s="6">
        <f>'Raw Data Sales'!N133</f>
        <v>9155.09</v>
      </c>
      <c r="H133" s="6" t="str">
        <f>'Raw Data Sales'!O133</f>
        <v>PayPal</v>
      </c>
    </row>
    <row r="134">
      <c r="A134" s="6">
        <f>'Raw Data Sales'!A134</f>
        <v>133</v>
      </c>
      <c r="B134" s="8">
        <f>IFERROR(__xludf.DUMMYFUNCTION("""COMPUTED_VALUE"""),44256.0)</f>
        <v>44256</v>
      </c>
      <c r="C134" s="6" t="str">
        <f>IFERROR(__xludf.DUMMYFUNCTION("UNIQUE('Raw Data Sales'!H134:H1132 &amp; "" "" &amp; 'Raw Data Sales'!I134:I1132)"),"Cecilius Pettwood")</f>
        <v>Cecilius Pettwood</v>
      </c>
      <c r="D134" s="6" t="str">
        <f>IFERROR(__xludf.DUMMYFUNCTION("""COMPUTED_VALUE"""),"Vegan Cheese")</f>
        <v>Vegan Cheese</v>
      </c>
      <c r="E134" s="6" t="str">
        <f>'Raw Data Sales'!F134</f>
        <v>Outdoor</v>
      </c>
      <c r="F134" s="6">
        <f>'Raw Data Sales'!M134</f>
        <v>39</v>
      </c>
      <c r="G134" s="6">
        <f>'Raw Data Sales'!N134</f>
        <v>1238.15</v>
      </c>
      <c r="H134" s="6" t="str">
        <f>'Raw Data Sales'!O134</f>
        <v>Credit Card</v>
      </c>
    </row>
    <row r="135">
      <c r="A135" s="6">
        <f>'Raw Data Sales'!A135</f>
        <v>134</v>
      </c>
      <c r="B135" s="8">
        <f>IFERROR(__xludf.DUMMYFUNCTION("""COMPUTED_VALUE"""),44276.0)</f>
        <v>44276</v>
      </c>
      <c r="C135" s="6" t="str">
        <f>IFERROR(__xludf.DUMMYFUNCTION("UNIQUE('Raw Data Sales'!H135:H1133 &amp; "" "" &amp; 'Raw Data Sales'!I135:I1133)"),"Judith Sante")</f>
        <v>Judith Sante</v>
      </c>
      <c r="D135" s="6" t="str">
        <f>IFERROR(__xludf.DUMMYFUNCTION("""COMPUTED_VALUE"""),"Car Diagnostic Scanner")</f>
        <v>Car Diagnostic Scanner</v>
      </c>
      <c r="E135" s="6" t="str">
        <f>'Raw Data Sales'!F135</f>
        <v>Food - Dairy Alternatives</v>
      </c>
      <c r="F135" s="6">
        <f>'Raw Data Sales'!M135</f>
        <v>4</v>
      </c>
      <c r="G135" s="6">
        <f>'Raw Data Sales'!N135</f>
        <v>121.86</v>
      </c>
      <c r="H135" s="6" t="str">
        <f>'Raw Data Sales'!O135</f>
        <v>PayPal</v>
      </c>
    </row>
    <row r="136">
      <c r="A136" s="6">
        <f>'Raw Data Sales'!A136</f>
        <v>135</v>
      </c>
      <c r="B136" s="8">
        <f>IFERROR(__xludf.DUMMYFUNCTION("""COMPUTED_VALUE"""),43887.0)</f>
        <v>43887</v>
      </c>
      <c r="C136" s="6" t="str">
        <f>IFERROR(__xludf.DUMMYFUNCTION("UNIQUE('Raw Data Sales'!H136:H1134 &amp; "" "" &amp; 'Raw Data Sales'!I136:I1134)"),"Hasheem M'Chirrie")</f>
        <v>Hasheem M'Chirrie</v>
      </c>
      <c r="D136" s="6" t="str">
        <f>IFERROR(__xludf.DUMMYFUNCTION("""COMPUTED_VALUE"""),"Fitness Smartwatch")</f>
        <v>Fitness Smartwatch</v>
      </c>
      <c r="E136" s="6" t="str">
        <f>'Raw Data Sales'!F136</f>
        <v>Automotive</v>
      </c>
      <c r="F136" s="6">
        <f>'Raw Data Sales'!M136</f>
        <v>38</v>
      </c>
      <c r="G136" s="6">
        <f>'Raw Data Sales'!N136</f>
        <v>678.35</v>
      </c>
      <c r="H136" s="6" t="str">
        <f>'Raw Data Sales'!O136</f>
        <v>PayPal</v>
      </c>
    </row>
    <row r="137">
      <c r="A137" s="6">
        <f>'Raw Data Sales'!A137</f>
        <v>136</v>
      </c>
      <c r="B137" s="8">
        <f>IFERROR(__xludf.DUMMYFUNCTION("""COMPUTED_VALUE"""),43955.0)</f>
        <v>43955</v>
      </c>
      <c r="C137" s="6" t="str">
        <f>IFERROR(__xludf.DUMMYFUNCTION("UNIQUE('Raw Data Sales'!H137:H1135 &amp; "" "" &amp; 'Raw Data Sales'!I137:I1135)"),"Audy De Michele")</f>
        <v>Audy De Michele</v>
      </c>
      <c r="D137" s="6" t="str">
        <f>IFERROR(__xludf.DUMMYFUNCTION("""COMPUTED_VALUE"""),"Smartphone Camera Lens Kit")</f>
        <v>Smartphone Camera Lens Kit</v>
      </c>
      <c r="E137" s="6" t="str">
        <f>'Raw Data Sales'!F137</f>
        <v>Wearable Tech</v>
      </c>
      <c r="F137" s="6">
        <f>'Raw Data Sales'!M137</f>
        <v>40</v>
      </c>
      <c r="G137" s="6">
        <f>'Raw Data Sales'!N137</f>
        <v>1789.26</v>
      </c>
      <c r="H137" s="6" t="str">
        <f>'Raw Data Sales'!O137</f>
        <v>Cash</v>
      </c>
    </row>
    <row r="138">
      <c r="A138" s="6">
        <f>'Raw Data Sales'!A138</f>
        <v>137</v>
      </c>
      <c r="B138" s="8">
        <f>IFERROR(__xludf.DUMMYFUNCTION("""COMPUTED_VALUE"""),44131.0)</f>
        <v>44131</v>
      </c>
      <c r="C138" s="6" t="str">
        <f>IFERROR(__xludf.DUMMYFUNCTION("UNIQUE('Raw Data Sales'!H138:H1136 &amp; "" "" &amp; 'Raw Data Sales'!I138:I1136)"),"Susanna Brimner")</f>
        <v>Susanna Brimner</v>
      </c>
      <c r="D138" s="6" t="str">
        <f>IFERROR(__xludf.DUMMYFUNCTION("""COMPUTED_VALUE"""),"Flavored Popcorn Mix")</f>
        <v>Flavored Popcorn Mix</v>
      </c>
      <c r="E138" s="6" t="str">
        <f>'Raw Data Sales'!F138</f>
        <v>Photography</v>
      </c>
      <c r="F138" s="6">
        <f>'Raw Data Sales'!M138</f>
        <v>44</v>
      </c>
      <c r="G138" s="6">
        <f>'Raw Data Sales'!N138</f>
        <v>2017.93</v>
      </c>
      <c r="H138" s="6" t="str">
        <f>'Raw Data Sales'!O138</f>
        <v>PayPal</v>
      </c>
    </row>
    <row r="139">
      <c r="A139" s="6">
        <f>'Raw Data Sales'!A139</f>
        <v>138</v>
      </c>
      <c r="B139" s="8">
        <f>IFERROR(__xludf.DUMMYFUNCTION("""COMPUTED_VALUE"""),44241.0)</f>
        <v>44241</v>
      </c>
      <c r="C139" s="6" t="str">
        <f>IFERROR(__xludf.DUMMYFUNCTION("UNIQUE('Raw Data Sales'!H139:H1137 &amp; "" "" &amp; 'Raw Data Sales'!I139:I1137)"),"Jen Littlejohn")</f>
        <v>Jen Littlejohn</v>
      </c>
      <c r="D139" s="6" t="str">
        <f>IFERROR(__xludf.DUMMYFUNCTION("""COMPUTED_VALUE"""),"Sourdough Bread")</f>
        <v>Sourdough Bread</v>
      </c>
      <c r="E139" s="6" t="str">
        <f>'Raw Data Sales'!F139</f>
        <v>Food - Snacks</v>
      </c>
      <c r="F139" s="6">
        <f>'Raw Data Sales'!M139</f>
        <v>24</v>
      </c>
      <c r="G139" s="6">
        <f>'Raw Data Sales'!N139</f>
        <v>8447.31</v>
      </c>
      <c r="H139" s="6" t="str">
        <f>'Raw Data Sales'!O139</f>
        <v>Credit Card</v>
      </c>
    </row>
    <row r="140">
      <c r="A140" s="6">
        <f>'Raw Data Sales'!A140</f>
        <v>139</v>
      </c>
      <c r="B140" s="8">
        <f>IFERROR(__xludf.DUMMYFUNCTION("""COMPUTED_VALUE"""),43963.0)</f>
        <v>43963</v>
      </c>
      <c r="C140" s="6" t="str">
        <f>IFERROR(__xludf.DUMMYFUNCTION("UNIQUE('Raw Data Sales'!H140:H1138 &amp; "" "" &amp; 'Raw Data Sales'!I140:I1138)"),"Francois Sievewright")</f>
        <v>Francois Sievewright</v>
      </c>
      <c r="D140" s="6" t="str">
        <f>IFERROR(__xludf.DUMMYFUNCTION("""COMPUTED_VALUE"""),"Chili Garlic Sauce")</f>
        <v>Chili Garlic Sauce</v>
      </c>
      <c r="E140" s="6" t="str">
        <f>'Raw Data Sales'!F140</f>
        <v>Food - Bakery</v>
      </c>
      <c r="F140" s="6">
        <f>'Raw Data Sales'!M140</f>
        <v>10</v>
      </c>
      <c r="G140" s="6">
        <f>'Raw Data Sales'!N140</f>
        <v>567.68</v>
      </c>
      <c r="H140" s="6" t="str">
        <f>'Raw Data Sales'!O140</f>
        <v>Cash</v>
      </c>
    </row>
    <row r="141">
      <c r="A141" s="6">
        <f>'Raw Data Sales'!A141</f>
        <v>140</v>
      </c>
      <c r="B141" s="8">
        <f>IFERROR(__xludf.DUMMYFUNCTION("""COMPUTED_VALUE"""),44154.0)</f>
        <v>44154</v>
      </c>
      <c r="C141" s="6" t="str">
        <f>IFERROR(__xludf.DUMMYFUNCTION("UNIQUE('Raw Data Sales'!H141:H1139 &amp; "" "" &amp; 'Raw Data Sales'!I141:I1139)"),"Sylas Sailor")</f>
        <v>Sylas Sailor</v>
      </c>
      <c r="D141" s="6" t="str">
        <f>IFERROR(__xludf.DUMMYFUNCTION("""COMPUTED_VALUE"""),"Chocolate Almond Milk")</f>
        <v>Chocolate Almond Milk</v>
      </c>
      <c r="E141" s="6" t="str">
        <f>'Raw Data Sales'!F141</f>
        <v>Food - Condiments</v>
      </c>
      <c r="F141" s="6">
        <f>'Raw Data Sales'!M141</f>
        <v>44</v>
      </c>
      <c r="G141" s="6">
        <f>'Raw Data Sales'!N141</f>
        <v>9916.65</v>
      </c>
      <c r="H141" s="6" t="str">
        <f>'Raw Data Sales'!O141</f>
        <v>Cash</v>
      </c>
    </row>
    <row r="142">
      <c r="A142" s="6">
        <f>'Raw Data Sales'!A142</f>
        <v>141</v>
      </c>
      <c r="B142" s="8">
        <f>IFERROR(__xludf.DUMMYFUNCTION("""COMPUTED_VALUE"""),44373.0)</f>
        <v>44373</v>
      </c>
      <c r="C142" s="6" t="str">
        <f>IFERROR(__xludf.DUMMYFUNCTION("UNIQUE('Raw Data Sales'!H142:H1140 &amp; "" "" &amp; 'Raw Data Sales'!I142:I1140)"),"Woodie Oxborough")</f>
        <v>Woodie Oxborough</v>
      </c>
      <c r="D142" s="6" t="str">
        <f>IFERROR(__xludf.DUMMYFUNCTION("""COMPUTED_VALUE"""),"Baked Mac and Cheese")</f>
        <v>Baked Mac and Cheese</v>
      </c>
      <c r="E142" s="6" t="str">
        <f>'Raw Data Sales'!F142</f>
        <v>Food - Dairy Alternatives</v>
      </c>
      <c r="F142" s="6">
        <f>'Raw Data Sales'!M142</f>
        <v>21</v>
      </c>
      <c r="G142" s="6">
        <f>'Raw Data Sales'!N142</f>
        <v>9272.31</v>
      </c>
      <c r="H142" s="6" t="str">
        <f>'Raw Data Sales'!O142</f>
        <v>Cash</v>
      </c>
    </row>
    <row r="143">
      <c r="A143" s="6">
        <f>'Raw Data Sales'!A143</f>
        <v>142</v>
      </c>
      <c r="B143" s="8">
        <f>IFERROR(__xludf.DUMMYFUNCTION("""COMPUTED_VALUE"""),44466.0)</f>
        <v>44466</v>
      </c>
      <c r="C143" s="6" t="str">
        <f>IFERROR(__xludf.DUMMYFUNCTION("UNIQUE('Raw Data Sales'!H143:H1141 &amp; "" "" &amp; 'Raw Data Sales'!I143:I1141)"),"Cordi Van Salzberger")</f>
        <v>Cordi Van Salzberger</v>
      </c>
      <c r="D143" s="6" t="str">
        <f>IFERROR(__xludf.DUMMYFUNCTION("""COMPUTED_VALUE"""),"Nutritional Yeast")</f>
        <v>Nutritional Yeast</v>
      </c>
      <c r="E143" s="6" t="str">
        <f>'Raw Data Sales'!F143</f>
        <v>Food - Frozen Foods</v>
      </c>
      <c r="F143" s="6">
        <f>'Raw Data Sales'!M143</f>
        <v>66</v>
      </c>
      <c r="G143" s="6">
        <f>'Raw Data Sales'!N143</f>
        <v>5910.85</v>
      </c>
      <c r="H143" s="6" t="str">
        <f>'Raw Data Sales'!O143</f>
        <v>Credit Card</v>
      </c>
    </row>
    <row r="144">
      <c r="A144" s="6">
        <f>'Raw Data Sales'!A144</f>
        <v>143</v>
      </c>
      <c r="B144" s="8">
        <f>IFERROR(__xludf.DUMMYFUNCTION("""COMPUTED_VALUE"""),44216.0)</f>
        <v>44216</v>
      </c>
      <c r="C144" s="6" t="str">
        <f>IFERROR(__xludf.DUMMYFUNCTION("UNIQUE('Raw Data Sales'!H144:H1142 &amp; "" "" &amp; 'Raw Data Sales'!I144:I1142)"),"Erinn Esson")</f>
        <v>Erinn Esson</v>
      </c>
      <c r="D144" s="6" t="str">
        <f>IFERROR(__xludf.DUMMYFUNCTION("""COMPUTED_VALUE"""),"Wireless Game Controller")</f>
        <v>Wireless Game Controller</v>
      </c>
      <c r="E144" s="6" t="str">
        <f>'Raw Data Sales'!F144</f>
        <v>Food - Pantry</v>
      </c>
      <c r="F144" s="6">
        <f>'Raw Data Sales'!M144</f>
        <v>40</v>
      </c>
      <c r="G144" s="6">
        <f>'Raw Data Sales'!N144</f>
        <v>7551.54</v>
      </c>
      <c r="H144" s="6" t="str">
        <f>'Raw Data Sales'!O144</f>
        <v>Cash</v>
      </c>
    </row>
    <row r="145">
      <c r="A145" s="6">
        <f>'Raw Data Sales'!A145</f>
        <v>144</v>
      </c>
      <c r="B145" s="8">
        <f>IFERROR(__xludf.DUMMYFUNCTION("""COMPUTED_VALUE"""),44014.0)</f>
        <v>44014</v>
      </c>
      <c r="C145" s="6" t="str">
        <f>IFERROR(__xludf.DUMMYFUNCTION("UNIQUE('Raw Data Sales'!H145:H1143 &amp; "" "" &amp; 'Raw Data Sales'!I145:I1143)"),"Sandy Aukland")</f>
        <v>Sandy Aukland</v>
      </c>
      <c r="D145" s="6" t="str">
        <f>IFERROR(__xludf.DUMMYFUNCTION("""COMPUTED_VALUE"""),"Creamy Ranch Dressing")</f>
        <v>Creamy Ranch Dressing</v>
      </c>
      <c r="E145" s="6" t="str">
        <f>'Raw Data Sales'!F145</f>
        <v>Gaming</v>
      </c>
      <c r="F145" s="6">
        <f>'Raw Data Sales'!M145</f>
        <v>26</v>
      </c>
      <c r="G145" s="6">
        <f>'Raw Data Sales'!N145</f>
        <v>6423.07</v>
      </c>
      <c r="H145" s="6" t="str">
        <f>'Raw Data Sales'!O145</f>
        <v>Credit Card</v>
      </c>
    </row>
    <row r="146">
      <c r="A146" s="6">
        <f>'Raw Data Sales'!A146</f>
        <v>145</v>
      </c>
      <c r="B146" s="8">
        <f>IFERROR(__xludf.DUMMYFUNCTION("""COMPUTED_VALUE"""),44283.0)</f>
        <v>44283</v>
      </c>
      <c r="C146" s="6" t="str">
        <f>IFERROR(__xludf.DUMMYFUNCTION("UNIQUE('Raw Data Sales'!H146:H1144 &amp; "" "" &amp; 'Raw Data Sales'!I146:I1144)"),"Rex McCrillis")</f>
        <v>Rex McCrillis</v>
      </c>
      <c r="D146" s="6" t="str">
        <f>IFERROR(__xludf.DUMMYFUNCTION("""COMPUTED_VALUE"""),"Baby Safety Corner Guards")</f>
        <v>Baby Safety Corner Guards</v>
      </c>
      <c r="E146" s="6" t="str">
        <f>'Raw Data Sales'!F146</f>
        <v>Food - Dressings</v>
      </c>
      <c r="F146" s="6">
        <f>'Raw Data Sales'!M146</f>
        <v>13</v>
      </c>
      <c r="G146" s="6">
        <f>'Raw Data Sales'!N146</f>
        <v>6902.44</v>
      </c>
      <c r="H146" s="6" t="str">
        <f>'Raw Data Sales'!O146</f>
        <v>Credit Card</v>
      </c>
    </row>
    <row r="147">
      <c r="A147" s="6">
        <f>'Raw Data Sales'!A147</f>
        <v>146</v>
      </c>
      <c r="B147" s="8">
        <f>IFERROR(__xludf.DUMMYFUNCTION("""COMPUTED_VALUE"""),43886.0)</f>
        <v>43886</v>
      </c>
      <c r="C147" s="6" t="str">
        <f>IFERROR(__xludf.DUMMYFUNCTION("UNIQUE('Raw Data Sales'!H147:H1145 &amp; "" "" &amp; 'Raw Data Sales'!I147:I1145)"),"Rhiamon Dabbes")</f>
        <v>Rhiamon Dabbes</v>
      </c>
      <c r="D147" s="6" t="str">
        <f>IFERROR(__xludf.DUMMYFUNCTION("""COMPUTED_VALUE"""),"Pumpkin Puree")</f>
        <v>Pumpkin Puree</v>
      </c>
      <c r="E147" s="6" t="str">
        <f>'Raw Data Sales'!F147</f>
        <v>Baby</v>
      </c>
      <c r="F147" s="6">
        <f>'Raw Data Sales'!M147</f>
        <v>97</v>
      </c>
      <c r="G147" s="6">
        <f>'Raw Data Sales'!N147</f>
        <v>7282.02</v>
      </c>
      <c r="H147" s="6" t="str">
        <f>'Raw Data Sales'!O147</f>
        <v>Credit Card</v>
      </c>
    </row>
    <row r="148">
      <c r="A148" s="6">
        <f>'Raw Data Sales'!A148</f>
        <v>147</v>
      </c>
      <c r="B148" s="8">
        <f>IFERROR(__xludf.DUMMYFUNCTION("""COMPUTED_VALUE"""),44145.0)</f>
        <v>44145</v>
      </c>
      <c r="C148" s="6" t="str">
        <f>IFERROR(__xludf.DUMMYFUNCTION("UNIQUE('Raw Data Sales'!H148:H1146 &amp; "" "" &amp; 'Raw Data Sales'!I148:I1146)"),"Vi Renzullo")</f>
        <v>Vi Renzullo</v>
      </c>
      <c r="D148" s="6" t="str">
        <f>IFERROR(__xludf.DUMMYFUNCTION("""COMPUTED_VALUE"""),"Portable Hand Warmer")</f>
        <v>Portable Hand Warmer</v>
      </c>
      <c r="E148" s="6" t="str">
        <f>'Raw Data Sales'!F148</f>
        <v>Food - Canned Goods</v>
      </c>
      <c r="F148" s="6">
        <f>'Raw Data Sales'!M148</f>
        <v>88</v>
      </c>
      <c r="G148" s="6">
        <f>'Raw Data Sales'!N148</f>
        <v>3767.4</v>
      </c>
      <c r="H148" s="6" t="str">
        <f>'Raw Data Sales'!O148</f>
        <v>PayPal</v>
      </c>
    </row>
    <row r="149">
      <c r="A149" s="6">
        <f>'Raw Data Sales'!A149</f>
        <v>148</v>
      </c>
      <c r="B149" s="8">
        <f>IFERROR(__xludf.DUMMYFUNCTION("""COMPUTED_VALUE"""),44190.0)</f>
        <v>44190</v>
      </c>
      <c r="C149" s="6" t="str">
        <f>IFERROR(__xludf.DUMMYFUNCTION("UNIQUE('Raw Data Sales'!H149:H1147 &amp; "" "" &amp; 'Raw Data Sales'!I149:I1147)"),"Lindsy Lundon")</f>
        <v>Lindsy Lundon</v>
      </c>
      <c r="D149" s="6" t="str">
        <f>IFERROR(__xludf.DUMMYFUNCTION("""COMPUTED_VALUE"""),"Basil-infused Olive Oil")</f>
        <v>Basil-infused Olive Oil</v>
      </c>
      <c r="E149" s="6" t="str">
        <f>'Raw Data Sales'!F149</f>
        <v>Accessories</v>
      </c>
      <c r="F149" s="6">
        <f>'Raw Data Sales'!M149</f>
        <v>75</v>
      </c>
      <c r="G149" s="6">
        <f>'Raw Data Sales'!N149</f>
        <v>6811.26</v>
      </c>
      <c r="H149" s="6" t="str">
        <f>'Raw Data Sales'!O149</f>
        <v>PayPal</v>
      </c>
    </row>
    <row r="150">
      <c r="A150" s="6">
        <f>'Raw Data Sales'!A150</f>
        <v>149</v>
      </c>
      <c r="B150" s="8">
        <f>IFERROR(__xludf.DUMMYFUNCTION("""COMPUTED_VALUE"""),43994.0)</f>
        <v>43994</v>
      </c>
      <c r="C150" s="6" t="str">
        <f>IFERROR(__xludf.DUMMYFUNCTION("UNIQUE('Raw Data Sales'!H150:H1148 &amp; "" "" &amp; 'Raw Data Sales'!I150:I1148)"),"Dag Quogan")</f>
        <v>Dag Quogan</v>
      </c>
      <c r="D150" s="6" t="str">
        <f>IFERROR(__xludf.DUMMYFUNCTION("""COMPUTED_VALUE"""),"Travel Jewelry Organizer")</f>
        <v>Travel Jewelry Organizer</v>
      </c>
      <c r="E150" s="6" t="str">
        <f>'Raw Data Sales'!F150</f>
        <v>Food - Cooking Oil</v>
      </c>
      <c r="F150" s="6">
        <f>'Raw Data Sales'!M150</f>
        <v>53</v>
      </c>
      <c r="G150" s="6">
        <f>'Raw Data Sales'!N150</f>
        <v>4891.91</v>
      </c>
      <c r="H150" s="6" t="str">
        <f>'Raw Data Sales'!O150</f>
        <v>Cash</v>
      </c>
    </row>
    <row r="151">
      <c r="A151" s="6">
        <f>'Raw Data Sales'!A151</f>
        <v>150</v>
      </c>
      <c r="B151" s="8">
        <f>IFERROR(__xludf.DUMMYFUNCTION("""COMPUTED_VALUE"""),44153.0)</f>
        <v>44153</v>
      </c>
      <c r="C151" s="6" t="str">
        <f>IFERROR(__xludf.DUMMYFUNCTION("UNIQUE('Raw Data Sales'!H151:H1149 &amp; "" "" &amp; 'Raw Data Sales'!I151:I1149)"),"Byrann Johnston")</f>
        <v>Byrann Johnston</v>
      </c>
      <c r="D151" s="6" t="str">
        <f>IFERROR(__xludf.DUMMYFUNCTION("""COMPUTED_VALUE"""),"Cotton Basic Tank")</f>
        <v>Cotton Basic Tank</v>
      </c>
      <c r="E151" s="6" t="str">
        <f>'Raw Data Sales'!F151</f>
        <v>Accessories</v>
      </c>
      <c r="F151" s="6">
        <f>'Raw Data Sales'!M151</f>
        <v>15</v>
      </c>
      <c r="G151" s="6">
        <f>'Raw Data Sales'!N151</f>
        <v>156.14</v>
      </c>
      <c r="H151" s="6" t="str">
        <f>'Raw Data Sales'!O151</f>
        <v>Cash</v>
      </c>
    </row>
    <row r="152">
      <c r="A152" s="6">
        <f>'Raw Data Sales'!A152</f>
        <v>151</v>
      </c>
      <c r="B152" s="8">
        <f>IFERROR(__xludf.DUMMYFUNCTION("""COMPUTED_VALUE"""),43882.0)</f>
        <v>43882</v>
      </c>
      <c r="C152" s="6" t="str">
        <f>IFERROR(__xludf.DUMMYFUNCTION("UNIQUE('Raw Data Sales'!H152:H1150 &amp; "" "" &amp; 'Raw Data Sales'!I152:I1150)"),"Annaliese Bollen")</f>
        <v>Annaliese Bollen</v>
      </c>
      <c r="D152" s="6" t="str">
        <f>IFERROR(__xludf.DUMMYFUNCTION("""COMPUTED_VALUE"""),"Aeropress Coffee Maker")</f>
        <v>Aeropress Coffee Maker</v>
      </c>
      <c r="E152" s="6" t="str">
        <f>'Raw Data Sales'!F152</f>
        <v>Clothing - Tops</v>
      </c>
      <c r="F152" s="6">
        <f>'Raw Data Sales'!M152</f>
        <v>16</v>
      </c>
      <c r="G152" s="6">
        <f>'Raw Data Sales'!N152</f>
        <v>1144.68</v>
      </c>
      <c r="H152" s="6" t="str">
        <f>'Raw Data Sales'!O152</f>
        <v>Credit Card</v>
      </c>
    </row>
    <row r="153">
      <c r="A153" s="6">
        <f>'Raw Data Sales'!A153</f>
        <v>152</v>
      </c>
      <c r="B153" s="8">
        <f>IFERROR(__xludf.DUMMYFUNCTION("""COMPUTED_VALUE"""),43950.0)</f>
        <v>43950</v>
      </c>
      <c r="C153" s="6" t="str">
        <f>IFERROR(__xludf.DUMMYFUNCTION("UNIQUE('Raw Data Sales'!H153:H1151 &amp; "" "" &amp; 'Raw Data Sales'!I153:I1151)"),"Carlyle Drummer")</f>
        <v>Carlyle Drummer</v>
      </c>
      <c r="D153" s="6" t="str">
        <f>IFERROR(__xludf.DUMMYFUNCTION("""COMPUTED_VALUE"""),"Multi-Purpose Scissors")</f>
        <v>Multi-Purpose Scissors</v>
      </c>
      <c r="E153" s="6" t="str">
        <f>'Raw Data Sales'!F153</f>
        <v>Kitchen</v>
      </c>
      <c r="F153" s="6">
        <f>'Raw Data Sales'!M153</f>
        <v>2</v>
      </c>
      <c r="G153" s="6">
        <f>'Raw Data Sales'!N153</f>
        <v>3755.28</v>
      </c>
      <c r="H153" s="6" t="str">
        <f>'Raw Data Sales'!O153</f>
        <v>PayPal</v>
      </c>
    </row>
    <row r="154">
      <c r="A154" s="6">
        <f>'Raw Data Sales'!A154</f>
        <v>153</v>
      </c>
      <c r="B154" s="8">
        <f>IFERROR(__xludf.DUMMYFUNCTION("""COMPUTED_VALUE"""),43998.0)</f>
        <v>43998</v>
      </c>
      <c r="C154" s="6" t="str">
        <f>IFERROR(__xludf.DUMMYFUNCTION("UNIQUE('Raw Data Sales'!H154:H1152 &amp; "" "" &amp; 'Raw Data Sales'!I154:I1152)"),"Lyman Constance")</f>
        <v>Lyman Constance</v>
      </c>
      <c r="D154" s="6" t="str">
        <f>IFERROR(__xludf.DUMMYFUNCTION("""COMPUTED_VALUE"""),"Digital Camera")</f>
        <v>Digital Camera</v>
      </c>
      <c r="E154" s="6" t="str">
        <f>'Raw Data Sales'!F154</f>
        <v>Crafts</v>
      </c>
      <c r="F154" s="6">
        <f>'Raw Data Sales'!M154</f>
        <v>55</v>
      </c>
      <c r="G154" s="6">
        <f>'Raw Data Sales'!N154</f>
        <v>9074.32</v>
      </c>
      <c r="H154" s="6" t="str">
        <f>'Raw Data Sales'!O154</f>
        <v>Cash</v>
      </c>
    </row>
    <row r="155">
      <c r="A155" s="6">
        <f>'Raw Data Sales'!A155</f>
        <v>154</v>
      </c>
      <c r="B155" s="8">
        <f>IFERROR(__xludf.DUMMYFUNCTION("""COMPUTED_VALUE"""),44049.0)</f>
        <v>44049</v>
      </c>
      <c r="C155" s="6" t="str">
        <f>IFERROR(__xludf.DUMMYFUNCTION("UNIQUE('Raw Data Sales'!H155:H1153 &amp; "" "" &amp; 'Raw Data Sales'!I155:I1153)"),"Dunstan Wynes")</f>
        <v>Dunstan Wynes</v>
      </c>
      <c r="D155" s="6" t="str">
        <f>IFERROR(__xludf.DUMMYFUNCTION("""COMPUTED_VALUE"""),"Protein Pancake Mix")</f>
        <v>Protein Pancake Mix</v>
      </c>
      <c r="E155" s="6" t="str">
        <f>'Raw Data Sales'!F155</f>
        <v>Office</v>
      </c>
      <c r="F155" s="6">
        <f>'Raw Data Sales'!M155</f>
        <v>47</v>
      </c>
      <c r="G155" s="6">
        <f>'Raw Data Sales'!N155</f>
        <v>7768.24</v>
      </c>
      <c r="H155" s="6" t="str">
        <f>'Raw Data Sales'!O155</f>
        <v>Cash</v>
      </c>
    </row>
    <row r="156">
      <c r="A156" s="6">
        <f>'Raw Data Sales'!A156</f>
        <v>155</v>
      </c>
      <c r="B156" s="8">
        <f>IFERROR(__xludf.DUMMYFUNCTION("""COMPUTED_VALUE"""),44079.0)</f>
        <v>44079</v>
      </c>
      <c r="C156" s="6" t="str">
        <f>IFERROR(__xludf.DUMMYFUNCTION("UNIQUE('Raw Data Sales'!H156:H1154 &amp; "" "" &amp; 'Raw Data Sales'!I156:I1154)"),"Valentine Fishburn")</f>
        <v>Valentine Fishburn</v>
      </c>
      <c r="D156" s="6" t="str">
        <f>IFERROR(__xludf.DUMMYFUNCTION("""COMPUTED_VALUE"""),"Dog Training Whistle")</f>
        <v>Dog Training Whistle</v>
      </c>
      <c r="E156" s="6" t="str">
        <f>'Raw Data Sales'!F156</f>
        <v>Electronics</v>
      </c>
      <c r="F156" s="6">
        <f>'Raw Data Sales'!M156</f>
        <v>17</v>
      </c>
      <c r="G156" s="6">
        <f>'Raw Data Sales'!N156</f>
        <v>135.03</v>
      </c>
      <c r="H156" s="6" t="str">
        <f>'Raw Data Sales'!O156</f>
        <v>PayPal</v>
      </c>
    </row>
    <row r="157">
      <c r="A157" s="6">
        <f>'Raw Data Sales'!A157</f>
        <v>156</v>
      </c>
      <c r="B157" s="8">
        <f>IFERROR(__xludf.DUMMYFUNCTION("""COMPUTED_VALUE"""),44390.0)</f>
        <v>44390</v>
      </c>
      <c r="C157" s="6" t="str">
        <f>IFERROR(__xludf.DUMMYFUNCTION("UNIQUE('Raw Data Sales'!H157:H1155 &amp; "" "" &amp; 'Raw Data Sales'!I157:I1155)"),"Julissa Egell")</f>
        <v>Julissa Egell</v>
      </c>
      <c r="D157" s="6" t="str">
        <f>IFERROR(__xludf.DUMMYFUNCTION("""COMPUTED_VALUE"""),"Jump Rope with Counter")</f>
        <v>Jump Rope with Counter</v>
      </c>
      <c r="E157" s="6" t="str">
        <f>'Raw Data Sales'!F157</f>
        <v>Food - Breakfast</v>
      </c>
      <c r="F157" s="6">
        <f>'Raw Data Sales'!M157</f>
        <v>30</v>
      </c>
      <c r="G157" s="6">
        <f>'Raw Data Sales'!N157</f>
        <v>8961.02</v>
      </c>
      <c r="H157" s="6" t="str">
        <f>'Raw Data Sales'!O157</f>
        <v>Credit Card</v>
      </c>
    </row>
    <row r="158">
      <c r="A158" s="6">
        <f>'Raw Data Sales'!A158</f>
        <v>157</v>
      </c>
      <c r="B158" s="8">
        <f>IFERROR(__xludf.DUMMYFUNCTION("""COMPUTED_VALUE"""),44358.0)</f>
        <v>44358</v>
      </c>
      <c r="C158" s="6" t="str">
        <f>IFERROR(__xludf.DUMMYFUNCTION("UNIQUE('Raw Data Sales'!H158:H1156 &amp; "" "" &amp; 'Raw Data Sales'!I158:I1156)"),"Kennett Wrathall")</f>
        <v>Kennett Wrathall</v>
      </c>
      <c r="D158" s="6" t="str">
        <f>IFERROR(__xludf.DUMMYFUNCTION("""COMPUTED_VALUE"""),"Magnetic Spice Containers")</f>
        <v>Magnetic Spice Containers</v>
      </c>
      <c r="E158" s="6" t="str">
        <f>'Raw Data Sales'!F158</f>
        <v>Pets</v>
      </c>
      <c r="F158" s="6">
        <f>'Raw Data Sales'!M158</f>
        <v>7</v>
      </c>
      <c r="G158" s="6">
        <f>'Raw Data Sales'!N158</f>
        <v>4118.01</v>
      </c>
      <c r="H158" s="6" t="str">
        <f>'Raw Data Sales'!O158</f>
        <v>Cash</v>
      </c>
    </row>
    <row r="159">
      <c r="A159" s="6">
        <f>'Raw Data Sales'!A159</f>
        <v>158</v>
      </c>
      <c r="B159" s="8">
        <f>IFERROR(__xludf.DUMMYFUNCTION("""COMPUTED_VALUE"""),44231.0)</f>
        <v>44231</v>
      </c>
      <c r="C159" s="6" t="str">
        <f>IFERROR(__xludf.DUMMYFUNCTION("UNIQUE('Raw Data Sales'!H159:H1157 &amp; "" "" &amp; 'Raw Data Sales'!I159:I1157)"),"Torrey Halbard")</f>
        <v>Torrey Halbard</v>
      </c>
      <c r="D159" s="6" t="str">
        <f>IFERROR(__xludf.DUMMYFUNCTION("""COMPUTED_VALUE"""),"Over-the-Door Hooks")</f>
        <v>Over-the-Door Hooks</v>
      </c>
      <c r="E159" s="6" t="str">
        <f>'Raw Data Sales'!F159</f>
        <v>Fitness</v>
      </c>
      <c r="F159" s="6">
        <f>'Raw Data Sales'!M159</f>
        <v>29</v>
      </c>
      <c r="G159" s="6">
        <f>'Raw Data Sales'!N159</f>
        <v>7327.53</v>
      </c>
      <c r="H159" s="6" t="str">
        <f>'Raw Data Sales'!O159</f>
        <v>Credit Card</v>
      </c>
    </row>
    <row r="160">
      <c r="A160" s="6">
        <f>'Raw Data Sales'!A160</f>
        <v>159</v>
      </c>
      <c r="B160" s="8">
        <f>IFERROR(__xludf.DUMMYFUNCTION("""COMPUTED_VALUE"""),44135.0)</f>
        <v>44135</v>
      </c>
      <c r="C160" s="6" t="str">
        <f>IFERROR(__xludf.DUMMYFUNCTION("UNIQUE('Raw Data Sales'!H160:H1158 &amp; "" "" &amp; 'Raw Data Sales'!I160:I1158)"),"Lauri Busch")</f>
        <v>Lauri Busch</v>
      </c>
      <c r="D160" s="6" t="str">
        <f>IFERROR(__xludf.DUMMYFUNCTION("""COMPUTED_VALUE"""),"Surimi Crab Sticks")</f>
        <v>Surimi Crab Sticks</v>
      </c>
      <c r="E160" s="6" t="str">
        <f>'Raw Data Sales'!F160</f>
        <v>Kitchen</v>
      </c>
      <c r="F160" s="6">
        <f>'Raw Data Sales'!M160</f>
        <v>61</v>
      </c>
      <c r="G160" s="6">
        <f>'Raw Data Sales'!N160</f>
        <v>5137.03</v>
      </c>
      <c r="H160" s="6" t="str">
        <f>'Raw Data Sales'!O160</f>
        <v>Cash</v>
      </c>
    </row>
    <row r="161">
      <c r="A161" s="6">
        <f>'Raw Data Sales'!A161</f>
        <v>160</v>
      </c>
      <c r="B161" s="8">
        <f>IFERROR(__xludf.DUMMYFUNCTION("""COMPUTED_VALUE"""),44170.0)</f>
        <v>44170</v>
      </c>
      <c r="C161" s="6" t="str">
        <f>IFERROR(__xludf.DUMMYFUNCTION("UNIQUE('Raw Data Sales'!H161:H1159 &amp; "" "" &amp; 'Raw Data Sales'!I161:I1159)"),"Kaine Kyrkeman")</f>
        <v>Kaine Kyrkeman</v>
      </c>
      <c r="D161" s="6" t="str">
        <f>IFERROR(__xludf.DUMMYFUNCTION("""COMPUTED_VALUE"""),"Portable Hammock with Stand")</f>
        <v>Portable Hammock with Stand</v>
      </c>
      <c r="E161" s="6" t="str">
        <f>'Raw Data Sales'!F161</f>
        <v>Home</v>
      </c>
      <c r="F161" s="6">
        <f>'Raw Data Sales'!M161</f>
        <v>11</v>
      </c>
      <c r="G161" s="6">
        <f>'Raw Data Sales'!N161</f>
        <v>4465.36</v>
      </c>
      <c r="H161" s="6" t="str">
        <f>'Raw Data Sales'!O161</f>
        <v>Cash</v>
      </c>
    </row>
    <row r="162">
      <c r="A162" s="6">
        <f>'Raw Data Sales'!A162</f>
        <v>161</v>
      </c>
      <c r="B162" s="8">
        <f>IFERROR(__xludf.DUMMYFUNCTION("""COMPUTED_VALUE"""),44034.0)</f>
        <v>44034</v>
      </c>
      <c r="C162" s="6" t="str">
        <f>IFERROR(__xludf.DUMMYFUNCTION("UNIQUE('Raw Data Sales'!H162:H1160 &amp; "" "" &amp; 'Raw Data Sales'!I162:I1160)"),"Cheri McKenney")</f>
        <v>Cheri McKenney</v>
      </c>
      <c r="D162" s="6" t="str">
        <f>IFERROR(__xludf.DUMMYFUNCTION("""COMPUTED_VALUE"""),"Mediterranean Couscous Salad")</f>
        <v>Mediterranean Couscous Salad</v>
      </c>
      <c r="E162" s="6" t="str">
        <f>'Raw Data Sales'!F162</f>
        <v>Food - Seafood</v>
      </c>
      <c r="F162" s="6">
        <f>'Raw Data Sales'!M162</f>
        <v>52</v>
      </c>
      <c r="G162" s="6">
        <f>'Raw Data Sales'!N162</f>
        <v>7488.46</v>
      </c>
      <c r="H162" s="6" t="str">
        <f>'Raw Data Sales'!O162</f>
        <v>Credit Card</v>
      </c>
    </row>
    <row r="163">
      <c r="A163" s="6">
        <f>'Raw Data Sales'!A163</f>
        <v>162</v>
      </c>
      <c r="B163" s="8">
        <f>IFERROR(__xludf.DUMMYFUNCTION("""COMPUTED_VALUE"""),44054.0)</f>
        <v>44054</v>
      </c>
      <c r="C163" s="6" t="str">
        <f>IFERROR(__xludf.DUMMYFUNCTION("UNIQUE('Raw Data Sales'!H163:H1161 &amp; "" "" &amp; 'Raw Data Sales'!I163:I1161)"),"Cleo Roelofsen")</f>
        <v>Cleo Roelofsen</v>
      </c>
      <c r="D163" s="6" t="str">
        <f>IFERROR(__xludf.DUMMYFUNCTION("""COMPUTED_VALUE"""),"Spicy Tuna Salad")</f>
        <v>Spicy Tuna Salad</v>
      </c>
      <c r="E163" s="6" t="str">
        <f>'Raw Data Sales'!F163</f>
        <v>Outdoor</v>
      </c>
      <c r="F163" s="6">
        <f>'Raw Data Sales'!M163</f>
        <v>40</v>
      </c>
      <c r="G163" s="6">
        <f>'Raw Data Sales'!N163</f>
        <v>7839.58</v>
      </c>
      <c r="H163" s="6" t="str">
        <f>'Raw Data Sales'!O163</f>
        <v>PayPal</v>
      </c>
    </row>
    <row r="164">
      <c r="A164" s="6">
        <f>'Raw Data Sales'!A164</f>
        <v>163</v>
      </c>
      <c r="B164" s="8">
        <f>IFERROR(__xludf.DUMMYFUNCTION("""COMPUTED_VALUE"""),44363.0)</f>
        <v>44363</v>
      </c>
      <c r="C164" s="6" t="str">
        <f>IFERROR(__xludf.DUMMYFUNCTION("UNIQUE('Raw Data Sales'!H164:H1162 &amp; "" "" &amp; 'Raw Data Sales'!I164:I1162)"),"Zaneta Dowsett")</f>
        <v>Zaneta Dowsett</v>
      </c>
      <c r="D164" s="6" t="str">
        <f>IFERROR(__xludf.DUMMYFUNCTION("""COMPUTED_VALUE"""),"Black Bean &amp; Corn Salad")</f>
        <v>Black Bean &amp; Corn Salad</v>
      </c>
      <c r="E164" s="6" t="str">
        <f>'Raw Data Sales'!F164</f>
        <v>Food - Salads</v>
      </c>
      <c r="F164" s="6">
        <f>'Raw Data Sales'!M164</f>
        <v>55</v>
      </c>
      <c r="G164" s="6">
        <f>'Raw Data Sales'!N164</f>
        <v>2629.23</v>
      </c>
      <c r="H164" s="6" t="str">
        <f>'Raw Data Sales'!O164</f>
        <v>Cash</v>
      </c>
    </row>
    <row r="165">
      <c r="A165" s="6">
        <f>'Raw Data Sales'!A165</f>
        <v>164</v>
      </c>
      <c r="B165" s="8">
        <f>IFERROR(__xludf.DUMMYFUNCTION("""COMPUTED_VALUE"""),44127.0)</f>
        <v>44127</v>
      </c>
      <c r="C165" s="6" t="str">
        <f>IFERROR(__xludf.DUMMYFUNCTION("UNIQUE('Raw Data Sales'!H165:H1163 &amp; "" "" &amp; 'Raw Data Sales'!I165:I1163)"),"Matti de la Tremoille")</f>
        <v>Matti de la Tremoille</v>
      </c>
      <c r="D165" s="6" t="str">
        <f>IFERROR(__xludf.DUMMYFUNCTION("""COMPUTED_VALUE"""),"Self-Stirring Mug")</f>
        <v>Self-Stirring Mug</v>
      </c>
      <c r="E165" s="6" t="str">
        <f>'Raw Data Sales'!F165</f>
        <v>Beauty</v>
      </c>
      <c r="F165" s="6">
        <f>'Raw Data Sales'!M165</f>
        <v>62</v>
      </c>
      <c r="G165" s="6">
        <f>'Raw Data Sales'!N165</f>
        <v>1636.6</v>
      </c>
      <c r="H165" s="6" t="str">
        <f>'Raw Data Sales'!O165</f>
        <v>Cash</v>
      </c>
    </row>
    <row r="166">
      <c r="A166" s="6">
        <f>'Raw Data Sales'!A166</f>
        <v>165</v>
      </c>
      <c r="B166" s="8">
        <f>IFERROR(__xludf.DUMMYFUNCTION("""COMPUTED_VALUE"""),44035.0)</f>
        <v>44035</v>
      </c>
      <c r="C166" s="6" t="str">
        <f>IFERROR(__xludf.DUMMYFUNCTION("UNIQUE('Raw Data Sales'!H166:H1164 &amp; "" "" &amp; 'Raw Data Sales'!I166:I1164)"),"Rochester Kemish")</f>
        <v>Rochester Kemish</v>
      </c>
      <c r="D166" s="6" t="str">
        <f>IFERROR(__xludf.DUMMYFUNCTION("""COMPUTED_VALUE"""),"Nutty Granola Clusters")</f>
        <v>Nutty Granola Clusters</v>
      </c>
      <c r="E166" s="6" t="str">
        <f>'Raw Data Sales'!F166</f>
        <v>Food - Seafood</v>
      </c>
      <c r="F166" s="6">
        <f>'Raw Data Sales'!M166</f>
        <v>2</v>
      </c>
      <c r="G166" s="6">
        <f>'Raw Data Sales'!N166</f>
        <v>2601.01</v>
      </c>
      <c r="H166" s="6" t="str">
        <f>'Raw Data Sales'!O166</f>
        <v>PayPal</v>
      </c>
    </row>
    <row r="167">
      <c r="A167" s="6">
        <f>'Raw Data Sales'!A167</f>
        <v>166</v>
      </c>
      <c r="B167" s="8">
        <f>IFERROR(__xludf.DUMMYFUNCTION("""COMPUTED_VALUE"""),44545.0)</f>
        <v>44545</v>
      </c>
      <c r="C167" s="6" t="str">
        <f>IFERROR(__xludf.DUMMYFUNCTION("UNIQUE('Raw Data Sales'!H167:H1165 &amp; "" "" &amp; 'Raw Data Sales'!I167:I1165)"),"Hunter Grinyov")</f>
        <v>Hunter Grinyov</v>
      </c>
      <c r="D167" s="6" t="str">
        <f>IFERROR(__xludf.DUMMYFUNCTION("""COMPUTED_VALUE"""),"Weighted Jump Rope with Counter")</f>
        <v>Weighted Jump Rope with Counter</v>
      </c>
      <c r="E167" s="6" t="str">
        <f>'Raw Data Sales'!F167</f>
        <v>Food - Salads</v>
      </c>
      <c r="F167" s="6">
        <f>'Raw Data Sales'!M167</f>
        <v>54</v>
      </c>
      <c r="G167" s="6">
        <f>'Raw Data Sales'!N167</f>
        <v>2614.39</v>
      </c>
      <c r="H167" s="6" t="str">
        <f>'Raw Data Sales'!O167</f>
        <v>Credit Card</v>
      </c>
    </row>
    <row r="168">
      <c r="A168" s="6">
        <f>'Raw Data Sales'!A168</f>
        <v>167</v>
      </c>
      <c r="B168" s="8">
        <f>IFERROR(__xludf.DUMMYFUNCTION("""COMPUTED_VALUE"""),44408.0)</f>
        <v>44408</v>
      </c>
      <c r="C168" s="6" t="str">
        <f>IFERROR(__xludf.DUMMYFUNCTION("UNIQUE('Raw Data Sales'!H168:H1166 &amp; "" "" &amp; 'Raw Data Sales'!I168:I1166)"),"Alyosha Yeliashev")</f>
        <v>Alyosha Yeliashev</v>
      </c>
      <c r="D168" s="6" t="str">
        <f>IFERROR(__xludf.DUMMYFUNCTION("""COMPUTED_VALUE"""),"Portable Refrigerator Freezer")</f>
        <v>Portable Refrigerator Freezer</v>
      </c>
      <c r="E168" s="6" t="str">
        <f>'Raw Data Sales'!F168</f>
        <v>Kitchen</v>
      </c>
      <c r="F168" s="6">
        <f>'Raw Data Sales'!M168</f>
        <v>58</v>
      </c>
      <c r="G168" s="6">
        <f>'Raw Data Sales'!N168</f>
        <v>4940.42</v>
      </c>
      <c r="H168" s="6" t="str">
        <f>'Raw Data Sales'!O168</f>
        <v>Cash</v>
      </c>
    </row>
    <row r="169">
      <c r="A169" s="6">
        <f>'Raw Data Sales'!A169</f>
        <v>168</v>
      </c>
      <c r="B169" s="8">
        <f>IFERROR(__xludf.DUMMYFUNCTION("""COMPUTED_VALUE"""),44109.0)</f>
        <v>44109</v>
      </c>
      <c r="C169" s="6" t="str">
        <f>IFERROR(__xludf.DUMMYFUNCTION("UNIQUE('Raw Data Sales'!H169:H1167 &amp; "" "" &amp; 'Raw Data Sales'!I169:I1167)"),"Clint Vanacci")</f>
        <v>Clint Vanacci</v>
      </c>
      <c r="D169" s="6" t="str">
        <f>IFERROR(__xludf.DUMMYFUNCTION("""COMPUTED_VALUE"""),"Dog Waste Bag Dispenser")</f>
        <v>Dog Waste Bag Dispenser</v>
      </c>
      <c r="E169" s="6" t="str">
        <f>'Raw Data Sales'!F169</f>
        <v>Food - Cereal</v>
      </c>
      <c r="F169" s="6">
        <f>'Raw Data Sales'!M169</f>
        <v>48</v>
      </c>
      <c r="G169" s="6">
        <f>'Raw Data Sales'!N169</f>
        <v>762.74</v>
      </c>
      <c r="H169" s="6" t="str">
        <f>'Raw Data Sales'!O169</f>
        <v>Cash</v>
      </c>
    </row>
    <row r="170">
      <c r="A170" s="6">
        <f>'Raw Data Sales'!A170</f>
        <v>169</v>
      </c>
      <c r="B170" s="8">
        <f>IFERROR(__xludf.DUMMYFUNCTION("""COMPUTED_VALUE"""),44026.0)</f>
        <v>44026</v>
      </c>
      <c r="C170" s="6" t="str">
        <f>IFERROR(__xludf.DUMMYFUNCTION("UNIQUE('Raw Data Sales'!H170:H1168 &amp; "" "" &amp; 'Raw Data Sales'!I170:I1168)"),"Bathsheba Oswick")</f>
        <v>Bathsheba Oswick</v>
      </c>
      <c r="D170" s="6" t="str">
        <f>IFERROR(__xludf.DUMMYFUNCTION("""COMPUTED_VALUE"""),"Compact Hair Dryer")</f>
        <v>Compact Hair Dryer</v>
      </c>
      <c r="E170" s="6" t="str">
        <f>'Raw Data Sales'!F170</f>
        <v>Fitness</v>
      </c>
      <c r="F170" s="6">
        <f>'Raw Data Sales'!M170</f>
        <v>2</v>
      </c>
      <c r="G170" s="6">
        <f>'Raw Data Sales'!N170</f>
        <v>2284.63</v>
      </c>
      <c r="H170" s="6" t="str">
        <f>'Raw Data Sales'!O170</f>
        <v>Cash</v>
      </c>
    </row>
    <row r="171">
      <c r="A171" s="6">
        <f>'Raw Data Sales'!A171</f>
        <v>170</v>
      </c>
      <c r="B171" s="8">
        <f>IFERROR(__xludf.DUMMYFUNCTION("""COMPUTED_VALUE"""),44463.0)</f>
        <v>44463</v>
      </c>
      <c r="C171" s="6" t="str">
        <f>IFERROR(__xludf.DUMMYFUNCTION("UNIQUE('Raw Data Sales'!H171:H1169 &amp; "" "" &amp; 'Raw Data Sales'!I171:I1169)"),"Lanny Leary")</f>
        <v>Lanny Leary</v>
      </c>
      <c r="D171" s="6" t="str">
        <f>IFERROR(__xludf.DUMMYFUNCTION("""COMPUTED_VALUE"""),"Eco-Friendly Disposable Plates")</f>
        <v>Eco-Friendly Disposable Plates</v>
      </c>
      <c r="E171" s="6" t="str">
        <f>'Raw Data Sales'!F171</f>
        <v>Outdoor</v>
      </c>
      <c r="F171" s="6">
        <f>'Raw Data Sales'!M171</f>
        <v>11</v>
      </c>
      <c r="G171" s="6">
        <f>'Raw Data Sales'!N171</f>
        <v>7733.2</v>
      </c>
      <c r="H171" s="6" t="str">
        <f>'Raw Data Sales'!O171</f>
        <v>PayPal</v>
      </c>
    </row>
    <row r="172">
      <c r="A172" s="6">
        <f>'Raw Data Sales'!A172</f>
        <v>171</v>
      </c>
      <c r="B172" s="8">
        <f>IFERROR(__xludf.DUMMYFUNCTION("""COMPUTED_VALUE"""),44277.0)</f>
        <v>44277</v>
      </c>
      <c r="C172" s="6" t="str">
        <f>IFERROR(__xludf.DUMMYFUNCTION("UNIQUE('Raw Data Sales'!H172:H1170 &amp; "" "" &amp; 'Raw Data Sales'!I172:I1170)"),"Robinet Massen")</f>
        <v>Robinet Massen</v>
      </c>
      <c r="D172" s="6" t="str">
        <f>IFERROR(__xludf.DUMMYFUNCTION("""COMPUTED_VALUE"""),"Mini Indoor Hydroponic Garden")</f>
        <v>Mini Indoor Hydroponic Garden</v>
      </c>
      <c r="E172" s="6" t="str">
        <f>'Raw Data Sales'!F172</f>
        <v>Pets</v>
      </c>
      <c r="F172" s="6">
        <f>'Raw Data Sales'!M172</f>
        <v>71</v>
      </c>
      <c r="G172" s="6">
        <f>'Raw Data Sales'!N172</f>
        <v>9115.95</v>
      </c>
      <c r="H172" s="6" t="str">
        <f>'Raw Data Sales'!O172</f>
        <v>PayPal</v>
      </c>
    </row>
    <row r="173">
      <c r="A173" s="6">
        <f>'Raw Data Sales'!A173</f>
        <v>172</v>
      </c>
      <c r="B173" s="8">
        <f>IFERROR(__xludf.DUMMYFUNCTION("""COMPUTED_VALUE"""),44538.0)</f>
        <v>44538</v>
      </c>
      <c r="C173" s="6" t="str">
        <f>IFERROR(__xludf.DUMMYFUNCTION("UNIQUE('Raw Data Sales'!H173:H1171 &amp; "" "" &amp; 'Raw Data Sales'!I173:I1171)"),"Jamie Twydell")</f>
        <v>Jamie Twydell</v>
      </c>
      <c r="D173" s="6" t="str">
        <f>IFERROR(__xludf.DUMMYFUNCTION("""COMPUTED_VALUE"""),"Rustic Italian Breads")</f>
        <v>Rustic Italian Breads</v>
      </c>
      <c r="E173" s="6" t="str">
        <f>'Raw Data Sales'!F173</f>
        <v>Beauty</v>
      </c>
      <c r="F173" s="6">
        <f>'Raw Data Sales'!M173</f>
        <v>50</v>
      </c>
      <c r="G173" s="6">
        <f>'Raw Data Sales'!N173</f>
        <v>5184.57</v>
      </c>
      <c r="H173" s="6" t="str">
        <f>'Raw Data Sales'!O173</f>
        <v>PayPal</v>
      </c>
    </row>
    <row r="174">
      <c r="A174" s="6">
        <f>'Raw Data Sales'!A174</f>
        <v>173</v>
      </c>
      <c r="B174" s="8">
        <f>IFERROR(__xludf.DUMMYFUNCTION("""COMPUTED_VALUE"""),43870.0)</f>
        <v>43870</v>
      </c>
      <c r="C174" s="6" t="str">
        <f>IFERROR(__xludf.DUMMYFUNCTION("UNIQUE('Raw Data Sales'!H174:H1172 &amp; "" "" &amp; 'Raw Data Sales'!I174:I1172)"),"Marya Binden")</f>
        <v>Marya Binden</v>
      </c>
      <c r="D174" s="6" t="str">
        <f>IFERROR(__xludf.DUMMYFUNCTION("""COMPUTED_VALUE"""),"Greek Yogurt Parfait")</f>
        <v>Greek Yogurt Parfait</v>
      </c>
      <c r="E174" s="6" t="str">
        <f>'Raw Data Sales'!F174</f>
        <v>Kitchen</v>
      </c>
      <c r="F174" s="6">
        <f>'Raw Data Sales'!M174</f>
        <v>44</v>
      </c>
      <c r="G174" s="6">
        <f>'Raw Data Sales'!N174</f>
        <v>33.25</v>
      </c>
      <c r="H174" s="6" t="str">
        <f>'Raw Data Sales'!O174</f>
        <v>Credit Card</v>
      </c>
    </row>
    <row r="175">
      <c r="A175" s="6">
        <f>'Raw Data Sales'!A175</f>
        <v>174</v>
      </c>
      <c r="B175" s="8">
        <f>IFERROR(__xludf.DUMMYFUNCTION("""COMPUTED_VALUE"""),44382.0)</f>
        <v>44382</v>
      </c>
      <c r="C175" s="6" t="str">
        <f>IFERROR(__xludf.DUMMYFUNCTION("UNIQUE('Raw Data Sales'!H175:H1173 &amp; "" "" &amp; 'Raw Data Sales'!I175:I1173)"),"Martguerita Kinnoch")</f>
        <v>Martguerita Kinnoch</v>
      </c>
      <c r="D175" s="6" t="str">
        <f>IFERROR(__xludf.DUMMYFUNCTION("""COMPUTED_VALUE"""),"Set of Gardening Gloves with Claws")</f>
        <v>Set of Gardening Gloves with Claws</v>
      </c>
      <c r="E175" s="6" t="str">
        <f>'Raw Data Sales'!F175</f>
        <v>Garden</v>
      </c>
      <c r="F175" s="6">
        <f>'Raw Data Sales'!M175</f>
        <v>22</v>
      </c>
      <c r="G175" s="6">
        <f>'Raw Data Sales'!N175</f>
        <v>9999.6</v>
      </c>
      <c r="H175" s="6" t="str">
        <f>'Raw Data Sales'!O175</f>
        <v>PayPal</v>
      </c>
    </row>
    <row r="176">
      <c r="A176" s="6">
        <f>'Raw Data Sales'!A176</f>
        <v>175</v>
      </c>
      <c r="B176" s="8">
        <f>IFERROR(__xludf.DUMMYFUNCTION("""COMPUTED_VALUE"""),44181.0)</f>
        <v>44181</v>
      </c>
      <c r="C176" s="6" t="str">
        <f>IFERROR(__xludf.DUMMYFUNCTION("UNIQUE('Raw Data Sales'!H176:H1174 &amp; "" "" &amp; 'Raw Data Sales'!I176:I1174)"),"Kimberly Baleine")</f>
        <v>Kimberly Baleine</v>
      </c>
      <c r="D176" s="6" t="str">
        <f>IFERROR(__xludf.DUMMYFUNCTION("""COMPUTED_VALUE"""),"Pasta Maker")</f>
        <v>Pasta Maker</v>
      </c>
      <c r="E176" s="6" t="str">
        <f>'Raw Data Sales'!F176</f>
        <v>Food - Bakery</v>
      </c>
      <c r="F176" s="6">
        <f>'Raw Data Sales'!M176</f>
        <v>71</v>
      </c>
      <c r="G176" s="6">
        <f>'Raw Data Sales'!N176</f>
        <v>6777.3</v>
      </c>
      <c r="H176" s="6" t="str">
        <f>'Raw Data Sales'!O176</f>
        <v>PayPal</v>
      </c>
    </row>
    <row r="177">
      <c r="A177" s="6">
        <f>'Raw Data Sales'!A177</f>
        <v>176</v>
      </c>
      <c r="B177" s="8">
        <f>IFERROR(__xludf.DUMMYFUNCTION("""COMPUTED_VALUE"""),44320.0)</f>
        <v>44320</v>
      </c>
      <c r="C177" s="6" t="str">
        <f>IFERROR(__xludf.DUMMYFUNCTION("UNIQUE('Raw Data Sales'!H177:H1175 &amp; "" "" &amp; 'Raw Data Sales'!I177:I1175)"),"Josi Sybbe")</f>
        <v>Josi Sybbe</v>
      </c>
      <c r="D177" s="6" t="str">
        <f>IFERROR(__xludf.DUMMYFUNCTION("""COMPUTED_VALUE"""),"Coffee Grinder")</f>
        <v>Coffee Grinder</v>
      </c>
      <c r="E177" s="6" t="str">
        <f>'Raw Data Sales'!F177</f>
        <v>Food - Dairy</v>
      </c>
      <c r="F177" s="6">
        <f>'Raw Data Sales'!M177</f>
        <v>22</v>
      </c>
      <c r="G177" s="6">
        <f>'Raw Data Sales'!N177</f>
        <v>7147.62</v>
      </c>
      <c r="H177" s="6" t="str">
        <f>'Raw Data Sales'!O177</f>
        <v>PayPal</v>
      </c>
    </row>
    <row r="178">
      <c r="A178" s="6">
        <f>'Raw Data Sales'!A178</f>
        <v>177</v>
      </c>
      <c r="B178" s="8">
        <f>IFERROR(__xludf.DUMMYFUNCTION("""COMPUTED_VALUE"""),44526.0)</f>
        <v>44526</v>
      </c>
      <c r="C178" s="6" t="str">
        <f>IFERROR(__xludf.DUMMYFUNCTION("UNIQUE('Raw Data Sales'!H178:H1176 &amp; "" "" &amp; 'Raw Data Sales'!I178:I1176)"),"Darsie Lavrick")</f>
        <v>Darsie Lavrick</v>
      </c>
      <c r="D178" s="6" t="str">
        <f>IFERROR(__xludf.DUMMYFUNCTION("""COMPUTED_VALUE"""),"Margherita Pizza")</f>
        <v>Margherita Pizza</v>
      </c>
      <c r="E178" s="6" t="str">
        <f>'Raw Data Sales'!F178</f>
        <v>Garden</v>
      </c>
      <c r="F178" s="6">
        <f>'Raw Data Sales'!M178</f>
        <v>27</v>
      </c>
      <c r="G178" s="6">
        <f>'Raw Data Sales'!N178</f>
        <v>7090.93</v>
      </c>
      <c r="H178" s="6" t="str">
        <f>'Raw Data Sales'!O178</f>
        <v>Credit Card</v>
      </c>
    </row>
    <row r="179">
      <c r="A179" s="6">
        <f>'Raw Data Sales'!A179</f>
        <v>178</v>
      </c>
      <c r="B179" s="8">
        <f>IFERROR(__xludf.DUMMYFUNCTION("""COMPUTED_VALUE"""),43954.0)</f>
        <v>43954</v>
      </c>
      <c r="C179" s="6" t="str">
        <f>IFERROR(__xludf.DUMMYFUNCTION("UNIQUE('Raw Data Sales'!H179:H1177 &amp; "" "" &amp; 'Raw Data Sales'!I179:I1177)"),"Meredeth Covendon")</f>
        <v>Meredeth Covendon</v>
      </c>
      <c r="D179" s="6" t="str">
        <f>IFERROR(__xludf.DUMMYFUNCTION("""COMPUTED_VALUE"""),"Bodyweight Resistance Bands")</f>
        <v>Bodyweight Resistance Bands</v>
      </c>
      <c r="E179" s="6" t="str">
        <f>'Raw Data Sales'!F179</f>
        <v>Kitchen</v>
      </c>
      <c r="F179" s="6">
        <f>'Raw Data Sales'!M179</f>
        <v>89</v>
      </c>
      <c r="G179" s="6">
        <f>'Raw Data Sales'!N179</f>
        <v>7684.01</v>
      </c>
      <c r="H179" s="6" t="str">
        <f>'Raw Data Sales'!O179</f>
        <v>PayPal</v>
      </c>
    </row>
    <row r="180">
      <c r="A180" s="6">
        <f>'Raw Data Sales'!A180</f>
        <v>179</v>
      </c>
      <c r="B180" s="8">
        <f>IFERROR(__xludf.DUMMYFUNCTION("""COMPUTED_VALUE"""),44004.0)</f>
        <v>44004</v>
      </c>
      <c r="C180" s="6" t="str">
        <f>IFERROR(__xludf.DUMMYFUNCTION("UNIQUE('Raw Data Sales'!H180:H1178 &amp; "" "" &amp; 'Raw Data Sales'!I180:I1178)"),"Trueman Morcom")</f>
        <v>Trueman Morcom</v>
      </c>
      <c r="D180" s="6" t="str">
        <f>IFERROR(__xludf.DUMMYFUNCTION("""COMPUTED_VALUE"""),"Sour Cream")</f>
        <v>Sour Cream</v>
      </c>
      <c r="E180" s="6" t="str">
        <f>'Raw Data Sales'!F180</f>
        <v>Kitchen</v>
      </c>
      <c r="F180" s="6">
        <f>'Raw Data Sales'!M180</f>
        <v>20</v>
      </c>
      <c r="G180" s="6">
        <f>'Raw Data Sales'!N180</f>
        <v>5341.59</v>
      </c>
      <c r="H180" s="6" t="str">
        <f>'Raw Data Sales'!O180</f>
        <v>Credit Card</v>
      </c>
    </row>
    <row r="181">
      <c r="A181" s="6">
        <f>'Raw Data Sales'!A181</f>
        <v>180</v>
      </c>
      <c r="B181" s="8">
        <f>IFERROR(__xludf.DUMMYFUNCTION("""COMPUTED_VALUE"""),44539.0)</f>
        <v>44539</v>
      </c>
      <c r="C181" s="6" t="str">
        <f>IFERROR(__xludf.DUMMYFUNCTION("UNIQUE('Raw Data Sales'!H181:H1179 &amp; "" "" &amp; 'Raw Data Sales'!I181:I1179)"),"Burtie Westmerland")</f>
        <v>Burtie Westmerland</v>
      </c>
      <c r="D181" s="6" t="str">
        <f>IFERROR(__xludf.DUMMYFUNCTION("""COMPUTED_VALUE"""),"Organic Cereal Bars")</f>
        <v>Organic Cereal Bars</v>
      </c>
      <c r="E181" s="6" t="str">
        <f>'Raw Data Sales'!F181</f>
        <v>Food - Frozen Foods</v>
      </c>
      <c r="F181" s="6">
        <f>'Raw Data Sales'!M181</f>
        <v>43</v>
      </c>
      <c r="G181" s="6">
        <f>'Raw Data Sales'!N181</f>
        <v>532.61</v>
      </c>
      <c r="H181" s="6" t="str">
        <f>'Raw Data Sales'!O181</f>
        <v>PayPal</v>
      </c>
    </row>
    <row r="182">
      <c r="A182" s="6">
        <f>'Raw Data Sales'!A182</f>
        <v>181</v>
      </c>
      <c r="B182" s="8">
        <f>IFERROR(__xludf.DUMMYFUNCTION("""COMPUTED_VALUE"""),43839.0)</f>
        <v>43839</v>
      </c>
      <c r="C182" s="6" t="str">
        <f>IFERROR(__xludf.DUMMYFUNCTION("UNIQUE('Raw Data Sales'!H182:H1180 &amp; "" "" &amp; 'Raw Data Sales'!I182:I1180)"),"Davie Reijmers")</f>
        <v>Davie Reijmers</v>
      </c>
      <c r="D182" s="6" t="str">
        <f>IFERROR(__xludf.DUMMYFUNCTION("""COMPUTED_VALUE"""),"Personal Blender with Travel Cup")</f>
        <v>Personal Blender with Travel Cup</v>
      </c>
      <c r="E182" s="6" t="str">
        <f>'Raw Data Sales'!F182</f>
        <v>Fitness</v>
      </c>
      <c r="F182" s="6">
        <f>'Raw Data Sales'!M182</f>
        <v>85</v>
      </c>
      <c r="G182" s="6">
        <f>'Raw Data Sales'!N182</f>
        <v>6448.87</v>
      </c>
      <c r="H182" s="6" t="str">
        <f>'Raw Data Sales'!O182</f>
        <v>Credit Card</v>
      </c>
    </row>
    <row r="183">
      <c r="A183" s="6">
        <f>'Raw Data Sales'!A183</f>
        <v>182</v>
      </c>
      <c r="B183" s="8">
        <f>IFERROR(__xludf.DUMMYFUNCTION("""COMPUTED_VALUE"""),44441.0)</f>
        <v>44441</v>
      </c>
      <c r="C183" s="6" t="str">
        <f>IFERROR(__xludf.DUMMYFUNCTION("UNIQUE('Raw Data Sales'!H183:H1181 &amp; "" "" &amp; 'Raw Data Sales'!I183:I1181)"),"Kaitlyn Benka")</f>
        <v>Kaitlyn Benka</v>
      </c>
      <c r="D183" s="6" t="str">
        <f>IFERROR(__xludf.DUMMYFUNCTION("""COMPUTED_VALUE"""),"Ceramic Bakeware Set")</f>
        <v>Ceramic Bakeware Set</v>
      </c>
      <c r="E183" s="6" t="str">
        <f>'Raw Data Sales'!F183</f>
        <v>Food - Frozen</v>
      </c>
      <c r="F183" s="6">
        <f>'Raw Data Sales'!M183</f>
        <v>64</v>
      </c>
      <c r="G183" s="6">
        <f>'Raw Data Sales'!N183</f>
        <v>1598.94</v>
      </c>
      <c r="H183" s="6" t="str">
        <f>'Raw Data Sales'!O183</f>
        <v>Credit Card</v>
      </c>
    </row>
    <row r="184">
      <c r="A184" s="6">
        <f>'Raw Data Sales'!A184</f>
        <v>183</v>
      </c>
      <c r="B184" s="8">
        <f>IFERROR(__xludf.DUMMYFUNCTION("""COMPUTED_VALUE"""),44278.0)</f>
        <v>44278</v>
      </c>
      <c r="C184" s="6" t="str">
        <f>IFERROR(__xludf.DUMMYFUNCTION("UNIQUE('Raw Data Sales'!H184:H1182 &amp; "" "" &amp; 'Raw Data Sales'!I184:I1182)"),"Jesselyn McGrorty")</f>
        <v>Jesselyn McGrorty</v>
      </c>
      <c r="D184" s="6" t="str">
        <f>IFERROR(__xludf.DUMMYFUNCTION("""COMPUTED_VALUE"""),"Coconut Cream Pie")</f>
        <v>Coconut Cream Pie</v>
      </c>
      <c r="E184" s="6" t="str">
        <f>'Raw Data Sales'!F184</f>
        <v>Food - Dairy</v>
      </c>
      <c r="F184" s="6">
        <f>'Raw Data Sales'!M184</f>
        <v>3</v>
      </c>
      <c r="G184" s="6">
        <f>'Raw Data Sales'!N184</f>
        <v>5067.2</v>
      </c>
      <c r="H184" s="6" t="str">
        <f>'Raw Data Sales'!O184</f>
        <v>Credit Card</v>
      </c>
    </row>
    <row r="185">
      <c r="A185" s="6">
        <f>'Raw Data Sales'!A185</f>
        <v>184</v>
      </c>
      <c r="B185" s="8">
        <f>IFERROR(__xludf.DUMMYFUNCTION("""COMPUTED_VALUE"""),43837.0)</f>
        <v>43837</v>
      </c>
      <c r="C185" s="6" t="str">
        <f>IFERROR(__xludf.DUMMYFUNCTION("UNIQUE('Raw Data Sales'!H185:H1183 &amp; "" "" &amp; 'Raw Data Sales'!I185:I1183)"),"Teodora Beton")</f>
        <v>Teodora Beton</v>
      </c>
      <c r="D185" s="6" t="str">
        <f>IFERROR(__xludf.DUMMYFUNCTION("""COMPUTED_VALUE"""),"Chewy Granola Bars")</f>
        <v>Chewy Granola Bars</v>
      </c>
      <c r="E185" s="6" t="str">
        <f>'Raw Data Sales'!F185</f>
        <v>Food - Snacks</v>
      </c>
      <c r="F185" s="6">
        <f>'Raw Data Sales'!M185</f>
        <v>64</v>
      </c>
      <c r="G185" s="6">
        <f>'Raw Data Sales'!N185</f>
        <v>1034.81</v>
      </c>
      <c r="H185" s="6" t="str">
        <f>'Raw Data Sales'!O185</f>
        <v>Credit Card</v>
      </c>
    </row>
    <row r="186">
      <c r="A186" s="6">
        <f>'Raw Data Sales'!A186</f>
        <v>185</v>
      </c>
      <c r="B186" s="8">
        <f>IFERROR(__xludf.DUMMYFUNCTION("""COMPUTED_VALUE"""),44299.0)</f>
        <v>44299</v>
      </c>
      <c r="C186" s="6" t="str">
        <f>IFERROR(__xludf.DUMMYFUNCTION("UNIQUE('Raw Data Sales'!H186:H1184 &amp; "" "" &amp; 'Raw Data Sales'!I186:I1184)"),"Myrah Emm")</f>
        <v>Myrah Emm</v>
      </c>
      <c r="D186" s="6" t="str">
        <f>IFERROR(__xludf.DUMMYFUNCTION("""COMPUTED_VALUE"""),"Ranch Dressing")</f>
        <v>Ranch Dressing</v>
      </c>
      <c r="E186" s="6" t="str">
        <f>'Raw Data Sales'!F186</f>
        <v>Kitchen</v>
      </c>
      <c r="F186" s="6">
        <f>'Raw Data Sales'!M186</f>
        <v>11</v>
      </c>
      <c r="G186" s="6">
        <f>'Raw Data Sales'!N186</f>
        <v>1587.37</v>
      </c>
      <c r="H186" s="6" t="str">
        <f>'Raw Data Sales'!O186</f>
        <v>PayPal</v>
      </c>
    </row>
    <row r="187">
      <c r="A187" s="6">
        <f>'Raw Data Sales'!A187</f>
        <v>186</v>
      </c>
      <c r="B187" s="8">
        <f>IFERROR(__xludf.DUMMYFUNCTION("""COMPUTED_VALUE"""),44184.0)</f>
        <v>44184</v>
      </c>
      <c r="C187" s="6" t="str">
        <f>IFERROR(__xludf.DUMMYFUNCTION("UNIQUE('Raw Data Sales'!H187:H1185 &amp; "" "" &amp; 'Raw Data Sales'!I187:I1185)"),"Binni Bendin")</f>
        <v>Binni Bendin</v>
      </c>
      <c r="D187" s="6" t="str">
        <f>IFERROR(__xludf.DUMMYFUNCTION("""COMPUTED_VALUE"""),"Gardening Tool Belt")</f>
        <v>Gardening Tool Belt</v>
      </c>
      <c r="E187" s="6" t="str">
        <f>'Raw Data Sales'!F187</f>
        <v>Kitchen</v>
      </c>
      <c r="F187" s="6">
        <f>'Raw Data Sales'!M187</f>
        <v>13</v>
      </c>
      <c r="G187" s="6">
        <f>'Raw Data Sales'!N187</f>
        <v>6629.23</v>
      </c>
      <c r="H187" s="6" t="str">
        <f>'Raw Data Sales'!O187</f>
        <v>Cash</v>
      </c>
    </row>
    <row r="188">
      <c r="A188" s="6">
        <f>'Raw Data Sales'!A188</f>
        <v>187</v>
      </c>
      <c r="B188" s="8">
        <f>IFERROR(__xludf.DUMMYFUNCTION("""COMPUTED_VALUE"""),43908.0)</f>
        <v>43908</v>
      </c>
      <c r="C188" s="6" t="str">
        <f>IFERROR(__xludf.DUMMYFUNCTION("UNIQUE('Raw Data Sales'!H188:H1186 &amp; "" "" &amp; 'Raw Data Sales'!I188:I1186)"),"Berty Risen")</f>
        <v>Berty Risen</v>
      </c>
      <c r="D188" s="6" t="str">
        <f>IFERROR(__xludf.DUMMYFUNCTION("""COMPUTED_VALUE"""),"Herbed Couscous")</f>
        <v>Herbed Couscous</v>
      </c>
      <c r="E188" s="6" t="str">
        <f>'Raw Data Sales'!F188</f>
        <v>Food - Bakery</v>
      </c>
      <c r="F188" s="6">
        <f>'Raw Data Sales'!M188</f>
        <v>31</v>
      </c>
      <c r="G188" s="6">
        <f>'Raw Data Sales'!N188</f>
        <v>5190.72</v>
      </c>
      <c r="H188" s="6" t="str">
        <f>'Raw Data Sales'!O188</f>
        <v>Cash</v>
      </c>
    </row>
    <row r="189">
      <c r="A189" s="6">
        <f>'Raw Data Sales'!A189</f>
        <v>188</v>
      </c>
      <c r="B189" s="8">
        <f>IFERROR(__xludf.DUMMYFUNCTION("""COMPUTED_VALUE"""),44371.0)</f>
        <v>44371</v>
      </c>
      <c r="C189" s="6" t="str">
        <f>IFERROR(__xludf.DUMMYFUNCTION("UNIQUE('Raw Data Sales'!H189:H1187 &amp; "" "" &amp; 'Raw Data Sales'!I189:I1187)"),"Constance Woodyatt")</f>
        <v>Constance Woodyatt</v>
      </c>
      <c r="D189" s="6" t="str">
        <f>IFERROR(__xludf.DUMMYFUNCTION("""COMPUTED_VALUE"""),"Coconut Lime Rice")</f>
        <v>Coconut Lime Rice</v>
      </c>
      <c r="E189" s="6" t="str">
        <f>'Raw Data Sales'!F189</f>
        <v>Food - Snacks</v>
      </c>
      <c r="F189" s="6">
        <f>'Raw Data Sales'!M189</f>
        <v>12</v>
      </c>
      <c r="G189" s="6">
        <f>'Raw Data Sales'!N189</f>
        <v>5470.04</v>
      </c>
      <c r="H189" s="6" t="str">
        <f>'Raw Data Sales'!O189</f>
        <v>Credit Card</v>
      </c>
    </row>
    <row r="190">
      <c r="A190" s="6">
        <f>'Raw Data Sales'!A190</f>
        <v>189</v>
      </c>
      <c r="B190" s="8">
        <f>IFERROR(__xludf.DUMMYFUNCTION("""COMPUTED_VALUE"""),44321.0)</f>
        <v>44321</v>
      </c>
      <c r="C190" s="6" t="str">
        <f>IFERROR(__xludf.DUMMYFUNCTION("UNIQUE('Raw Data Sales'!H190:H1188 &amp; "" "" &amp; 'Raw Data Sales'!I190:I1188)"),"Della Hercock")</f>
        <v>Della Hercock</v>
      </c>
      <c r="D190" s="6" t="str">
        <f>IFERROR(__xludf.DUMMYFUNCTION("""COMPUTED_VALUE"""),"Eco-Friendly Stainless Steel Straws")</f>
        <v>Eco-Friendly Stainless Steel Straws</v>
      </c>
      <c r="E190" s="6" t="str">
        <f>'Raw Data Sales'!F190</f>
        <v>Food - Condiments</v>
      </c>
      <c r="F190" s="6">
        <f>'Raw Data Sales'!M190</f>
        <v>96</v>
      </c>
      <c r="G190" s="6">
        <f>'Raw Data Sales'!N190</f>
        <v>6643.62</v>
      </c>
      <c r="H190" s="6" t="str">
        <f>'Raw Data Sales'!O190</f>
        <v>Cash</v>
      </c>
    </row>
    <row r="191">
      <c r="A191" s="6">
        <f>'Raw Data Sales'!A191</f>
        <v>190</v>
      </c>
      <c r="B191" s="8">
        <f>IFERROR(__xludf.DUMMYFUNCTION("""COMPUTED_VALUE"""),43859.0)</f>
        <v>43859</v>
      </c>
      <c r="C191" s="6" t="str">
        <f>IFERROR(__xludf.DUMMYFUNCTION("UNIQUE('Raw Data Sales'!H191:H1189 &amp; "" "" &amp; 'Raw Data Sales'!I191:I1189)"),"Thorn Cisco")</f>
        <v>Thorn Cisco</v>
      </c>
      <c r="D191" s="6" t="str">
        <f>IFERROR(__xludf.DUMMYFUNCTION("""COMPUTED_VALUE"""),"Cream Cheese")</f>
        <v>Cream Cheese</v>
      </c>
      <c r="E191" s="6" t="str">
        <f>'Raw Data Sales'!F191</f>
        <v>Garden</v>
      </c>
      <c r="F191" s="6">
        <f>'Raw Data Sales'!M191</f>
        <v>75</v>
      </c>
      <c r="G191" s="6">
        <f>'Raw Data Sales'!N191</f>
        <v>6437.31</v>
      </c>
      <c r="H191" s="6" t="str">
        <f>'Raw Data Sales'!O191</f>
        <v>PayPal</v>
      </c>
    </row>
    <row r="192">
      <c r="A192" s="6">
        <f>'Raw Data Sales'!A192</f>
        <v>191</v>
      </c>
      <c r="B192" s="8">
        <f>IFERROR(__xludf.DUMMYFUNCTION("""COMPUTED_VALUE"""),43938.0)</f>
        <v>43938</v>
      </c>
      <c r="C192" s="6" t="str">
        <f>IFERROR(__xludf.DUMMYFUNCTION("UNIQUE('Raw Data Sales'!H192:H1190 &amp; "" "" &amp; 'Raw Data Sales'!I192:I1190)"),"Julia Ketts")</f>
        <v>Julia Ketts</v>
      </c>
      <c r="D192" s="6" t="str">
        <f>IFERROR(__xludf.DUMMYFUNCTION("""COMPUTED_VALUE"""),"Oatmeal Raisin Cookies")</f>
        <v>Oatmeal Raisin Cookies</v>
      </c>
      <c r="E192" s="6" t="str">
        <f>'Raw Data Sales'!F192</f>
        <v>Food - Grains</v>
      </c>
      <c r="F192" s="6">
        <f>'Raw Data Sales'!M192</f>
        <v>10</v>
      </c>
      <c r="G192" s="6">
        <f>'Raw Data Sales'!N192</f>
        <v>3969.24</v>
      </c>
      <c r="H192" s="6" t="str">
        <f>'Raw Data Sales'!O192</f>
        <v>PayPal</v>
      </c>
    </row>
    <row r="193">
      <c r="A193" s="6">
        <f>'Raw Data Sales'!A193</f>
        <v>192</v>
      </c>
      <c r="B193" s="8">
        <f>IFERROR(__xludf.DUMMYFUNCTION("""COMPUTED_VALUE"""),43961.0)</f>
        <v>43961</v>
      </c>
      <c r="C193" s="6" t="str">
        <f>IFERROR(__xludf.DUMMYFUNCTION("UNIQUE('Raw Data Sales'!H193:H1191 &amp; "" "" &amp; 'Raw Data Sales'!I193:I1191)"),"Jillian Jados")</f>
        <v>Jillian Jados</v>
      </c>
      <c r="D193" s="6" t="str">
        <f>IFERROR(__xludf.DUMMYFUNCTION("""COMPUTED_VALUE"""),"Mini Cordless Vacuum Cleaner")</f>
        <v>Mini Cordless Vacuum Cleaner</v>
      </c>
      <c r="E193" s="6" t="str">
        <f>'Raw Data Sales'!F193</f>
        <v>Food - Sides</v>
      </c>
      <c r="F193" s="6">
        <f>'Raw Data Sales'!M193</f>
        <v>66</v>
      </c>
      <c r="G193" s="6">
        <f>'Raw Data Sales'!N193</f>
        <v>7315.87</v>
      </c>
      <c r="H193" s="6" t="str">
        <f>'Raw Data Sales'!O193</f>
        <v>PayPal</v>
      </c>
    </row>
    <row r="194">
      <c r="A194" s="6">
        <f>'Raw Data Sales'!A194</f>
        <v>193</v>
      </c>
      <c r="B194" s="8">
        <f>IFERROR(__xludf.DUMMYFUNCTION("""COMPUTED_VALUE"""),44179.0)</f>
        <v>44179</v>
      </c>
      <c r="C194" s="6" t="str">
        <f>IFERROR(__xludf.DUMMYFUNCTION("UNIQUE('Raw Data Sales'!H194:H1192 &amp; "" "" &amp; 'Raw Data Sales'!I194:I1192)"),"Goldarina Kilkenny")</f>
        <v>Goldarina Kilkenny</v>
      </c>
      <c r="D194" s="6" t="str">
        <f>IFERROR(__xludf.DUMMYFUNCTION("""COMPUTED_VALUE"""),"Rechargeable Electric Toothbrush")</f>
        <v>Rechargeable Electric Toothbrush</v>
      </c>
      <c r="E194" s="6" t="str">
        <f>'Raw Data Sales'!F194</f>
        <v>Kitchen</v>
      </c>
      <c r="F194" s="6">
        <f>'Raw Data Sales'!M194</f>
        <v>86</v>
      </c>
      <c r="G194" s="6">
        <f>'Raw Data Sales'!N194</f>
        <v>1566.33</v>
      </c>
      <c r="H194" s="6" t="str">
        <f>'Raw Data Sales'!O194</f>
        <v>PayPal</v>
      </c>
    </row>
    <row r="195">
      <c r="A195" s="6">
        <f>'Raw Data Sales'!A195</f>
        <v>194</v>
      </c>
      <c r="B195" s="8">
        <f>IFERROR(__xludf.DUMMYFUNCTION("""COMPUTED_VALUE"""),44115.0)</f>
        <v>44115</v>
      </c>
      <c r="C195" s="6" t="str">
        <f>IFERROR(__xludf.DUMMYFUNCTION("UNIQUE('Raw Data Sales'!H195:H1193 &amp; "" "" &amp; 'Raw Data Sales'!I195:I1193)"),"Colet Drake")</f>
        <v>Colet Drake</v>
      </c>
      <c r="D195" s="6" t="str">
        <f>IFERROR(__xludf.DUMMYFUNCTION("""COMPUTED_VALUE"""),"Pasta Salad Kit")</f>
        <v>Pasta Salad Kit</v>
      </c>
      <c r="E195" s="6" t="str">
        <f>'Raw Data Sales'!F195</f>
        <v>Food - Dairy</v>
      </c>
      <c r="F195" s="6">
        <f>'Raw Data Sales'!M195</f>
        <v>15</v>
      </c>
      <c r="G195" s="6">
        <f>'Raw Data Sales'!N195</f>
        <v>2732.35</v>
      </c>
      <c r="H195" s="6" t="str">
        <f>'Raw Data Sales'!O195</f>
        <v>Cash</v>
      </c>
    </row>
    <row r="196">
      <c r="A196" s="6">
        <f>'Raw Data Sales'!A196</f>
        <v>195</v>
      </c>
      <c r="B196" s="8">
        <f>IFERROR(__xludf.DUMMYFUNCTION("""COMPUTED_VALUE"""),44465.0)</f>
        <v>44465</v>
      </c>
      <c r="C196" s="6" t="str">
        <f>IFERROR(__xludf.DUMMYFUNCTION("UNIQUE('Raw Data Sales'!H196:H1194 &amp; "" "" &amp; 'Raw Data Sales'!I196:I1194)"),"Osbourn Dwelly")</f>
        <v>Osbourn Dwelly</v>
      </c>
      <c r="D196" s="6" t="str">
        <f>IFERROR(__xludf.DUMMYFUNCTION("""COMPUTED_VALUE"""),"Warm Knit Beanie")</f>
        <v>Warm Knit Beanie</v>
      </c>
      <c r="E196" s="6" t="str">
        <f>'Raw Data Sales'!F196</f>
        <v>Food - Baked Goods</v>
      </c>
      <c r="F196" s="6">
        <f>'Raw Data Sales'!M196</f>
        <v>59</v>
      </c>
      <c r="G196" s="6">
        <f>'Raw Data Sales'!N196</f>
        <v>2865.02</v>
      </c>
      <c r="H196" s="6" t="str">
        <f>'Raw Data Sales'!O196</f>
        <v>PayPal</v>
      </c>
    </row>
    <row r="197">
      <c r="A197" s="6">
        <f>'Raw Data Sales'!A197</f>
        <v>196</v>
      </c>
      <c r="B197" s="8">
        <f>IFERROR(__xludf.DUMMYFUNCTION("""COMPUTED_VALUE"""),44497.0)</f>
        <v>44497</v>
      </c>
      <c r="C197" s="6" t="str">
        <f>IFERROR(__xludf.DUMMYFUNCTION("UNIQUE('Raw Data Sales'!H197:H1195 &amp; "" "" &amp; 'Raw Data Sales'!I197:I1195)"),"Aymer Doorey")</f>
        <v>Aymer Doorey</v>
      </c>
      <c r="D197" s="6" t="str">
        <f>IFERROR(__xludf.DUMMYFUNCTION("""COMPUTED_VALUE"""),"Rustic Italian Bread")</f>
        <v>Rustic Italian Bread</v>
      </c>
      <c r="E197" s="6" t="str">
        <f>'Raw Data Sales'!F197</f>
        <v>Home Appliances</v>
      </c>
      <c r="F197" s="6">
        <f>'Raw Data Sales'!M197</f>
        <v>73</v>
      </c>
      <c r="G197" s="6">
        <f>'Raw Data Sales'!N197</f>
        <v>1647.6</v>
      </c>
      <c r="H197" s="6" t="str">
        <f>'Raw Data Sales'!O197</f>
        <v>Cash</v>
      </c>
    </row>
    <row r="198">
      <c r="A198" s="6">
        <f>'Raw Data Sales'!A198</f>
        <v>197</v>
      </c>
      <c r="B198" s="8">
        <f>IFERROR(__xludf.DUMMYFUNCTION("""COMPUTED_VALUE"""),43930.0)</f>
        <v>43930</v>
      </c>
      <c r="C198" s="6" t="str">
        <f>IFERROR(__xludf.DUMMYFUNCTION("UNIQUE('Raw Data Sales'!H198:H1196 &amp; "" "" &amp; 'Raw Data Sales'!I198:I1196)"),"Delmar Tebb")</f>
        <v>Delmar Tebb</v>
      </c>
      <c r="D198" s="6" t="str">
        <f>IFERROR(__xludf.DUMMYFUNCTION("""COMPUTED_VALUE"""),"Sweet Chili Sauce")</f>
        <v>Sweet Chili Sauce</v>
      </c>
      <c r="E198" s="6" t="str">
        <f>'Raw Data Sales'!F198</f>
        <v>Health</v>
      </c>
      <c r="F198" s="6">
        <f>'Raw Data Sales'!M198</f>
        <v>98</v>
      </c>
      <c r="G198" s="6">
        <f>'Raw Data Sales'!N198</f>
        <v>3689.11</v>
      </c>
      <c r="H198" s="6" t="str">
        <f>'Raw Data Sales'!O198</f>
        <v>PayPal</v>
      </c>
    </row>
    <row r="199">
      <c r="A199" s="6">
        <f>'Raw Data Sales'!A199</f>
        <v>198</v>
      </c>
      <c r="B199" s="8">
        <f>IFERROR(__xludf.DUMMYFUNCTION("""COMPUTED_VALUE"""),44171.0)</f>
        <v>44171</v>
      </c>
      <c r="C199" s="6" t="str">
        <f>IFERROR(__xludf.DUMMYFUNCTION("UNIQUE('Raw Data Sales'!H199:H1197 &amp; "" "" &amp; 'Raw Data Sales'!I199:I1197)"),"Tyne Peachey")</f>
        <v>Tyne Peachey</v>
      </c>
      <c r="D199" s="6" t="str">
        <f>IFERROR(__xludf.DUMMYFUNCTION("""COMPUTED_VALUE"""),"Raspberry Tart")</f>
        <v>Raspberry Tart</v>
      </c>
      <c r="E199" s="6" t="str">
        <f>'Raw Data Sales'!F199</f>
        <v>Food - Prepared Foods</v>
      </c>
      <c r="F199" s="6">
        <f>'Raw Data Sales'!M199</f>
        <v>14</v>
      </c>
      <c r="G199" s="6">
        <f>'Raw Data Sales'!N199</f>
        <v>7117.57</v>
      </c>
      <c r="H199" s="6" t="str">
        <f>'Raw Data Sales'!O199</f>
        <v>PayPal</v>
      </c>
    </row>
    <row r="200">
      <c r="A200" s="6">
        <f>'Raw Data Sales'!A200</f>
        <v>199</v>
      </c>
      <c r="B200" s="8">
        <f>IFERROR(__xludf.DUMMYFUNCTION("""COMPUTED_VALUE"""),44215.0)</f>
        <v>44215</v>
      </c>
      <c r="C200" s="6" t="str">
        <f>IFERROR(__xludf.DUMMYFUNCTION("UNIQUE('Raw Data Sales'!H200:H1198 &amp; "" "" &amp; 'Raw Data Sales'!I200:I1198)"),"Cacilie Lambin")</f>
        <v>Cacilie Lambin</v>
      </c>
      <c r="D200" s="6" t="str">
        <f>IFERROR(__xludf.DUMMYFUNCTION("""COMPUTED_VALUE"""),"LED Flashlight")</f>
        <v>LED Flashlight</v>
      </c>
      <c r="E200" s="6" t="str">
        <f>'Raw Data Sales'!F200</f>
        <v>Clothing - Accessories</v>
      </c>
      <c r="F200" s="6">
        <f>'Raw Data Sales'!M200</f>
        <v>84</v>
      </c>
      <c r="G200" s="6">
        <f>'Raw Data Sales'!N200</f>
        <v>2696.56</v>
      </c>
      <c r="H200" s="6" t="str">
        <f>'Raw Data Sales'!O200</f>
        <v>Credit Card</v>
      </c>
    </row>
    <row r="201">
      <c r="A201" s="6">
        <f>'Raw Data Sales'!A201</f>
        <v>200</v>
      </c>
      <c r="B201" s="8">
        <f>IFERROR(__xludf.DUMMYFUNCTION("""COMPUTED_VALUE"""),43988.0)</f>
        <v>43988</v>
      </c>
      <c r="C201" s="6" t="str">
        <f>IFERROR(__xludf.DUMMYFUNCTION("UNIQUE('Raw Data Sales'!H201:H1199 &amp; "" "" &amp; 'Raw Data Sales'!I201:I1199)"),"Constancy Ogdahl")</f>
        <v>Constancy Ogdahl</v>
      </c>
      <c r="D201" s="6" t="str">
        <f>IFERROR(__xludf.DUMMYFUNCTION("""COMPUTED_VALUE"""),"Pet Safety Harness")</f>
        <v>Pet Safety Harness</v>
      </c>
      <c r="E201" s="6" t="str">
        <f>'Raw Data Sales'!F201</f>
        <v>Food - Bakery</v>
      </c>
      <c r="F201" s="6">
        <f>'Raw Data Sales'!M201</f>
        <v>99</v>
      </c>
      <c r="G201" s="6">
        <f>'Raw Data Sales'!N201</f>
        <v>8048.39</v>
      </c>
      <c r="H201" s="6" t="str">
        <f>'Raw Data Sales'!O201</f>
        <v>Cash</v>
      </c>
    </row>
    <row r="202">
      <c r="A202" s="6">
        <f>'Raw Data Sales'!A202</f>
        <v>201</v>
      </c>
      <c r="B202" s="8">
        <f>IFERROR(__xludf.DUMMYFUNCTION("""COMPUTED_VALUE"""),44001.0)</f>
        <v>44001</v>
      </c>
      <c r="C202" s="6" t="str">
        <f>IFERROR(__xludf.DUMMYFUNCTION("UNIQUE('Raw Data Sales'!H202:H1200 &amp; "" "" &amp; 'Raw Data Sales'!I202:I1200)"),"Colly Dillamore")</f>
        <v>Colly Dillamore</v>
      </c>
      <c r="D202" s="6" t="str">
        <f>IFERROR(__xludf.DUMMYFUNCTION("""COMPUTED_VALUE"""),"Fashionable Fanny Pack")</f>
        <v>Fashionable Fanny Pack</v>
      </c>
      <c r="E202" s="6" t="str">
        <f>'Raw Data Sales'!F202</f>
        <v>Food - Condiments</v>
      </c>
      <c r="F202" s="6">
        <f>'Raw Data Sales'!M202</f>
        <v>39</v>
      </c>
      <c r="G202" s="6">
        <f>'Raw Data Sales'!N202</f>
        <v>9253.04</v>
      </c>
      <c r="H202" s="6" t="str">
        <f>'Raw Data Sales'!O202</f>
        <v>PayPal</v>
      </c>
    </row>
    <row r="203">
      <c r="A203" s="6">
        <f>'Raw Data Sales'!A203</f>
        <v>202</v>
      </c>
      <c r="B203" s="8">
        <f>IFERROR(__xludf.DUMMYFUNCTION("""COMPUTED_VALUE"""),44073.0)</f>
        <v>44073</v>
      </c>
      <c r="C203" s="6" t="str">
        <f>IFERROR(__xludf.DUMMYFUNCTION("UNIQUE('Raw Data Sales'!H203:H1201 &amp; "" "" &amp; 'Raw Data Sales'!I203:I1201)"),"Kimberlyn Forsard")</f>
        <v>Kimberlyn Forsard</v>
      </c>
      <c r="D203" s="6" t="str">
        <f>IFERROR(__xludf.DUMMYFUNCTION("""COMPUTED_VALUE"""),"Silicone Ice Cube Tray")</f>
        <v>Silicone Ice Cube Tray</v>
      </c>
      <c r="E203" s="6" t="str">
        <f>'Raw Data Sales'!F203</f>
        <v>Food - Baked Goods</v>
      </c>
      <c r="F203" s="6">
        <f>'Raw Data Sales'!M203</f>
        <v>58</v>
      </c>
      <c r="G203" s="6">
        <f>'Raw Data Sales'!N203</f>
        <v>9089.29</v>
      </c>
      <c r="H203" s="6" t="str">
        <f>'Raw Data Sales'!O203</f>
        <v>Credit Card</v>
      </c>
    </row>
    <row r="204">
      <c r="A204" s="6">
        <f>'Raw Data Sales'!A204</f>
        <v>203</v>
      </c>
      <c r="B204" s="8">
        <f>IFERROR(__xludf.DUMMYFUNCTION("""COMPUTED_VALUE"""),44084.0)</f>
        <v>44084</v>
      </c>
      <c r="C204" s="6" t="str">
        <f>IFERROR(__xludf.DUMMYFUNCTION("UNIQUE('Raw Data Sales'!H204:H1202 &amp; "" "" &amp; 'Raw Data Sales'!I204:I1202)"),"Carlie Hannah")</f>
        <v>Carlie Hannah</v>
      </c>
      <c r="D204" s="6" t="str">
        <f>IFERROR(__xludf.DUMMYFUNCTION("""COMPUTED_VALUE"""),"Maple Pecan Pancake Mix")</f>
        <v>Maple Pecan Pancake Mix</v>
      </c>
      <c r="E204" s="6" t="str">
        <f>'Raw Data Sales'!F204</f>
        <v>Automotive</v>
      </c>
      <c r="F204" s="6">
        <f>'Raw Data Sales'!M204</f>
        <v>15</v>
      </c>
      <c r="G204" s="6">
        <f>'Raw Data Sales'!N204</f>
        <v>755.1</v>
      </c>
      <c r="H204" s="6" t="str">
        <f>'Raw Data Sales'!O204</f>
        <v>PayPal</v>
      </c>
    </row>
    <row r="205">
      <c r="A205" s="6">
        <f>'Raw Data Sales'!A205</f>
        <v>204</v>
      </c>
      <c r="B205" s="8">
        <f>IFERROR(__xludf.DUMMYFUNCTION("""COMPUTED_VALUE"""),44306.0)</f>
        <v>44306</v>
      </c>
      <c r="C205" s="6" t="str">
        <f>IFERROR(__xludf.DUMMYFUNCTION("UNIQUE('Raw Data Sales'!H205:H1203 &amp; "" "" &amp; 'Raw Data Sales'!I205:I1203)"),"Jolee Capaldi")</f>
        <v>Jolee Capaldi</v>
      </c>
      <c r="D205" s="6" t="str">
        <f>IFERROR(__xludf.DUMMYFUNCTION("""COMPUTED_VALUE"""),"Canned Sardines")</f>
        <v>Canned Sardines</v>
      </c>
      <c r="E205" s="6" t="str">
        <f>'Raw Data Sales'!F205</f>
        <v>Outdoor</v>
      </c>
      <c r="F205" s="6">
        <f>'Raw Data Sales'!M205</f>
        <v>75</v>
      </c>
      <c r="G205" s="6">
        <f>'Raw Data Sales'!N205</f>
        <v>9730.61</v>
      </c>
      <c r="H205" s="6" t="str">
        <f>'Raw Data Sales'!O205</f>
        <v>Credit Card</v>
      </c>
    </row>
    <row r="206">
      <c r="A206" s="6">
        <f>'Raw Data Sales'!A206</f>
        <v>205</v>
      </c>
      <c r="B206" s="8">
        <f>IFERROR(__xludf.DUMMYFUNCTION("""COMPUTED_VALUE"""),44051.0)</f>
        <v>44051</v>
      </c>
      <c r="C206" s="6" t="str">
        <f>IFERROR(__xludf.DUMMYFUNCTION("UNIQUE('Raw Data Sales'!H206:H1204 &amp; "" "" &amp; 'Raw Data Sales'!I206:I1204)"),"Clarice Segeswoeth")</f>
        <v>Clarice Segeswoeth</v>
      </c>
      <c r="D206" s="6" t="str">
        <f>IFERROR(__xludf.DUMMYFUNCTION("""COMPUTED_VALUE"""),"Sliced Olives")</f>
        <v>Sliced Olives</v>
      </c>
      <c r="E206" s="6" t="str">
        <f>'Raw Data Sales'!F206</f>
        <v>Pets</v>
      </c>
      <c r="F206" s="6">
        <f>'Raw Data Sales'!M206</f>
        <v>37</v>
      </c>
      <c r="G206" s="6">
        <f>'Raw Data Sales'!N206</f>
        <v>3563.16</v>
      </c>
      <c r="H206" s="6" t="str">
        <f>'Raw Data Sales'!O206</f>
        <v>PayPal</v>
      </c>
    </row>
    <row r="207">
      <c r="A207" s="6">
        <f>'Raw Data Sales'!A207</f>
        <v>206</v>
      </c>
      <c r="B207" s="8">
        <f>IFERROR(__xludf.DUMMYFUNCTION("""COMPUTED_VALUE"""),44261.0)</f>
        <v>44261</v>
      </c>
      <c r="C207" s="6" t="str">
        <f>IFERROR(__xludf.DUMMYFUNCTION("UNIQUE('Raw Data Sales'!H207:H1205 &amp; "" "" &amp; 'Raw Data Sales'!I207:I1205)"),"Marline Comley")</f>
        <v>Marline Comley</v>
      </c>
      <c r="D207" s="6" t="str">
        <f>IFERROR(__xludf.DUMMYFUNCTION("""COMPUTED_VALUE"""),"Savory Quinoa Pudding")</f>
        <v>Savory Quinoa Pudding</v>
      </c>
      <c r="E207" s="6" t="str">
        <f>'Raw Data Sales'!F207</f>
        <v>Clothing - Accessories</v>
      </c>
      <c r="F207" s="6">
        <f>'Raw Data Sales'!M207</f>
        <v>65</v>
      </c>
      <c r="G207" s="6">
        <f>'Raw Data Sales'!N207</f>
        <v>6831.51</v>
      </c>
      <c r="H207" s="6" t="str">
        <f>'Raw Data Sales'!O207</f>
        <v>Cash</v>
      </c>
    </row>
    <row r="208">
      <c r="A208" s="6">
        <f>'Raw Data Sales'!A208</f>
        <v>207</v>
      </c>
      <c r="B208" s="8">
        <f>IFERROR(__xludf.DUMMYFUNCTION("""COMPUTED_VALUE"""),43889.0)</f>
        <v>43889</v>
      </c>
      <c r="C208" s="6" t="str">
        <f>IFERROR(__xludf.DUMMYFUNCTION("UNIQUE('Raw Data Sales'!H208:H1206 &amp; "" "" &amp; 'Raw Data Sales'!I208:I1206)"),"Shell Yurocjkin")</f>
        <v>Shell Yurocjkin</v>
      </c>
      <c r="D208" s="6" t="str">
        <f>IFERROR(__xludf.DUMMYFUNCTION("""COMPUTED_VALUE"""),"Herbal Garden Starter Kit")</f>
        <v>Herbal Garden Starter Kit</v>
      </c>
      <c r="E208" s="6" t="str">
        <f>'Raw Data Sales'!F208</f>
        <v>Kitchen</v>
      </c>
      <c r="F208" s="6">
        <f>'Raw Data Sales'!M208</f>
        <v>74</v>
      </c>
      <c r="G208" s="6">
        <f>'Raw Data Sales'!N208</f>
        <v>7047.33</v>
      </c>
      <c r="H208" s="6" t="str">
        <f>'Raw Data Sales'!O208</f>
        <v>Cash</v>
      </c>
    </row>
    <row r="209">
      <c r="A209" s="6">
        <f>'Raw Data Sales'!A209</f>
        <v>208</v>
      </c>
      <c r="B209" s="8">
        <f>IFERROR(__xludf.DUMMYFUNCTION("""COMPUTED_VALUE"""),44009.0)</f>
        <v>44009</v>
      </c>
      <c r="C209" s="6" t="str">
        <f>IFERROR(__xludf.DUMMYFUNCTION("UNIQUE('Raw Data Sales'!H209:H1207 &amp; "" "" &amp; 'Raw Data Sales'!I209:I1207)"),"Solomon Cella")</f>
        <v>Solomon Cella</v>
      </c>
      <c r="D209" s="6" t="str">
        <f>IFERROR(__xludf.DUMMYFUNCTION("""COMPUTED_VALUE"""),"Avocado Oil")</f>
        <v>Avocado Oil</v>
      </c>
      <c r="E209" s="6" t="str">
        <f>'Raw Data Sales'!F209</f>
        <v>Food - Breakfast</v>
      </c>
      <c r="F209" s="6">
        <f>'Raw Data Sales'!M209</f>
        <v>58</v>
      </c>
      <c r="G209" s="6">
        <f>'Raw Data Sales'!N209</f>
        <v>2552.5</v>
      </c>
      <c r="H209" s="6" t="str">
        <f>'Raw Data Sales'!O209</f>
        <v>Cash</v>
      </c>
    </row>
    <row r="210">
      <c r="A210" s="6">
        <f>'Raw Data Sales'!A210</f>
        <v>209</v>
      </c>
      <c r="B210" s="8">
        <f>IFERROR(__xludf.DUMMYFUNCTION("""COMPUTED_VALUE"""),43974.0)</f>
        <v>43974</v>
      </c>
      <c r="C210" s="6" t="str">
        <f>IFERROR(__xludf.DUMMYFUNCTION("UNIQUE('Raw Data Sales'!H210:H1208 &amp; "" "" &amp; 'Raw Data Sales'!I210:I1208)"),"Jone Lake")</f>
        <v>Jone Lake</v>
      </c>
      <c r="D210" s="6" t="str">
        <f>IFERROR(__xludf.DUMMYFUNCTION("""COMPUTED_VALUE"""),"Folding Pocket Knife")</f>
        <v>Folding Pocket Knife</v>
      </c>
      <c r="E210" s="6" t="str">
        <f>'Raw Data Sales'!F210</f>
        <v>Food - Seafood</v>
      </c>
      <c r="F210" s="6">
        <f>'Raw Data Sales'!M210</f>
        <v>41</v>
      </c>
      <c r="G210" s="6">
        <f>'Raw Data Sales'!N210</f>
        <v>6094.4</v>
      </c>
      <c r="H210" s="6" t="str">
        <f>'Raw Data Sales'!O210</f>
        <v>Credit Card</v>
      </c>
    </row>
    <row r="211">
      <c r="A211" s="6">
        <f>'Raw Data Sales'!A211</f>
        <v>210</v>
      </c>
      <c r="B211" s="8">
        <f>IFERROR(__xludf.DUMMYFUNCTION("""COMPUTED_VALUE"""),43920.0)</f>
        <v>43920</v>
      </c>
      <c r="C211" s="6" t="str">
        <f>IFERROR(__xludf.DUMMYFUNCTION("UNIQUE('Raw Data Sales'!H211:H1209 &amp; "" "" &amp; 'Raw Data Sales'!I211:I1209)"),"Isabelle Rawls")</f>
        <v>Isabelle Rawls</v>
      </c>
      <c r="D211" s="6" t="str">
        <f>IFERROR(__xludf.DUMMYFUNCTION("""COMPUTED_VALUE"""),"Cacao Powder")</f>
        <v>Cacao Powder</v>
      </c>
      <c r="E211" s="6" t="str">
        <f>'Raw Data Sales'!F211</f>
        <v>Food - Condiments</v>
      </c>
      <c r="F211" s="6">
        <f>'Raw Data Sales'!M211</f>
        <v>87</v>
      </c>
      <c r="G211" s="6">
        <f>'Raw Data Sales'!N211</f>
        <v>709.44</v>
      </c>
      <c r="H211" s="6" t="str">
        <f>'Raw Data Sales'!O211</f>
        <v>Cash</v>
      </c>
    </row>
    <row r="212">
      <c r="A212" s="6">
        <f>'Raw Data Sales'!A212</f>
        <v>211</v>
      </c>
      <c r="B212" s="8">
        <f>IFERROR(__xludf.DUMMYFUNCTION("""COMPUTED_VALUE"""),44425.0)</f>
        <v>44425</v>
      </c>
      <c r="C212" s="6" t="str">
        <f>IFERROR(__xludf.DUMMYFUNCTION("UNIQUE('Raw Data Sales'!H212:H1210 &amp; "" "" &amp; 'Raw Data Sales'!I212:I1210)"),"Jodee Norgate")</f>
        <v>Jodee Norgate</v>
      </c>
      <c r="D212" s="6" t="str">
        <f>IFERROR(__xludf.DUMMYFUNCTION("""COMPUTED_VALUE"""),"Stainless Steel Water Pitcher")</f>
        <v>Stainless Steel Water Pitcher</v>
      </c>
      <c r="E212" s="6" t="str">
        <f>'Raw Data Sales'!F212</f>
        <v>Food - Sides</v>
      </c>
      <c r="F212" s="6">
        <f>'Raw Data Sales'!M212</f>
        <v>62</v>
      </c>
      <c r="G212" s="6">
        <f>'Raw Data Sales'!N212</f>
        <v>6945.86</v>
      </c>
      <c r="H212" s="6" t="str">
        <f>'Raw Data Sales'!O212</f>
        <v>Cash</v>
      </c>
    </row>
    <row r="213">
      <c r="A213" s="6">
        <f>'Raw Data Sales'!A213</f>
        <v>212</v>
      </c>
      <c r="B213" s="8">
        <f>IFERROR(__xludf.DUMMYFUNCTION("""COMPUTED_VALUE"""),44002.0)</f>
        <v>44002</v>
      </c>
      <c r="C213" s="6" t="str">
        <f>IFERROR(__xludf.DUMMYFUNCTION("UNIQUE('Raw Data Sales'!H213:H1211 &amp; "" "" &amp; 'Raw Data Sales'!I213:I1211)"),"Puff Muckleston")</f>
        <v>Puff Muckleston</v>
      </c>
      <c r="D213" s="6" t="str">
        <f>IFERROR(__xludf.DUMMYFUNCTION("""COMPUTED_VALUE"""),"Sweetened Condensed Milk")</f>
        <v>Sweetened Condensed Milk</v>
      </c>
      <c r="E213" s="6" t="str">
        <f>'Raw Data Sales'!F213</f>
        <v>Garden</v>
      </c>
      <c r="F213" s="6">
        <f>'Raw Data Sales'!M213</f>
        <v>97</v>
      </c>
      <c r="G213" s="6">
        <f>'Raw Data Sales'!N213</f>
        <v>2662.75</v>
      </c>
      <c r="H213" s="6" t="str">
        <f>'Raw Data Sales'!O213</f>
        <v>Credit Card</v>
      </c>
    </row>
    <row r="214">
      <c r="A214" s="6">
        <f>'Raw Data Sales'!A214</f>
        <v>213</v>
      </c>
      <c r="B214" s="8">
        <f>IFERROR(__xludf.DUMMYFUNCTION("""COMPUTED_VALUE"""),44343.0)</f>
        <v>44343</v>
      </c>
      <c r="C214" s="6" t="str">
        <f>IFERROR(__xludf.DUMMYFUNCTION("UNIQUE('Raw Data Sales'!H214:H1212 &amp; "" "" &amp; 'Raw Data Sales'!I214:I1212)"),"Francois Roskelly")</f>
        <v>Francois Roskelly</v>
      </c>
      <c r="D214" s="6" t="str">
        <f>IFERROR(__xludf.DUMMYFUNCTION("""COMPUTED_VALUE"""),"Classic Cheesecake Mix")</f>
        <v>Classic Cheesecake Mix</v>
      </c>
      <c r="E214" s="6" t="str">
        <f>'Raw Data Sales'!F214</f>
        <v>Food - Oils</v>
      </c>
      <c r="F214" s="6">
        <f>'Raw Data Sales'!M214</f>
        <v>90</v>
      </c>
      <c r="G214" s="6">
        <f>'Raw Data Sales'!N214</f>
        <v>3449.56</v>
      </c>
      <c r="H214" s="6" t="str">
        <f>'Raw Data Sales'!O214</f>
        <v>Cash</v>
      </c>
    </row>
    <row r="215">
      <c r="A215" s="6">
        <f>'Raw Data Sales'!A215</f>
        <v>214</v>
      </c>
      <c r="B215" s="8">
        <f>IFERROR(__xludf.DUMMYFUNCTION("""COMPUTED_VALUE"""),43912.0)</f>
        <v>43912</v>
      </c>
      <c r="C215" s="6" t="str">
        <f>IFERROR(__xludf.DUMMYFUNCTION("UNIQUE('Raw Data Sales'!H215:H1213 &amp; "" "" &amp; 'Raw Data Sales'!I215:I1213)"),"Diarmid Caudle")</f>
        <v>Diarmid Caudle</v>
      </c>
      <c r="D215" s="6" t="str">
        <f>IFERROR(__xludf.DUMMYFUNCTION("""COMPUTED_VALUE"""),"Cooking Utensil Set")</f>
        <v>Cooking Utensil Set</v>
      </c>
      <c r="E215" s="6" t="str">
        <f>'Raw Data Sales'!F215</f>
        <v>Tools</v>
      </c>
      <c r="F215" s="6">
        <f>'Raw Data Sales'!M215</f>
        <v>83</v>
      </c>
      <c r="G215" s="6">
        <f>'Raw Data Sales'!N215</f>
        <v>2286.7</v>
      </c>
      <c r="H215" s="6" t="str">
        <f>'Raw Data Sales'!O215</f>
        <v>Cash</v>
      </c>
    </row>
    <row r="216">
      <c r="A216" s="6">
        <f>'Raw Data Sales'!A216</f>
        <v>215</v>
      </c>
      <c r="B216" s="8">
        <f>IFERROR(__xludf.DUMMYFUNCTION("""COMPUTED_VALUE"""),44118.0)</f>
        <v>44118</v>
      </c>
      <c r="C216" s="6" t="str">
        <f>IFERROR(__xludf.DUMMYFUNCTION("UNIQUE('Raw Data Sales'!H216:H1214 &amp; "" "" &amp; 'Raw Data Sales'!I216:I1214)"),"Cecilio Stebbings")</f>
        <v>Cecilio Stebbings</v>
      </c>
      <c r="D216" s="6" t="str">
        <f>IFERROR(__xludf.DUMMYFUNCTION("""COMPUTED_VALUE"""),"Eco-Friendly Cleaning Cloths")</f>
        <v>Eco-Friendly Cleaning Cloths</v>
      </c>
      <c r="E216" s="6" t="str">
        <f>'Raw Data Sales'!F216</f>
        <v>Food - Baking</v>
      </c>
      <c r="F216" s="6">
        <f>'Raw Data Sales'!M216</f>
        <v>76</v>
      </c>
      <c r="G216" s="6">
        <f>'Raw Data Sales'!N216</f>
        <v>7605.66</v>
      </c>
      <c r="H216" s="6" t="str">
        <f>'Raw Data Sales'!O216</f>
        <v>Cash</v>
      </c>
    </row>
    <row r="217">
      <c r="A217" s="6">
        <f>'Raw Data Sales'!A217</f>
        <v>216</v>
      </c>
      <c r="B217" s="8">
        <f>IFERROR(__xludf.DUMMYFUNCTION("""COMPUTED_VALUE"""),43948.0)</f>
        <v>43948</v>
      </c>
      <c r="C217" s="6" t="str">
        <f>IFERROR(__xludf.DUMMYFUNCTION("UNIQUE('Raw Data Sales'!H217:H1215 &amp; "" "" &amp; 'Raw Data Sales'!I217:I1215)"),"Julia Keelinge")</f>
        <v>Julia Keelinge</v>
      </c>
      <c r="D217" s="6" t="str">
        <f>IFERROR(__xludf.DUMMYFUNCTION("""COMPUTED_VALUE"""),"Buffalo Sauce")</f>
        <v>Buffalo Sauce</v>
      </c>
      <c r="E217" s="6" t="str">
        <f>'Raw Data Sales'!F217</f>
        <v>Kitchen</v>
      </c>
      <c r="F217" s="6">
        <f>'Raw Data Sales'!M217</f>
        <v>79</v>
      </c>
      <c r="G217" s="6">
        <f>'Raw Data Sales'!N217</f>
        <v>3277.69</v>
      </c>
      <c r="H217" s="6" t="str">
        <f>'Raw Data Sales'!O217</f>
        <v>PayPal</v>
      </c>
    </row>
    <row r="218">
      <c r="A218" s="6">
        <f>'Raw Data Sales'!A218</f>
        <v>217</v>
      </c>
      <c r="B218" s="8">
        <f>IFERROR(__xludf.DUMMYFUNCTION("""COMPUTED_VALUE"""),43965.0)</f>
        <v>43965</v>
      </c>
      <c r="C218" s="6" t="str">
        <f>IFERROR(__xludf.DUMMYFUNCTION("UNIQUE('Raw Data Sales'!H218:H1216 &amp; "" "" &amp; 'Raw Data Sales'!I218:I1216)"),"Arvin Hyndson")</f>
        <v>Arvin Hyndson</v>
      </c>
      <c r="D218" s="6" t="str">
        <f>IFERROR(__xludf.DUMMYFUNCTION("""COMPUTED_VALUE"""),"Dog Car Seat Cover")</f>
        <v>Dog Car Seat Cover</v>
      </c>
      <c r="E218" s="6" t="str">
        <f>'Raw Data Sales'!F218</f>
        <v>Food - Baking Goods</v>
      </c>
      <c r="F218" s="6">
        <f>'Raw Data Sales'!M218</f>
        <v>61</v>
      </c>
      <c r="G218" s="6">
        <f>'Raw Data Sales'!N218</f>
        <v>8907.42</v>
      </c>
      <c r="H218" s="6" t="str">
        <f>'Raw Data Sales'!O218</f>
        <v>Cash</v>
      </c>
    </row>
    <row r="219">
      <c r="A219" s="6">
        <f>'Raw Data Sales'!A219</f>
        <v>218</v>
      </c>
      <c r="B219" s="8">
        <f>IFERROR(__xludf.DUMMYFUNCTION("""COMPUTED_VALUE"""),44543.0)</f>
        <v>44543</v>
      </c>
      <c r="C219" s="6" t="str">
        <f>IFERROR(__xludf.DUMMYFUNCTION("UNIQUE('Raw Data Sales'!H219:H1217 &amp; "" "" &amp; 'Raw Data Sales'!I219:I1217)"),"Martha Litzmann")</f>
        <v>Martha Litzmann</v>
      </c>
      <c r="D219" s="6" t="str">
        <f>IFERROR(__xludf.DUMMYFUNCTION("""COMPUTED_VALUE"""),"Art Supplies Organizer")</f>
        <v>Art Supplies Organizer</v>
      </c>
      <c r="E219" s="6" t="str">
        <f>'Raw Data Sales'!F219</f>
        <v>Food - Desserts</v>
      </c>
      <c r="F219" s="6">
        <f>'Raw Data Sales'!M219</f>
        <v>19</v>
      </c>
      <c r="G219" s="6">
        <f>'Raw Data Sales'!N219</f>
        <v>276.53</v>
      </c>
      <c r="H219" s="6" t="str">
        <f>'Raw Data Sales'!O219</f>
        <v>PayPal</v>
      </c>
    </row>
    <row r="220">
      <c r="A220" s="6">
        <f>'Raw Data Sales'!A220</f>
        <v>219</v>
      </c>
      <c r="B220" s="8">
        <f>IFERROR(__xludf.DUMMYFUNCTION("""COMPUTED_VALUE"""),44167.0)</f>
        <v>44167</v>
      </c>
      <c r="C220" s="6" t="str">
        <f>IFERROR(__xludf.DUMMYFUNCTION("UNIQUE('Raw Data Sales'!H220:H1218 &amp; "" "" &amp; 'Raw Data Sales'!I220:I1218)"),"Laurie Vinten")</f>
        <v>Laurie Vinten</v>
      </c>
      <c r="D220" s="6" t="str">
        <f>IFERROR(__xludf.DUMMYFUNCTION("""COMPUTED_VALUE"""),"Oven Thermometer")</f>
        <v>Oven Thermometer</v>
      </c>
      <c r="E220" s="6" t="str">
        <f>'Raw Data Sales'!F220</f>
        <v>Kitchen</v>
      </c>
      <c r="F220" s="6">
        <f>'Raw Data Sales'!M220</f>
        <v>49</v>
      </c>
      <c r="G220" s="6">
        <f>'Raw Data Sales'!N220</f>
        <v>5153.01</v>
      </c>
      <c r="H220" s="6" t="str">
        <f>'Raw Data Sales'!O220</f>
        <v>Cash</v>
      </c>
    </row>
    <row r="221">
      <c r="A221" s="6">
        <f>'Raw Data Sales'!A221</f>
        <v>220</v>
      </c>
      <c r="B221" s="8">
        <f>IFERROR(__xludf.DUMMYFUNCTION("""COMPUTED_VALUE"""),43910.0)</f>
        <v>43910</v>
      </c>
      <c r="C221" s="6" t="str">
        <f>IFERROR(__xludf.DUMMYFUNCTION("UNIQUE('Raw Data Sales'!H221:H1219 &amp; "" "" &amp; 'Raw Data Sales'!I221:I1219)"),"Philippine Solon")</f>
        <v>Philippine Solon</v>
      </c>
      <c r="D221" s="6" t="str">
        <f>IFERROR(__xludf.DUMMYFUNCTION("""COMPUTED_VALUE"""),"Chicken Fajita Kit")</f>
        <v>Chicken Fajita Kit</v>
      </c>
      <c r="E221" s="6" t="str">
        <f>'Raw Data Sales'!F221</f>
        <v>Home</v>
      </c>
      <c r="F221" s="6">
        <f>'Raw Data Sales'!M221</f>
        <v>51</v>
      </c>
      <c r="G221" s="6">
        <f>'Raw Data Sales'!N221</f>
        <v>1270.98</v>
      </c>
      <c r="H221" s="6" t="str">
        <f>'Raw Data Sales'!O221</f>
        <v>PayPal</v>
      </c>
    </row>
    <row r="222">
      <c r="A222" s="6">
        <f>'Raw Data Sales'!A222</f>
        <v>221</v>
      </c>
      <c r="B222" s="8">
        <f>IFERROR(__xludf.DUMMYFUNCTION("""COMPUTED_VALUE"""),44102.0)</f>
        <v>44102</v>
      </c>
      <c r="C222" s="6" t="str">
        <f>IFERROR(__xludf.DUMMYFUNCTION("UNIQUE('Raw Data Sales'!H222:H1220 &amp; "" "" &amp; 'Raw Data Sales'!I222:I1220)"),"Milli Stonier")</f>
        <v>Milli Stonier</v>
      </c>
      <c r="D222" s="6" t="str">
        <f>IFERROR(__xludf.DUMMYFUNCTION("""COMPUTED_VALUE"""),"Pet Leash")</f>
        <v>Pet Leash</v>
      </c>
      <c r="E222" s="6" t="str">
        <f>'Raw Data Sales'!F222</f>
        <v>Food - Condiments</v>
      </c>
      <c r="F222" s="6">
        <f>'Raw Data Sales'!M222</f>
        <v>94</v>
      </c>
      <c r="G222" s="6">
        <f>'Raw Data Sales'!N222</f>
        <v>1545.21</v>
      </c>
      <c r="H222" s="6" t="str">
        <f>'Raw Data Sales'!O222</f>
        <v>Credit Card</v>
      </c>
    </row>
    <row r="223">
      <c r="A223" s="6">
        <f>'Raw Data Sales'!A223</f>
        <v>222</v>
      </c>
      <c r="B223" s="8">
        <f>IFERROR(__xludf.DUMMYFUNCTION("""COMPUTED_VALUE"""),43976.0)</f>
        <v>43976</v>
      </c>
      <c r="C223" s="6" t="str">
        <f>IFERROR(__xludf.DUMMYFUNCTION("UNIQUE('Raw Data Sales'!H223:H1221 &amp; "" "" &amp; 'Raw Data Sales'!I223:I1221)"),"Kenneth Tremontana")</f>
        <v>Kenneth Tremontana</v>
      </c>
      <c r="D223" s="6" t="str">
        <f>IFERROR(__xludf.DUMMYFUNCTION("""COMPUTED_VALUE"""),"Electric Stool Heater")</f>
        <v>Electric Stool Heater</v>
      </c>
      <c r="E223" s="6" t="str">
        <f>'Raw Data Sales'!F223</f>
        <v>Pets</v>
      </c>
      <c r="F223" s="6">
        <f>'Raw Data Sales'!M223</f>
        <v>90</v>
      </c>
      <c r="G223" s="6">
        <f>'Raw Data Sales'!N223</f>
        <v>961.19</v>
      </c>
      <c r="H223" s="6" t="str">
        <f>'Raw Data Sales'!O223</f>
        <v>PayPal</v>
      </c>
    </row>
    <row r="224">
      <c r="A224" s="6">
        <f>'Raw Data Sales'!A224</f>
        <v>223</v>
      </c>
      <c r="B224" s="8">
        <f>IFERROR(__xludf.DUMMYFUNCTION("""COMPUTED_VALUE"""),44356.0)</f>
        <v>44356</v>
      </c>
      <c r="C224" s="6" t="str">
        <f>IFERROR(__xludf.DUMMYFUNCTION("UNIQUE('Raw Data Sales'!H224:H1222 &amp; "" "" &amp; 'Raw Data Sales'!I224:I1222)"),"Tani Antczak")</f>
        <v>Tani Antczak</v>
      </c>
      <c r="D224" s="6" t="str">
        <f>IFERROR(__xludf.DUMMYFUNCTION("""COMPUTED_VALUE"""),"Suede Ankle Booties")</f>
        <v>Suede Ankle Booties</v>
      </c>
      <c r="E224" s="6" t="str">
        <f>'Raw Data Sales'!F224</f>
        <v>Art Supplies</v>
      </c>
      <c r="F224" s="6">
        <f>'Raw Data Sales'!M224</f>
        <v>86</v>
      </c>
      <c r="G224" s="6">
        <f>'Raw Data Sales'!N224</f>
        <v>5352.96</v>
      </c>
      <c r="H224" s="6" t="str">
        <f>'Raw Data Sales'!O224</f>
        <v>Cash</v>
      </c>
    </row>
    <row r="225">
      <c r="A225" s="6">
        <f>'Raw Data Sales'!A225</f>
        <v>224</v>
      </c>
      <c r="B225" s="8">
        <f>IFERROR(__xludf.DUMMYFUNCTION("""COMPUTED_VALUE"""),44452.0)</f>
        <v>44452</v>
      </c>
      <c r="C225" s="6" t="str">
        <f>IFERROR(__xludf.DUMMYFUNCTION("UNIQUE('Raw Data Sales'!H225:H1223 &amp; "" "" &amp; 'Raw Data Sales'!I225:I1223)"),"Hilda Bisgrove")</f>
        <v>Hilda Bisgrove</v>
      </c>
      <c r="D225" s="6" t="str">
        <f>IFERROR(__xludf.DUMMYFUNCTION("""COMPUTED_VALUE"""),"Coconut Chia Pudding")</f>
        <v>Coconut Chia Pudding</v>
      </c>
      <c r="E225" s="6" t="str">
        <f>'Raw Data Sales'!F225</f>
        <v>Kitchen</v>
      </c>
      <c r="F225" s="6">
        <f>'Raw Data Sales'!M225</f>
        <v>63</v>
      </c>
      <c r="G225" s="6">
        <f>'Raw Data Sales'!N225</f>
        <v>4015.22</v>
      </c>
      <c r="H225" s="6" t="str">
        <f>'Raw Data Sales'!O225</f>
        <v>Credit Card</v>
      </c>
    </row>
    <row r="226">
      <c r="A226" s="6">
        <f>'Raw Data Sales'!A226</f>
        <v>225</v>
      </c>
      <c r="B226" s="8">
        <f>IFERROR(__xludf.DUMMYFUNCTION("""COMPUTED_VALUE"""),43964.0)</f>
        <v>43964</v>
      </c>
      <c r="C226" s="6" t="str">
        <f>IFERROR(__xludf.DUMMYFUNCTION("UNIQUE('Raw Data Sales'!H226:H1224 &amp; "" "" &amp; 'Raw Data Sales'!I226:I1224)"),"Rory Hearsum")</f>
        <v>Rory Hearsum</v>
      </c>
      <c r="D226" s="6" t="str">
        <f>IFERROR(__xludf.DUMMYFUNCTION("""COMPUTED_VALUE"""),"Scented Candles")</f>
        <v>Scented Candles</v>
      </c>
      <c r="E226" s="6" t="str">
        <f>'Raw Data Sales'!F226</f>
        <v>Food - Prepared Foods</v>
      </c>
      <c r="F226" s="6">
        <f>'Raw Data Sales'!M226</f>
        <v>62</v>
      </c>
      <c r="G226" s="6">
        <f>'Raw Data Sales'!N226</f>
        <v>8131.22</v>
      </c>
      <c r="H226" s="6" t="str">
        <f>'Raw Data Sales'!O226</f>
        <v>Credit Card</v>
      </c>
    </row>
    <row r="227">
      <c r="A227" s="6">
        <f>'Raw Data Sales'!A227</f>
        <v>226</v>
      </c>
      <c r="B227" s="8">
        <f>IFERROR(__xludf.DUMMYFUNCTION("""COMPUTED_VALUE"""),44346.0)</f>
        <v>44346</v>
      </c>
      <c r="C227" s="6" t="str">
        <f>IFERROR(__xludf.DUMMYFUNCTION("UNIQUE('Raw Data Sales'!H227:H1225 &amp; "" "" &amp; 'Raw Data Sales'!I227:I1225)"),"Christian Cundy")</f>
        <v>Christian Cundy</v>
      </c>
      <c r="D227" s="6" t="str">
        <f>IFERROR(__xludf.DUMMYFUNCTION("""COMPUTED_VALUE"""),"Biodegradable Phone Case")</f>
        <v>Biodegradable Phone Case</v>
      </c>
      <c r="E227" s="6" t="str">
        <f>'Raw Data Sales'!F227</f>
        <v>Pets</v>
      </c>
      <c r="F227" s="6">
        <f>'Raw Data Sales'!M227</f>
        <v>22</v>
      </c>
      <c r="G227" s="6">
        <f>'Raw Data Sales'!N227</f>
        <v>1867.62</v>
      </c>
      <c r="H227" s="6" t="str">
        <f>'Raw Data Sales'!O227</f>
        <v>Credit Card</v>
      </c>
    </row>
    <row r="228">
      <c r="A228" s="6">
        <f>'Raw Data Sales'!A228</f>
        <v>227</v>
      </c>
      <c r="B228" s="8">
        <f>IFERROR(__xludf.DUMMYFUNCTION("""COMPUTED_VALUE"""),44537.0)</f>
        <v>44537</v>
      </c>
      <c r="C228" s="6" t="str">
        <f>IFERROR(__xludf.DUMMYFUNCTION("UNIQUE('Raw Data Sales'!H228:H1226 &amp; "" "" &amp; 'Raw Data Sales'!I228:I1226)"),"Carlin Kilshaw")</f>
        <v>Carlin Kilshaw</v>
      </c>
      <c r="D228" s="6" t="str">
        <f>IFERROR(__xludf.DUMMYFUNCTION("""COMPUTED_VALUE"""),"Vegetable Lasagna")</f>
        <v>Vegetable Lasagna</v>
      </c>
      <c r="E228" s="6" t="str">
        <f>'Raw Data Sales'!F228</f>
        <v>Home</v>
      </c>
      <c r="F228" s="6">
        <f>'Raw Data Sales'!M228</f>
        <v>42</v>
      </c>
      <c r="G228" s="6">
        <f>'Raw Data Sales'!N228</f>
        <v>4113.05</v>
      </c>
      <c r="H228" s="6" t="str">
        <f>'Raw Data Sales'!O228</f>
        <v>Cash</v>
      </c>
    </row>
    <row r="229">
      <c r="A229" s="6">
        <f>'Raw Data Sales'!A229</f>
        <v>228</v>
      </c>
      <c r="B229" s="8">
        <f>IFERROR(__xludf.DUMMYFUNCTION("""COMPUTED_VALUE"""),44365.0)</f>
        <v>44365</v>
      </c>
      <c r="C229" s="6" t="str">
        <f>IFERROR(__xludf.DUMMYFUNCTION("UNIQUE('Raw Data Sales'!H229:H1227 &amp; "" "" &amp; 'Raw Data Sales'!I229:I1227)"),"Leigh Cruess")</f>
        <v>Leigh Cruess</v>
      </c>
      <c r="D229" s="6" t="str">
        <f>IFERROR(__xludf.DUMMYFUNCTION("""COMPUTED_VALUE"""),"Compact Refrigerator")</f>
        <v>Compact Refrigerator</v>
      </c>
      <c r="E229" s="6" t="str">
        <f>'Raw Data Sales'!F229</f>
        <v>Clothing - Footwear</v>
      </c>
      <c r="F229" s="6">
        <f>'Raw Data Sales'!M229</f>
        <v>93</v>
      </c>
      <c r="G229" s="6">
        <f>'Raw Data Sales'!N229</f>
        <v>650.61</v>
      </c>
      <c r="H229" s="6" t="str">
        <f>'Raw Data Sales'!O229</f>
        <v>Credit Card</v>
      </c>
    </row>
    <row r="230">
      <c r="A230" s="6">
        <f>'Raw Data Sales'!A230</f>
        <v>229</v>
      </c>
      <c r="B230" s="8">
        <f>IFERROR(__xludf.DUMMYFUNCTION("""COMPUTED_VALUE"""),43945.0)</f>
        <v>43945</v>
      </c>
      <c r="C230" s="6" t="str">
        <f>IFERROR(__xludf.DUMMYFUNCTION("UNIQUE('Raw Data Sales'!H230:H1228 &amp; "" "" &amp; 'Raw Data Sales'!I230:I1228)"),"Ethelin Brickell")</f>
        <v>Ethelin Brickell</v>
      </c>
      <c r="D230" s="6" t="str">
        <f>IFERROR(__xludf.DUMMYFUNCTION("""COMPUTED_VALUE"""),"Insulated Cooler")</f>
        <v>Insulated Cooler</v>
      </c>
      <c r="E230" s="6" t="str">
        <f>'Raw Data Sales'!F230</f>
        <v>Food - Dairy</v>
      </c>
      <c r="F230" s="6">
        <f>'Raw Data Sales'!M230</f>
        <v>67</v>
      </c>
      <c r="G230" s="6">
        <f>'Raw Data Sales'!N230</f>
        <v>6865.15</v>
      </c>
      <c r="H230" s="6" t="str">
        <f>'Raw Data Sales'!O230</f>
        <v>Credit Card</v>
      </c>
    </row>
    <row r="231">
      <c r="A231" s="6">
        <f>'Raw Data Sales'!A231</f>
        <v>230</v>
      </c>
      <c r="B231" s="8">
        <f>IFERROR(__xludf.DUMMYFUNCTION("""COMPUTED_VALUE"""),43831.0)</f>
        <v>43831</v>
      </c>
      <c r="C231" s="6" t="str">
        <f>IFERROR(__xludf.DUMMYFUNCTION("UNIQUE('Raw Data Sales'!H231:H1229 &amp; "" "" &amp; 'Raw Data Sales'!I231:I1229)"),"Duke Hadlee")</f>
        <v>Duke Hadlee</v>
      </c>
      <c r="D231" s="6" t="str">
        <f>IFERROR(__xludf.DUMMYFUNCTION("""COMPUTED_VALUE"""),"Puzzle Game Set")</f>
        <v>Puzzle Game Set</v>
      </c>
      <c r="E231" s="6" t="str">
        <f>'Raw Data Sales'!F231</f>
        <v>Home</v>
      </c>
      <c r="F231" s="6">
        <f>'Raw Data Sales'!M231</f>
        <v>60</v>
      </c>
      <c r="G231" s="6">
        <f>'Raw Data Sales'!N231</f>
        <v>111.6</v>
      </c>
      <c r="H231" s="6" t="str">
        <f>'Raw Data Sales'!O231</f>
        <v>Credit Card</v>
      </c>
    </row>
    <row r="232">
      <c r="A232" s="6">
        <f>'Raw Data Sales'!A232</f>
        <v>231</v>
      </c>
      <c r="B232" s="8">
        <f>IFERROR(__xludf.DUMMYFUNCTION("""COMPUTED_VALUE"""),44484.0)</f>
        <v>44484</v>
      </c>
      <c r="C232" s="6" t="str">
        <f>IFERROR(__xludf.DUMMYFUNCTION("UNIQUE('Raw Data Sales'!H232:H1230 &amp; "" "" &amp; 'Raw Data Sales'!I232:I1230)"),"Danna Doni")</f>
        <v>Danna Doni</v>
      </c>
      <c r="D232" s="6" t="str">
        <f>IFERROR(__xludf.DUMMYFUNCTION("""COMPUTED_VALUE"""),"Peach &amp; Mango Salsa")</f>
        <v>Peach &amp; Mango Salsa</v>
      </c>
      <c r="E232" s="6" t="str">
        <f>'Raw Data Sales'!F232</f>
        <v>Accessories</v>
      </c>
      <c r="F232" s="6">
        <f>'Raw Data Sales'!M232</f>
        <v>28</v>
      </c>
      <c r="G232" s="6">
        <f>'Raw Data Sales'!N232</f>
        <v>8329.76</v>
      </c>
      <c r="H232" s="6" t="str">
        <f>'Raw Data Sales'!O232</f>
        <v>Credit Card</v>
      </c>
    </row>
    <row r="233">
      <c r="A233" s="6">
        <f>'Raw Data Sales'!A233</f>
        <v>232</v>
      </c>
      <c r="B233" s="8">
        <f>IFERROR(__xludf.DUMMYFUNCTION("""COMPUTED_VALUE"""),44019.0)</f>
        <v>44019</v>
      </c>
      <c r="C233" s="6" t="str">
        <f>IFERROR(__xludf.DUMMYFUNCTION("UNIQUE('Raw Data Sales'!H233:H1231 &amp; "" "" &amp; 'Raw Data Sales'!I233:I1231)"),"Hamilton Guillard")</f>
        <v>Hamilton Guillard</v>
      </c>
      <c r="D233" s="6" t="str">
        <f>IFERROR(__xludf.DUMMYFUNCTION("""COMPUTED_VALUE"""),"Bicycle Repair Kit")</f>
        <v>Bicycle Repair Kit</v>
      </c>
      <c r="E233" s="6" t="str">
        <f>'Raw Data Sales'!F233</f>
        <v>Food - Frozen Foods</v>
      </c>
      <c r="F233" s="6">
        <f>'Raw Data Sales'!M233</f>
        <v>89</v>
      </c>
      <c r="G233" s="6">
        <f>'Raw Data Sales'!N233</f>
        <v>9405.32</v>
      </c>
      <c r="H233" s="6" t="str">
        <f>'Raw Data Sales'!O233</f>
        <v>Credit Card</v>
      </c>
    </row>
    <row r="234">
      <c r="A234" s="6">
        <f>'Raw Data Sales'!A234</f>
        <v>233</v>
      </c>
      <c r="B234" s="8">
        <f>IFERROR(__xludf.DUMMYFUNCTION("""COMPUTED_VALUE"""),44086.0)</f>
        <v>44086</v>
      </c>
      <c r="C234" s="6" t="str">
        <f>IFERROR(__xludf.DUMMYFUNCTION("UNIQUE('Raw Data Sales'!H234:H1232 &amp; "" "" &amp; 'Raw Data Sales'!I234:I1232)"),"Lambert Morten")</f>
        <v>Lambert Morten</v>
      </c>
      <c r="D234" s="6" t="str">
        <f>IFERROR(__xludf.DUMMYFUNCTION("""COMPUTED_VALUE"""),"Pet Carrier")</f>
        <v>Pet Carrier</v>
      </c>
      <c r="E234" s="6" t="str">
        <f>'Raw Data Sales'!F234</f>
        <v>Home Appliances</v>
      </c>
      <c r="F234" s="6">
        <f>'Raw Data Sales'!M234</f>
        <v>13</v>
      </c>
      <c r="G234" s="6">
        <f>'Raw Data Sales'!N234</f>
        <v>9321.82</v>
      </c>
      <c r="H234" s="6" t="str">
        <f>'Raw Data Sales'!O234</f>
        <v>Credit Card</v>
      </c>
    </row>
    <row r="235">
      <c r="A235" s="6">
        <f>'Raw Data Sales'!A235</f>
        <v>234</v>
      </c>
      <c r="B235" s="8">
        <f>IFERROR(__xludf.DUMMYFUNCTION("""COMPUTED_VALUE"""),44430.0)</f>
        <v>44430</v>
      </c>
      <c r="C235" s="6" t="str">
        <f>IFERROR(__xludf.DUMMYFUNCTION("UNIQUE('Raw Data Sales'!H235:H1233 &amp; "" "" &amp; 'Raw Data Sales'!I235:I1233)"),"Mable Conley")</f>
        <v>Mable Conley</v>
      </c>
      <c r="D235" s="6" t="str">
        <f>IFERROR(__xludf.DUMMYFUNCTION("""COMPUTED_VALUE"""),"Red Lentils")</f>
        <v>Red Lentils</v>
      </c>
      <c r="E235" s="6" t="str">
        <f>'Raw Data Sales'!F235</f>
        <v>Outdoor</v>
      </c>
      <c r="F235" s="6">
        <f>'Raw Data Sales'!M235</f>
        <v>19</v>
      </c>
      <c r="G235" s="6">
        <f>'Raw Data Sales'!N235</f>
        <v>1024.54</v>
      </c>
      <c r="H235" s="6" t="str">
        <f>'Raw Data Sales'!O235</f>
        <v>Credit Card</v>
      </c>
    </row>
    <row r="236">
      <c r="A236" s="6">
        <f>'Raw Data Sales'!A236</f>
        <v>235</v>
      </c>
      <c r="B236" s="8">
        <f>IFERROR(__xludf.DUMMYFUNCTION("""COMPUTED_VALUE"""),44448.0)</f>
        <v>44448</v>
      </c>
      <c r="C236" s="6" t="str">
        <f>IFERROR(__xludf.DUMMYFUNCTION("UNIQUE('Raw Data Sales'!H236:H1234 &amp; "" "" &amp; 'Raw Data Sales'!I236:I1234)"),"Laverna Beardsell")</f>
        <v>Laverna Beardsell</v>
      </c>
      <c r="D236" s="6" t="str">
        <f>IFERROR(__xludf.DUMMYFUNCTION("""COMPUTED_VALUE"""),"Frozen Cauliflower Rice")</f>
        <v>Frozen Cauliflower Rice</v>
      </c>
      <c r="E236" s="6" t="str">
        <f>'Raw Data Sales'!F236</f>
        <v>Toys</v>
      </c>
      <c r="F236" s="6">
        <f>'Raw Data Sales'!M236</f>
        <v>39</v>
      </c>
      <c r="G236" s="6">
        <f>'Raw Data Sales'!N236</f>
        <v>5712.38</v>
      </c>
      <c r="H236" s="6" t="str">
        <f>'Raw Data Sales'!O236</f>
        <v>PayPal</v>
      </c>
    </row>
    <row r="237">
      <c r="A237" s="6">
        <f>'Raw Data Sales'!A237</f>
        <v>236</v>
      </c>
      <c r="B237" s="8">
        <f>IFERROR(__xludf.DUMMYFUNCTION("""COMPUTED_VALUE"""),44141.0)</f>
        <v>44141</v>
      </c>
      <c r="C237" s="6" t="str">
        <f>IFERROR(__xludf.DUMMYFUNCTION("UNIQUE('Raw Data Sales'!H237:H1235 &amp; "" "" &amp; 'Raw Data Sales'!I237:I1235)"),"Herrick Wyer")</f>
        <v>Herrick Wyer</v>
      </c>
      <c r="D237" s="6" t="str">
        <f>IFERROR(__xludf.DUMMYFUNCTION("""COMPUTED_VALUE"""),"Hand Crank Blender")</f>
        <v>Hand Crank Blender</v>
      </c>
      <c r="E237" s="6" t="str">
        <f>'Raw Data Sales'!F237</f>
        <v>Food - Snacks</v>
      </c>
      <c r="F237" s="6">
        <f>'Raw Data Sales'!M237</f>
        <v>16</v>
      </c>
      <c r="G237" s="6">
        <f>'Raw Data Sales'!N237</f>
        <v>9234.86</v>
      </c>
      <c r="H237" s="6" t="str">
        <f>'Raw Data Sales'!O237</f>
        <v>PayPal</v>
      </c>
    </row>
    <row r="238">
      <c r="A238" s="6">
        <f>'Raw Data Sales'!A238</f>
        <v>237</v>
      </c>
      <c r="B238" s="8">
        <f>IFERROR(__xludf.DUMMYFUNCTION("""COMPUTED_VALUE"""),44016.0)</f>
        <v>44016</v>
      </c>
      <c r="C238" s="6" t="str">
        <f>IFERROR(__xludf.DUMMYFUNCTION("UNIQUE('Raw Data Sales'!H238:H1236 &amp; "" "" &amp; 'Raw Data Sales'!I238:I1236)"),"Clarita Aartsen")</f>
        <v>Clarita Aartsen</v>
      </c>
      <c r="D238" s="6" t="str">
        <f>IFERROR(__xludf.DUMMYFUNCTION("""COMPUTED_VALUE"""),"Car Sunshade")</f>
        <v>Car Sunshade</v>
      </c>
      <c r="E238" s="6" t="str">
        <f>'Raw Data Sales'!F238</f>
        <v>Outdoor</v>
      </c>
      <c r="F238" s="6">
        <f>'Raw Data Sales'!M238</f>
        <v>93</v>
      </c>
      <c r="G238" s="6">
        <f>'Raw Data Sales'!N238</f>
        <v>9972.42</v>
      </c>
      <c r="H238" s="6" t="str">
        <f>'Raw Data Sales'!O238</f>
        <v>Credit Card</v>
      </c>
    </row>
    <row r="239">
      <c r="A239" s="6">
        <f>'Raw Data Sales'!A239</f>
        <v>238</v>
      </c>
      <c r="B239" s="8">
        <f>IFERROR(__xludf.DUMMYFUNCTION("""COMPUTED_VALUE"""),44057.0)</f>
        <v>44057</v>
      </c>
      <c r="C239" s="6" t="str">
        <f>IFERROR(__xludf.DUMMYFUNCTION("UNIQUE('Raw Data Sales'!H239:H1237 &amp; "" "" &amp; 'Raw Data Sales'!I239:I1237)"),"Maurice Goodband")</f>
        <v>Maurice Goodband</v>
      </c>
      <c r="D239" s="6" t="str">
        <f>IFERROR(__xludf.DUMMYFUNCTION("""COMPUTED_VALUE"""),"Apple Cinnamon Breakfast Muffins")</f>
        <v>Apple Cinnamon Breakfast Muffins</v>
      </c>
      <c r="E239" s="6" t="str">
        <f>'Raw Data Sales'!F239</f>
        <v>Pets</v>
      </c>
      <c r="F239" s="6">
        <f>'Raw Data Sales'!M239</f>
        <v>62</v>
      </c>
      <c r="G239" s="6">
        <f>'Raw Data Sales'!N239</f>
        <v>553.27</v>
      </c>
      <c r="H239" s="6" t="str">
        <f>'Raw Data Sales'!O239</f>
        <v>Credit Card</v>
      </c>
    </row>
    <row r="240">
      <c r="A240" s="6">
        <f>'Raw Data Sales'!A240</f>
        <v>239</v>
      </c>
      <c r="B240" s="8">
        <f>IFERROR(__xludf.DUMMYFUNCTION("""COMPUTED_VALUE"""),44378.0)</f>
        <v>44378</v>
      </c>
      <c r="C240" s="6" t="str">
        <f>IFERROR(__xludf.DUMMYFUNCTION("UNIQUE('Raw Data Sales'!H240:H1238 &amp; "" "" &amp; 'Raw Data Sales'!I240:I1238)"),"Mendy Bauldrey")</f>
        <v>Mendy Bauldrey</v>
      </c>
      <c r="D240" s="6" t="str">
        <f>IFERROR(__xludf.DUMMYFUNCTION("""COMPUTED_VALUE"""),"Honey Wheat Pretzels")</f>
        <v>Honey Wheat Pretzels</v>
      </c>
      <c r="E240" s="6" t="str">
        <f>'Raw Data Sales'!F240</f>
        <v>Food - Grains</v>
      </c>
      <c r="F240" s="6">
        <f>'Raw Data Sales'!M240</f>
        <v>66</v>
      </c>
      <c r="G240" s="6">
        <f>'Raw Data Sales'!N240</f>
        <v>2468.95</v>
      </c>
      <c r="H240" s="6" t="str">
        <f>'Raw Data Sales'!O240</f>
        <v>PayPal</v>
      </c>
    </row>
    <row r="241">
      <c r="A241" s="6">
        <f>'Raw Data Sales'!A241</f>
        <v>240</v>
      </c>
      <c r="B241" s="8">
        <f>IFERROR(__xludf.DUMMYFUNCTION("""COMPUTED_VALUE"""),44018.0)</f>
        <v>44018</v>
      </c>
      <c r="C241" s="6" t="str">
        <f>IFERROR(__xludf.DUMMYFUNCTION("UNIQUE('Raw Data Sales'!H241:H1239 &amp; "" "" &amp; 'Raw Data Sales'!I241:I1239)"),"Sybyl Kofax")</f>
        <v>Sybyl Kofax</v>
      </c>
      <c r="D241" s="6" t="str">
        <f>IFERROR(__xludf.DUMMYFUNCTION("""COMPUTED_VALUE"""),"Classic Bagels")</f>
        <v>Classic Bagels</v>
      </c>
      <c r="E241" s="6" t="str">
        <f>'Raw Data Sales'!F241</f>
        <v>Food - Frozen Foods</v>
      </c>
      <c r="F241" s="6">
        <f>'Raw Data Sales'!M241</f>
        <v>79</v>
      </c>
      <c r="G241" s="6">
        <f>'Raw Data Sales'!N241</f>
        <v>7010.97</v>
      </c>
      <c r="H241" s="6" t="str">
        <f>'Raw Data Sales'!O241</f>
        <v>PayPal</v>
      </c>
    </row>
    <row r="242">
      <c r="A242" s="6">
        <f>'Raw Data Sales'!A242</f>
        <v>241</v>
      </c>
      <c r="B242" s="8">
        <f>IFERROR(__xludf.DUMMYFUNCTION("""COMPUTED_VALUE"""),44474.0)</f>
        <v>44474</v>
      </c>
      <c r="C242" s="6" t="str">
        <f>IFERROR(__xludf.DUMMYFUNCTION("UNIQUE('Raw Data Sales'!H242:H1240 &amp; "" "" &amp; 'Raw Data Sales'!I242:I1240)"),"Clari Gurden")</f>
        <v>Clari Gurden</v>
      </c>
      <c r="D242" s="6" t="str">
        <f>IFERROR(__xludf.DUMMYFUNCTION("""COMPUTED_VALUE"""),"Electric Egg Cooker")</f>
        <v>Electric Egg Cooker</v>
      </c>
      <c r="E242" s="6" t="str">
        <f>'Raw Data Sales'!F242</f>
        <v>Kitchen</v>
      </c>
      <c r="F242" s="6">
        <f>'Raw Data Sales'!M242</f>
        <v>87</v>
      </c>
      <c r="G242" s="6">
        <f>'Raw Data Sales'!N242</f>
        <v>2214.55</v>
      </c>
      <c r="H242" s="6" t="str">
        <f>'Raw Data Sales'!O242</f>
        <v>Credit Card</v>
      </c>
    </row>
    <row r="243">
      <c r="A243" s="6">
        <f>'Raw Data Sales'!A243</f>
        <v>242</v>
      </c>
      <c r="B243" s="8">
        <f>IFERROR(__xludf.DUMMYFUNCTION("""COMPUTED_VALUE"""),44195.0)</f>
        <v>44195</v>
      </c>
      <c r="C243" s="6" t="str">
        <f>IFERROR(__xludf.DUMMYFUNCTION("UNIQUE('Raw Data Sales'!H243:H1241 &amp; "" "" &amp; 'Raw Data Sales'!I243:I1241)"),"Luisa Royan")</f>
        <v>Luisa Royan</v>
      </c>
      <c r="D243" s="6" t="str">
        <f>IFERROR(__xludf.DUMMYFUNCTION("""COMPUTED_VALUE"""),"Foot Massager Machine")</f>
        <v>Foot Massager Machine</v>
      </c>
      <c r="E243" s="6" t="str">
        <f>'Raw Data Sales'!F243</f>
        <v>Automotive</v>
      </c>
      <c r="F243" s="6">
        <f>'Raw Data Sales'!M243</f>
        <v>20</v>
      </c>
      <c r="G243" s="6">
        <f>'Raw Data Sales'!N243</f>
        <v>9634.93</v>
      </c>
      <c r="H243" s="6" t="str">
        <f>'Raw Data Sales'!O243</f>
        <v>PayPal</v>
      </c>
    </row>
    <row r="244">
      <c r="A244" s="6">
        <f>'Raw Data Sales'!A244</f>
        <v>243</v>
      </c>
      <c r="B244" s="8">
        <f>IFERROR(__xludf.DUMMYFUNCTION("""COMPUTED_VALUE"""),43983.0)</f>
        <v>43983</v>
      </c>
      <c r="C244" s="6" t="str">
        <f>IFERROR(__xludf.DUMMYFUNCTION("UNIQUE('Raw Data Sales'!H244:H1242 &amp; "" "" &amp; 'Raw Data Sales'!I244:I1242)"),"Grover Hambridge")</f>
        <v>Grover Hambridge</v>
      </c>
      <c r="D244" s="6" t="str">
        <f>IFERROR(__xludf.DUMMYFUNCTION("""COMPUTED_VALUE"""),"Coffee Maker")</f>
        <v>Coffee Maker</v>
      </c>
      <c r="E244" s="6" t="str">
        <f>'Raw Data Sales'!F244</f>
        <v>Food - Bakery</v>
      </c>
      <c r="F244" s="6">
        <f>'Raw Data Sales'!M244</f>
        <v>65</v>
      </c>
      <c r="G244" s="6">
        <f>'Raw Data Sales'!N244</f>
        <v>498.42</v>
      </c>
      <c r="H244" s="6" t="str">
        <f>'Raw Data Sales'!O244</f>
        <v>PayPal</v>
      </c>
    </row>
    <row r="245">
      <c r="A245" s="6">
        <f>'Raw Data Sales'!A245</f>
        <v>244</v>
      </c>
      <c r="B245" s="8">
        <f>IFERROR(__xludf.DUMMYFUNCTION("""COMPUTED_VALUE"""),44142.0)</f>
        <v>44142</v>
      </c>
      <c r="C245" s="6" t="str">
        <f>IFERROR(__xludf.DUMMYFUNCTION("UNIQUE('Raw Data Sales'!H245:H1243 &amp; "" "" &amp; 'Raw Data Sales'!I245:I1243)"),"Kennan Priddie")</f>
        <v>Kennan Priddie</v>
      </c>
      <c r="D245" s="6" t="str">
        <f>IFERROR(__xludf.DUMMYFUNCTION("""COMPUTED_VALUE"""),"Peach Slices (canned)")</f>
        <v>Peach Slices (canned)</v>
      </c>
      <c r="E245" s="6" t="str">
        <f>'Raw Data Sales'!F245</f>
        <v>Food - Snacks</v>
      </c>
      <c r="F245" s="6">
        <f>'Raw Data Sales'!M245</f>
        <v>51</v>
      </c>
      <c r="G245" s="6">
        <f>'Raw Data Sales'!N245</f>
        <v>8334.42</v>
      </c>
      <c r="H245" s="6" t="str">
        <f>'Raw Data Sales'!O245</f>
        <v>Cash</v>
      </c>
    </row>
    <row r="246">
      <c r="A246" s="6">
        <f>'Raw Data Sales'!A246</f>
        <v>245</v>
      </c>
      <c r="B246" s="8">
        <f>IFERROR(__xludf.DUMMYFUNCTION("""COMPUTED_VALUE"""),44347.0)</f>
        <v>44347</v>
      </c>
      <c r="C246" s="6" t="str">
        <f>IFERROR(__xludf.DUMMYFUNCTION("UNIQUE('Raw Data Sales'!H246:H1244 &amp; "" "" &amp; 'Raw Data Sales'!I246:I1244)"),"Cinderella Wike")</f>
        <v>Cinderella Wike</v>
      </c>
      <c r="D246" s="6" t="str">
        <f>IFERROR(__xludf.DUMMYFUNCTION("""COMPUTED_VALUE"""),"Bluetooth Tracker")</f>
        <v>Bluetooth Tracker</v>
      </c>
      <c r="E246" s="6" t="str">
        <f>'Raw Data Sales'!F246</f>
        <v>Food - Bakery</v>
      </c>
      <c r="F246" s="6">
        <f>'Raw Data Sales'!M246</f>
        <v>75</v>
      </c>
      <c r="G246" s="6">
        <f>'Raw Data Sales'!N246</f>
        <v>2929.18</v>
      </c>
      <c r="H246" s="6" t="str">
        <f>'Raw Data Sales'!O246</f>
        <v>PayPal</v>
      </c>
    </row>
    <row r="247">
      <c r="A247" s="6">
        <f>'Raw Data Sales'!A247</f>
        <v>246</v>
      </c>
      <c r="B247" s="8">
        <f>IFERROR(__xludf.DUMMYFUNCTION("""COMPUTED_VALUE"""),44246.0)</f>
        <v>44246</v>
      </c>
      <c r="C247" s="6" t="str">
        <f>IFERROR(__xludf.DUMMYFUNCTION("UNIQUE('Raw Data Sales'!H247:H1245 &amp; "" "" &amp; 'Raw Data Sales'!I247:I1245)"),"Fanya Engley")</f>
        <v>Fanya Engley</v>
      </c>
      <c r="D247" s="6" t="str">
        <f>IFERROR(__xludf.DUMMYFUNCTION("""COMPUTED_VALUE"""),"Pizza Stone")</f>
        <v>Pizza Stone</v>
      </c>
      <c r="E247" s="6" t="str">
        <f>'Raw Data Sales'!F247</f>
        <v>Kitchen</v>
      </c>
      <c r="F247" s="6">
        <f>'Raw Data Sales'!M247</f>
        <v>77</v>
      </c>
      <c r="G247" s="6">
        <f>'Raw Data Sales'!N247</f>
        <v>9863.18</v>
      </c>
      <c r="H247" s="6" t="str">
        <f>'Raw Data Sales'!O247</f>
        <v>Cash</v>
      </c>
    </row>
    <row r="248">
      <c r="A248" s="6">
        <f>'Raw Data Sales'!A248</f>
        <v>247</v>
      </c>
      <c r="B248" s="8">
        <f>IFERROR(__xludf.DUMMYFUNCTION("""COMPUTED_VALUE"""),44410.0)</f>
        <v>44410</v>
      </c>
      <c r="C248" s="6" t="str">
        <f>IFERROR(__xludf.DUMMYFUNCTION("UNIQUE('Raw Data Sales'!H248:H1246 &amp; "" "" &amp; 'Raw Data Sales'!I248:I1246)"),"Angele Goranov")</f>
        <v>Angele Goranov</v>
      </c>
      <c r="D248" s="6" t="str">
        <f>IFERROR(__xludf.DUMMYFUNCTION("""COMPUTED_VALUE"""),"Roasted Garlic")</f>
        <v>Roasted Garlic</v>
      </c>
      <c r="E248" s="6" t="str">
        <f>'Raw Data Sales'!F248</f>
        <v>Health</v>
      </c>
      <c r="F248" s="6">
        <f>'Raw Data Sales'!M248</f>
        <v>17</v>
      </c>
      <c r="G248" s="6">
        <f>'Raw Data Sales'!N248</f>
        <v>2191.97</v>
      </c>
      <c r="H248" s="6" t="str">
        <f>'Raw Data Sales'!O248</f>
        <v>PayPal</v>
      </c>
    </row>
    <row r="249">
      <c r="A249" s="6">
        <f>'Raw Data Sales'!A249</f>
        <v>248</v>
      </c>
      <c r="B249" s="8">
        <f>IFERROR(__xludf.DUMMYFUNCTION("""COMPUTED_VALUE"""),43832.0)</f>
        <v>43832</v>
      </c>
      <c r="C249" s="6" t="str">
        <f>IFERROR(__xludf.DUMMYFUNCTION("UNIQUE('Raw Data Sales'!H249:H1247 &amp; "" "" &amp; 'Raw Data Sales'!I249:I1247)"),"Dall Grishmanov")</f>
        <v>Dall Grishmanov</v>
      </c>
      <c r="D249" s="6" t="str">
        <f>IFERROR(__xludf.DUMMYFUNCTION("""COMPUTED_VALUE"""),"Smart Thermostat with Wi-Fi")</f>
        <v>Smart Thermostat with Wi-Fi</v>
      </c>
      <c r="E249" s="6" t="str">
        <f>'Raw Data Sales'!F249</f>
        <v>Kitchen</v>
      </c>
      <c r="F249" s="6">
        <f>'Raw Data Sales'!M249</f>
        <v>91</v>
      </c>
      <c r="G249" s="6">
        <f>'Raw Data Sales'!N249</f>
        <v>9573.63</v>
      </c>
      <c r="H249" s="6" t="str">
        <f>'Raw Data Sales'!O249</f>
        <v>Credit Card</v>
      </c>
    </row>
    <row r="250">
      <c r="A250" s="6">
        <f>'Raw Data Sales'!A250</f>
        <v>249</v>
      </c>
      <c r="B250" s="8">
        <f>IFERROR(__xludf.DUMMYFUNCTION("""COMPUTED_VALUE"""),44495.0)</f>
        <v>44495</v>
      </c>
      <c r="C250" s="6" t="str">
        <f>IFERROR(__xludf.DUMMYFUNCTION("UNIQUE('Raw Data Sales'!H250:H1248 &amp; "" "" &amp; 'Raw Data Sales'!I250:I1248)"),"Connor Wenderoth")</f>
        <v>Connor Wenderoth</v>
      </c>
      <c r="D250" s="6" t="str">
        <f>IFERROR(__xludf.DUMMYFUNCTION("""COMPUTED_VALUE"""),"Cinnamon Roll Kit")</f>
        <v>Cinnamon Roll Kit</v>
      </c>
      <c r="E250" s="6" t="str">
        <f>'Raw Data Sales'!F250</f>
        <v>Food - Canned Goods</v>
      </c>
      <c r="F250" s="6">
        <f>'Raw Data Sales'!M250</f>
        <v>50</v>
      </c>
      <c r="G250" s="6">
        <f>'Raw Data Sales'!N250</f>
        <v>7615.86</v>
      </c>
      <c r="H250" s="6" t="str">
        <f>'Raw Data Sales'!O250</f>
        <v>Credit Card</v>
      </c>
    </row>
    <row r="251">
      <c r="A251" s="6">
        <f>'Raw Data Sales'!A251</f>
        <v>250</v>
      </c>
      <c r="B251" s="8">
        <f>IFERROR(__xludf.DUMMYFUNCTION("""COMPUTED_VALUE"""),44150.0)</f>
        <v>44150</v>
      </c>
      <c r="C251" s="6" t="str">
        <f>IFERROR(__xludf.DUMMYFUNCTION("UNIQUE('Raw Data Sales'!H251:H1249 &amp; "" "" &amp; 'Raw Data Sales'!I251:I1249)"),"Pierson Feavearyear")</f>
        <v>Pierson Feavearyear</v>
      </c>
      <c r="D251" s="6" t="str">
        <f>IFERROR(__xludf.DUMMYFUNCTION("""COMPUTED_VALUE"""),"Chicken Breasts")</f>
        <v>Chicken Breasts</v>
      </c>
      <c r="E251" s="6" t="str">
        <f>'Raw Data Sales'!F251</f>
        <v>Accessories</v>
      </c>
      <c r="F251" s="6">
        <f>'Raw Data Sales'!M251</f>
        <v>83</v>
      </c>
      <c r="G251" s="6">
        <f>'Raw Data Sales'!N251</f>
        <v>7725.92</v>
      </c>
      <c r="H251" s="6" t="str">
        <f>'Raw Data Sales'!O251</f>
        <v>Cash</v>
      </c>
    </row>
    <row r="252">
      <c r="A252" s="6">
        <f>'Raw Data Sales'!A252</f>
        <v>251</v>
      </c>
      <c r="B252" s="8">
        <f>IFERROR(__xludf.DUMMYFUNCTION("""COMPUTED_VALUE"""),44129.0)</f>
        <v>44129</v>
      </c>
      <c r="C252" s="6" t="str">
        <f>IFERROR(__xludf.DUMMYFUNCTION("UNIQUE('Raw Data Sales'!H252:H1250 &amp; "" "" &amp; 'Raw Data Sales'!I252:I1250)"),"Lodovico Bennough")</f>
        <v>Lodovico Bennough</v>
      </c>
      <c r="D252" s="6" t="str">
        <f>IFERROR(__xludf.DUMMYFUNCTION("""COMPUTED_VALUE"""),"Fitness Resistance Bands Set")</f>
        <v>Fitness Resistance Bands Set</v>
      </c>
      <c r="E252" s="6" t="str">
        <f>'Raw Data Sales'!F252</f>
        <v>Kitchen</v>
      </c>
      <c r="F252" s="6">
        <f>'Raw Data Sales'!M252</f>
        <v>79</v>
      </c>
      <c r="G252" s="6">
        <f>'Raw Data Sales'!N252</f>
        <v>7845.5</v>
      </c>
      <c r="H252" s="6" t="str">
        <f>'Raw Data Sales'!O252</f>
        <v>Credit Card</v>
      </c>
    </row>
    <row r="253">
      <c r="A253" s="6">
        <f>'Raw Data Sales'!A253</f>
        <v>252</v>
      </c>
      <c r="B253" s="8">
        <f>IFERROR(__xludf.DUMMYFUNCTION("""COMPUTED_VALUE"""),44504.0)</f>
        <v>44504</v>
      </c>
      <c r="C253" s="6" t="str">
        <f>IFERROR(__xludf.DUMMYFUNCTION("UNIQUE('Raw Data Sales'!H253:H1251 &amp; "" "" &amp; 'Raw Data Sales'!I253:I1251)"),"Brod Inkpin")</f>
        <v>Brod Inkpin</v>
      </c>
      <c r="D253" s="6" t="str">
        <f>IFERROR(__xludf.DUMMYFUNCTION("""COMPUTED_VALUE"""),"Pet Grooming Glove")</f>
        <v>Pet Grooming Glove</v>
      </c>
      <c r="E253" s="6" t="str">
        <f>'Raw Data Sales'!F253</f>
        <v>Food - Condiments</v>
      </c>
      <c r="F253" s="6">
        <f>'Raw Data Sales'!M253</f>
        <v>76</v>
      </c>
      <c r="G253" s="6">
        <f>'Raw Data Sales'!N253</f>
        <v>5442.2</v>
      </c>
      <c r="H253" s="6" t="str">
        <f>'Raw Data Sales'!O253</f>
        <v>Credit Card</v>
      </c>
    </row>
    <row r="254">
      <c r="A254" s="6">
        <f>'Raw Data Sales'!A254</f>
        <v>253</v>
      </c>
      <c r="B254" s="8">
        <f>IFERROR(__xludf.DUMMYFUNCTION("""COMPUTED_VALUE"""),44147.0)</f>
        <v>44147</v>
      </c>
      <c r="C254" s="6" t="str">
        <f>IFERROR(__xludf.DUMMYFUNCTION("UNIQUE('Raw Data Sales'!H254:H1252 &amp; "" "" &amp; 'Raw Data Sales'!I254:I1252)"),"Sammy Karpenya")</f>
        <v>Sammy Karpenya</v>
      </c>
      <c r="D254" s="6" t="str">
        <f>IFERROR(__xludf.DUMMYFUNCTION("""COMPUTED_VALUE"""),"Sun Protection Clothing")</f>
        <v>Sun Protection Clothing</v>
      </c>
      <c r="E254" s="6" t="str">
        <f>'Raw Data Sales'!F254</f>
        <v>Smart Home</v>
      </c>
      <c r="F254" s="6">
        <f>'Raw Data Sales'!M254</f>
        <v>63</v>
      </c>
      <c r="G254" s="6">
        <f>'Raw Data Sales'!N254</f>
        <v>6259.13</v>
      </c>
      <c r="H254" s="6" t="str">
        <f>'Raw Data Sales'!O254</f>
        <v>PayPal</v>
      </c>
    </row>
    <row r="255">
      <c r="A255" s="6">
        <f>'Raw Data Sales'!A255</f>
        <v>254</v>
      </c>
      <c r="B255" s="8">
        <f>IFERROR(__xludf.DUMMYFUNCTION("""COMPUTED_VALUE"""),44522.0)</f>
        <v>44522</v>
      </c>
      <c r="C255" s="6" t="str">
        <f>IFERROR(__xludf.DUMMYFUNCTION("UNIQUE('Raw Data Sales'!H255:H1253 &amp; "" "" &amp; 'Raw Data Sales'!I255:I1253)"),"Delinda Cinnamond")</f>
        <v>Delinda Cinnamond</v>
      </c>
      <c r="D255" s="6" t="str">
        <f>IFERROR(__xludf.DUMMYFUNCTION("""COMPUTED_VALUE"""),"Adjustable Yoga Mat Strap")</f>
        <v>Adjustable Yoga Mat Strap</v>
      </c>
      <c r="E255" s="6" t="str">
        <f>'Raw Data Sales'!F255</f>
        <v>Food - Baking</v>
      </c>
      <c r="F255" s="6">
        <f>'Raw Data Sales'!M255</f>
        <v>48</v>
      </c>
      <c r="G255" s="6">
        <f>'Raw Data Sales'!N255</f>
        <v>8859</v>
      </c>
      <c r="H255" s="6" t="str">
        <f>'Raw Data Sales'!O255</f>
        <v>PayPal</v>
      </c>
    </row>
    <row r="256">
      <c r="A256" s="6">
        <f>'Raw Data Sales'!A256</f>
        <v>255</v>
      </c>
      <c r="B256" s="8">
        <f>IFERROR(__xludf.DUMMYFUNCTION("""COMPUTED_VALUE"""),43851.0)</f>
        <v>43851</v>
      </c>
      <c r="C256" s="6" t="str">
        <f>IFERROR(__xludf.DUMMYFUNCTION("UNIQUE('Raw Data Sales'!H256:H1254 &amp; "" "" &amp; 'Raw Data Sales'!I256:I1254)"),"Sayer Augustus")</f>
        <v>Sayer Augustus</v>
      </c>
      <c r="D256" s="6" t="str">
        <f>IFERROR(__xludf.DUMMYFUNCTION("""COMPUTED_VALUE"""),"Electric Can Opener")</f>
        <v>Electric Can Opener</v>
      </c>
      <c r="E256" s="6" t="str">
        <f>'Raw Data Sales'!F256</f>
        <v>Food - Grains</v>
      </c>
      <c r="F256" s="6">
        <f>'Raw Data Sales'!M256</f>
        <v>49</v>
      </c>
      <c r="G256" s="6">
        <f>'Raw Data Sales'!N256</f>
        <v>3773.55</v>
      </c>
      <c r="H256" s="6" t="str">
        <f>'Raw Data Sales'!O256</f>
        <v>Cash</v>
      </c>
    </row>
    <row r="257">
      <c r="A257" s="6">
        <f>'Raw Data Sales'!A257</f>
        <v>256</v>
      </c>
      <c r="B257" s="8">
        <f>IFERROR(__xludf.DUMMYFUNCTION("""COMPUTED_VALUE"""),44336.0)</f>
        <v>44336</v>
      </c>
      <c r="C257" s="6" t="str">
        <f>IFERROR(__xludf.DUMMYFUNCTION("UNIQUE('Raw Data Sales'!H257:H1255 &amp; "" "" &amp; 'Raw Data Sales'!I257:I1255)"),"Ursala Izkoveski")</f>
        <v>Ursala Izkoveski</v>
      </c>
      <c r="D257" s="6" t="str">
        <f>IFERROR(__xludf.DUMMYFUNCTION("""COMPUTED_VALUE"""),"Cat Tree")</f>
        <v>Cat Tree</v>
      </c>
      <c r="E257" s="6" t="str">
        <f>'Raw Data Sales'!F257</f>
        <v>Food - Meat</v>
      </c>
      <c r="F257" s="6">
        <f>'Raw Data Sales'!M257</f>
        <v>59</v>
      </c>
      <c r="G257" s="6">
        <f>'Raw Data Sales'!N257</f>
        <v>6120.98</v>
      </c>
      <c r="H257" s="6" t="str">
        <f>'Raw Data Sales'!O257</f>
        <v>Credit Card</v>
      </c>
    </row>
    <row r="258">
      <c r="A258" s="6">
        <f>'Raw Data Sales'!A258</f>
        <v>257</v>
      </c>
      <c r="B258" s="8">
        <f>IFERROR(__xludf.DUMMYFUNCTION("""COMPUTED_VALUE"""),44058.0)</f>
        <v>44058</v>
      </c>
      <c r="C258" s="6" t="str">
        <f>IFERROR(__xludf.DUMMYFUNCTION("UNIQUE('Raw Data Sales'!H258:H1256 &amp; "" "" &amp; 'Raw Data Sales'!I258:I1256)"),"Regine Longmuir")</f>
        <v>Regine Longmuir</v>
      </c>
      <c r="D258" s="6" t="str">
        <f>IFERROR(__xludf.DUMMYFUNCTION("""COMPUTED_VALUE"""),"Shredded Cheese")</f>
        <v>Shredded Cheese</v>
      </c>
      <c r="E258" s="6" t="str">
        <f>'Raw Data Sales'!F258</f>
        <v>Fitness</v>
      </c>
      <c r="F258" s="6">
        <f>'Raw Data Sales'!M258</f>
        <v>41</v>
      </c>
      <c r="G258" s="6">
        <f>'Raw Data Sales'!N258</f>
        <v>973.91</v>
      </c>
      <c r="H258" s="6" t="str">
        <f>'Raw Data Sales'!O258</f>
        <v>PayPal</v>
      </c>
    </row>
    <row r="259">
      <c r="A259" s="6">
        <f>'Raw Data Sales'!A259</f>
        <v>258</v>
      </c>
      <c r="B259" s="8">
        <f>IFERROR(__xludf.DUMMYFUNCTION("""COMPUTED_VALUE"""),43892.0)</f>
        <v>43892</v>
      </c>
      <c r="C259" s="6" t="str">
        <f>IFERROR(__xludf.DUMMYFUNCTION("UNIQUE('Raw Data Sales'!H259:H1257 &amp; "" "" &amp; 'Raw Data Sales'!I259:I1257)"),"Decca Featherstonhaugh")</f>
        <v>Decca Featherstonhaugh</v>
      </c>
      <c r="D259" s="6" t="str">
        <f>IFERROR(__xludf.DUMMYFUNCTION("""COMPUTED_VALUE"""),"Bamboo Memory Foam Pillow")</f>
        <v>Bamboo Memory Foam Pillow</v>
      </c>
      <c r="E259" s="6" t="str">
        <f>'Raw Data Sales'!F259</f>
        <v>Pets</v>
      </c>
      <c r="F259" s="6">
        <f>'Raw Data Sales'!M259</f>
        <v>34</v>
      </c>
      <c r="G259" s="6">
        <f>'Raw Data Sales'!N259</f>
        <v>4748.66</v>
      </c>
      <c r="H259" s="6" t="str">
        <f>'Raw Data Sales'!O259</f>
        <v>PayPal</v>
      </c>
    </row>
    <row r="260">
      <c r="A260" s="6">
        <f>'Raw Data Sales'!A260</f>
        <v>259</v>
      </c>
      <c r="B260" s="8">
        <f>IFERROR(__xludf.DUMMYFUNCTION("""COMPUTED_VALUE"""),44521.0)</f>
        <v>44521</v>
      </c>
      <c r="C260" s="6" t="str">
        <f>IFERROR(__xludf.DUMMYFUNCTION("UNIQUE('Raw Data Sales'!H260:H1258 &amp; "" "" &amp; 'Raw Data Sales'!I260:I1258)"),"Pooh Riddall")</f>
        <v>Pooh Riddall</v>
      </c>
      <c r="D260" s="6" t="str">
        <f>IFERROR(__xludf.DUMMYFUNCTION("""COMPUTED_VALUE"""),"Adjustable Resistance Bands")</f>
        <v>Adjustable Resistance Bands</v>
      </c>
      <c r="E260" s="6" t="str">
        <f>'Raw Data Sales'!F260</f>
        <v>Clothing</v>
      </c>
      <c r="F260" s="6">
        <f>'Raw Data Sales'!M260</f>
        <v>39</v>
      </c>
      <c r="G260" s="6">
        <f>'Raw Data Sales'!N260</f>
        <v>8665.04</v>
      </c>
      <c r="H260" s="6" t="str">
        <f>'Raw Data Sales'!O260</f>
        <v>Credit Card</v>
      </c>
    </row>
    <row r="261">
      <c r="A261" s="6">
        <f>'Raw Data Sales'!A261</f>
        <v>260</v>
      </c>
      <c r="B261" s="8">
        <f>IFERROR(__xludf.DUMMYFUNCTION("""COMPUTED_VALUE"""),43861.0)</f>
        <v>43861</v>
      </c>
      <c r="C261" s="6" t="str">
        <f>IFERROR(__xludf.DUMMYFUNCTION("UNIQUE('Raw Data Sales'!H261:H1259 &amp; "" "" &amp; 'Raw Data Sales'!I261:I1259)"),"Jyoti Sangwine")</f>
        <v>Jyoti Sangwine</v>
      </c>
      <c r="D261" s="6" t="str">
        <f>IFERROR(__xludf.DUMMYFUNCTION("""COMPUTED_VALUE"""),"Dark Chocolate Bars")</f>
        <v>Dark Chocolate Bars</v>
      </c>
      <c r="E261" s="6" t="str">
        <f>'Raw Data Sales'!F261</f>
        <v>Fitness</v>
      </c>
      <c r="F261" s="6">
        <f>'Raw Data Sales'!M261</f>
        <v>36</v>
      </c>
      <c r="G261" s="6">
        <f>'Raw Data Sales'!N261</f>
        <v>7849.79</v>
      </c>
      <c r="H261" s="6" t="str">
        <f>'Raw Data Sales'!O261</f>
        <v>Cash</v>
      </c>
    </row>
    <row r="262">
      <c r="A262" s="6">
        <f>'Raw Data Sales'!A262</f>
        <v>261</v>
      </c>
      <c r="B262" s="8">
        <f>IFERROR(__xludf.DUMMYFUNCTION("""COMPUTED_VALUE"""),43907.0)</f>
        <v>43907</v>
      </c>
      <c r="C262" s="6" t="str">
        <f>IFERROR(__xludf.DUMMYFUNCTION("UNIQUE('Raw Data Sales'!H262:H1260 &amp; "" "" &amp; 'Raw Data Sales'!I262:I1260)"),"Katie Girardengo")</f>
        <v>Katie Girardengo</v>
      </c>
      <c r="D262" s="6" t="str">
        <f>IFERROR(__xludf.DUMMYFUNCTION("""COMPUTED_VALUE"""),"BBQ Sauce")</f>
        <v>BBQ Sauce</v>
      </c>
      <c r="E262" s="6" t="str">
        <f>'Raw Data Sales'!F262</f>
        <v>Kitchen</v>
      </c>
      <c r="F262" s="6">
        <f>'Raw Data Sales'!M262</f>
        <v>41</v>
      </c>
      <c r="G262" s="6">
        <f>'Raw Data Sales'!N262</f>
        <v>3785.13</v>
      </c>
      <c r="H262" s="6" t="str">
        <f>'Raw Data Sales'!O262</f>
        <v>PayPal</v>
      </c>
    </row>
    <row r="263">
      <c r="A263" s="6">
        <f>'Raw Data Sales'!A263</f>
        <v>262</v>
      </c>
      <c r="B263" s="8">
        <f>IFERROR(__xludf.DUMMYFUNCTION("""COMPUTED_VALUE"""),44080.0)</f>
        <v>44080</v>
      </c>
      <c r="C263" s="6" t="str">
        <f>IFERROR(__xludf.DUMMYFUNCTION("UNIQUE('Raw Data Sales'!H263:H1261 &amp; "" "" &amp; 'Raw Data Sales'!I263:I1261)"),"Lanny Votier")</f>
        <v>Lanny Votier</v>
      </c>
      <c r="D263" s="6" t="str">
        <f>IFERROR(__xludf.DUMMYFUNCTION("""COMPUTED_VALUE"""),"Reversible Comforter Set")</f>
        <v>Reversible Comforter Set</v>
      </c>
      <c r="E263" s="6" t="str">
        <f>'Raw Data Sales'!F263</f>
        <v>Office</v>
      </c>
      <c r="F263" s="6">
        <f>'Raw Data Sales'!M263</f>
        <v>100</v>
      </c>
      <c r="G263" s="6">
        <f>'Raw Data Sales'!N263</f>
        <v>4823.66</v>
      </c>
      <c r="H263" s="6" t="str">
        <f>'Raw Data Sales'!O263</f>
        <v>Credit Card</v>
      </c>
    </row>
    <row r="264">
      <c r="A264" s="6">
        <f>'Raw Data Sales'!A264</f>
        <v>263</v>
      </c>
      <c r="B264" s="8">
        <f>IFERROR(__xludf.DUMMYFUNCTION("""COMPUTED_VALUE"""),44263.0)</f>
        <v>44263</v>
      </c>
      <c r="C264" s="6" t="str">
        <f>IFERROR(__xludf.DUMMYFUNCTION("UNIQUE('Raw Data Sales'!H264:H1262 &amp; "" "" &amp; 'Raw Data Sales'!I264:I1262)"),"Alexandra Standall")</f>
        <v>Alexandra Standall</v>
      </c>
      <c r="D264" s="6" t="str">
        <f>IFERROR(__xludf.DUMMYFUNCTION("""COMPUTED_VALUE"""),"Smartphone UV Sanitizer")</f>
        <v>Smartphone UV Sanitizer</v>
      </c>
      <c r="E264" s="6" t="str">
        <f>'Raw Data Sales'!F264</f>
        <v>Pets</v>
      </c>
      <c r="F264" s="6">
        <f>'Raw Data Sales'!M264</f>
        <v>15</v>
      </c>
      <c r="G264" s="6">
        <f>'Raw Data Sales'!N264</f>
        <v>1184.52</v>
      </c>
      <c r="H264" s="6" t="str">
        <f>'Raw Data Sales'!O264</f>
        <v>PayPal</v>
      </c>
    </row>
    <row r="265">
      <c r="A265" s="6">
        <f>'Raw Data Sales'!A265</f>
        <v>264</v>
      </c>
      <c r="B265" s="8">
        <f>IFERROR(__xludf.DUMMYFUNCTION("""COMPUTED_VALUE"""),44069.0)</f>
        <v>44069</v>
      </c>
      <c r="C265" s="6" t="str">
        <f>IFERROR(__xludf.DUMMYFUNCTION("UNIQUE('Raw Data Sales'!H265:H1263 &amp; "" "" &amp; 'Raw Data Sales'!I265:I1263)"),"Darcy Hazelton")</f>
        <v>Darcy Hazelton</v>
      </c>
      <c r="D265" s="6" t="str">
        <f>IFERROR(__xludf.DUMMYFUNCTION("""COMPUTED_VALUE"""),"Golf Polo Shirt")</f>
        <v>Golf Polo Shirt</v>
      </c>
      <c r="E265" s="6" t="str">
        <f>'Raw Data Sales'!F265</f>
        <v>Food - Dairy</v>
      </c>
      <c r="F265" s="6">
        <f>'Raw Data Sales'!M265</f>
        <v>46</v>
      </c>
      <c r="G265" s="6">
        <f>'Raw Data Sales'!N265</f>
        <v>6336.26</v>
      </c>
      <c r="H265" s="6" t="str">
        <f>'Raw Data Sales'!O265</f>
        <v>PayPal</v>
      </c>
    </row>
    <row r="266">
      <c r="A266" s="6">
        <f>'Raw Data Sales'!A266</f>
        <v>265</v>
      </c>
      <c r="B266" s="8">
        <f>IFERROR(__xludf.DUMMYFUNCTION("""COMPUTED_VALUE"""),44488.0)</f>
        <v>44488</v>
      </c>
      <c r="C266" s="6" t="str">
        <f>IFERROR(__xludf.DUMMYFUNCTION("UNIQUE('Raw Data Sales'!H266:H1264 &amp; "" "" &amp; 'Raw Data Sales'!I266:I1264)"),"Wanids Rosiello")</f>
        <v>Wanids Rosiello</v>
      </c>
      <c r="D266" s="6" t="str">
        <f>IFERROR(__xludf.DUMMYFUNCTION("""COMPUTED_VALUE"""),"Adjustable Laptop Desk")</f>
        <v>Adjustable Laptop Desk</v>
      </c>
      <c r="E266" s="6" t="str">
        <f>'Raw Data Sales'!F266</f>
        <v>Home</v>
      </c>
      <c r="F266" s="6">
        <f>'Raw Data Sales'!M266</f>
        <v>5</v>
      </c>
      <c r="G266" s="6">
        <f>'Raw Data Sales'!N266</f>
        <v>4737.74</v>
      </c>
      <c r="H266" s="6" t="str">
        <f>'Raw Data Sales'!O266</f>
        <v>PayPal</v>
      </c>
    </row>
    <row r="267">
      <c r="A267" s="6">
        <f>'Raw Data Sales'!A267</f>
        <v>266</v>
      </c>
      <c r="B267" s="8">
        <f>IFERROR(__xludf.DUMMYFUNCTION("""COMPUTED_VALUE"""),44126.0)</f>
        <v>44126</v>
      </c>
      <c r="C267" s="6" t="str">
        <f>IFERROR(__xludf.DUMMYFUNCTION("UNIQUE('Raw Data Sales'!H267:H1265 &amp; "" "" &amp; 'Raw Data Sales'!I267:I1265)"),"Erek Fruen")</f>
        <v>Erek Fruen</v>
      </c>
      <c r="D267" s="6" t="str">
        <f>IFERROR(__xludf.DUMMYFUNCTION("""COMPUTED_VALUE"""),"Bamboo Utensil Set")</f>
        <v>Bamboo Utensil Set</v>
      </c>
      <c r="E267" s="6" t="str">
        <f>'Raw Data Sales'!F267</f>
        <v>Fitness</v>
      </c>
      <c r="F267" s="6">
        <f>'Raw Data Sales'!M267</f>
        <v>41</v>
      </c>
      <c r="G267" s="6">
        <f>'Raw Data Sales'!N267</f>
        <v>3418.45</v>
      </c>
      <c r="H267" s="6" t="str">
        <f>'Raw Data Sales'!O267</f>
        <v>PayPal</v>
      </c>
    </row>
    <row r="268">
      <c r="A268" s="6">
        <f>'Raw Data Sales'!A268</f>
        <v>267</v>
      </c>
      <c r="B268" s="8">
        <f>IFERROR(__xludf.DUMMYFUNCTION("""COMPUTED_VALUE"""),43865.0)</f>
        <v>43865</v>
      </c>
      <c r="C268" s="6" t="str">
        <f>IFERROR(__xludf.DUMMYFUNCTION("UNIQUE('Raw Data Sales'!H268:H1266 &amp; "" "" &amp; 'Raw Data Sales'!I268:I1266)"),"Halette Palay")</f>
        <v>Halette Palay</v>
      </c>
      <c r="D268" s="6" t="str">
        <f>IFERROR(__xludf.DUMMYFUNCTION("""COMPUTED_VALUE"""),"Body Wash")</f>
        <v>Body Wash</v>
      </c>
      <c r="E268" s="6" t="str">
        <f>'Raw Data Sales'!F268</f>
        <v>Food - Snacks</v>
      </c>
      <c r="F268" s="6">
        <f>'Raw Data Sales'!M268</f>
        <v>86</v>
      </c>
      <c r="G268" s="6">
        <f>'Raw Data Sales'!N268</f>
        <v>3200.67</v>
      </c>
      <c r="H268" s="6" t="str">
        <f>'Raw Data Sales'!O268</f>
        <v>Credit Card</v>
      </c>
    </row>
    <row r="269">
      <c r="A269" s="6">
        <f>'Raw Data Sales'!A269</f>
        <v>268</v>
      </c>
      <c r="B269" s="8">
        <f>IFERROR(__xludf.DUMMYFUNCTION("""COMPUTED_VALUE"""),44095.0)</f>
        <v>44095</v>
      </c>
      <c r="C269" s="6" t="str">
        <f>IFERROR(__xludf.DUMMYFUNCTION("UNIQUE('Raw Data Sales'!H269:H1267 &amp; "" "" &amp; 'Raw Data Sales'!I269:I1267)"),"Marris Korpolak")</f>
        <v>Marris Korpolak</v>
      </c>
      <c r="D269" s="6" t="str">
        <f>IFERROR(__xludf.DUMMYFUNCTION("""COMPUTED_VALUE"""),"Sesame Garlic Noodles")</f>
        <v>Sesame Garlic Noodles</v>
      </c>
      <c r="E269" s="6" t="str">
        <f>'Raw Data Sales'!F269</f>
        <v>Food - Condiments</v>
      </c>
      <c r="F269" s="6">
        <f>'Raw Data Sales'!M269</f>
        <v>81</v>
      </c>
      <c r="G269" s="6">
        <f>'Raw Data Sales'!N269</f>
        <v>8624.19</v>
      </c>
      <c r="H269" s="6" t="str">
        <f>'Raw Data Sales'!O269</f>
        <v>Credit Card</v>
      </c>
    </row>
    <row r="270">
      <c r="A270" s="6">
        <f>'Raw Data Sales'!A270</f>
        <v>269</v>
      </c>
      <c r="B270" s="8">
        <f>IFERROR(__xludf.DUMMYFUNCTION("""COMPUTED_VALUE"""),43903.0)</f>
        <v>43903</v>
      </c>
      <c r="C270" s="6" t="str">
        <f>IFERROR(__xludf.DUMMYFUNCTION("UNIQUE('Raw Data Sales'!H270:H1268 &amp; "" "" &amp; 'Raw Data Sales'!I270:I1268)"),"Fabian Ricardet")</f>
        <v>Fabian Ricardet</v>
      </c>
      <c r="D270" s="6" t="str">
        <f>IFERROR(__xludf.DUMMYFUNCTION("""COMPUTED_VALUE"""),"Deep Tissue Massage Gun")</f>
        <v>Deep Tissue Massage Gun</v>
      </c>
      <c r="E270" s="6" t="str">
        <f>'Raw Data Sales'!F270</f>
        <v>Home</v>
      </c>
      <c r="F270" s="6">
        <f>'Raw Data Sales'!M270</f>
        <v>80</v>
      </c>
      <c r="G270" s="6">
        <f>'Raw Data Sales'!N270</f>
        <v>3105.16</v>
      </c>
      <c r="H270" s="6" t="str">
        <f>'Raw Data Sales'!O270</f>
        <v>Cash</v>
      </c>
    </row>
    <row r="271">
      <c r="A271" s="6">
        <f>'Raw Data Sales'!A271</f>
        <v>270</v>
      </c>
      <c r="B271" s="8">
        <f>IFERROR(__xludf.DUMMYFUNCTION("""COMPUTED_VALUE"""),44440.0)</f>
        <v>44440</v>
      </c>
      <c r="C271" s="6" t="str">
        <f>IFERROR(__xludf.DUMMYFUNCTION("UNIQUE('Raw Data Sales'!H271:H1269 &amp; "" "" &amp; 'Raw Data Sales'!I271:I1269)"),"Laetitia Sarah")</f>
        <v>Laetitia Sarah</v>
      </c>
      <c r="D271" s="6" t="str">
        <f>IFERROR(__xludf.DUMMYFUNCTION("""COMPUTED_VALUE"""),"Window Blinds")</f>
        <v>Window Blinds</v>
      </c>
      <c r="E271" s="6" t="str">
        <f>'Raw Data Sales'!F271</f>
        <v>Health</v>
      </c>
      <c r="F271" s="6">
        <f>'Raw Data Sales'!M271</f>
        <v>85</v>
      </c>
      <c r="G271" s="6">
        <f>'Raw Data Sales'!N271</f>
        <v>986.28</v>
      </c>
      <c r="H271" s="6" t="str">
        <f>'Raw Data Sales'!O271</f>
        <v>PayPal</v>
      </c>
    </row>
    <row r="272">
      <c r="A272" s="6">
        <f>'Raw Data Sales'!A272</f>
        <v>271</v>
      </c>
      <c r="B272" s="8">
        <f>IFERROR(__xludf.DUMMYFUNCTION("""COMPUTED_VALUE"""),44311.0)</f>
        <v>44311</v>
      </c>
      <c r="C272" s="6" t="str">
        <f>IFERROR(__xludf.DUMMYFUNCTION("UNIQUE('Raw Data Sales'!H272:H1270 &amp; "" "" &amp; 'Raw Data Sales'!I272:I1270)"),"Mathe Dransfield")</f>
        <v>Mathe Dransfield</v>
      </c>
      <c r="D272" s="6" t="str">
        <f>IFERROR(__xludf.DUMMYFUNCTION("""COMPUTED_VALUE"""),"Cherry Almond Protein Bar")</f>
        <v>Cherry Almond Protein Bar</v>
      </c>
      <c r="E272" s="6" t="str">
        <f>'Raw Data Sales'!F272</f>
        <v>Food - Baked Goods</v>
      </c>
      <c r="F272" s="6">
        <f>'Raw Data Sales'!M272</f>
        <v>96</v>
      </c>
      <c r="G272" s="6">
        <f>'Raw Data Sales'!N272</f>
        <v>3348.48</v>
      </c>
      <c r="H272" s="6" t="str">
        <f>'Raw Data Sales'!O272</f>
        <v>Credit Card</v>
      </c>
    </row>
    <row r="273">
      <c r="A273" s="6">
        <f>'Raw Data Sales'!A273</f>
        <v>272</v>
      </c>
      <c r="B273" s="8">
        <f>IFERROR(__xludf.DUMMYFUNCTION("""COMPUTED_VALUE"""),44331.0)</f>
        <v>44331</v>
      </c>
      <c r="C273" s="6" t="str">
        <f>IFERROR(__xludf.DUMMYFUNCTION("UNIQUE('Raw Data Sales'!H273:H1271 &amp; "" "" &amp; 'Raw Data Sales'!I273:I1271)"),"Mendy Callendar")</f>
        <v>Mendy Callendar</v>
      </c>
      <c r="D273" s="6" t="str">
        <f>IFERROR(__xludf.DUMMYFUNCTION("""COMPUTED_VALUE"""),"Cordless Electric Screwdriver")</f>
        <v>Cordless Electric Screwdriver</v>
      </c>
      <c r="E273" s="6" t="str">
        <f>'Raw Data Sales'!F273</f>
        <v>Clothing - Tops</v>
      </c>
      <c r="F273" s="6">
        <f>'Raw Data Sales'!M273</f>
        <v>13</v>
      </c>
      <c r="G273" s="6">
        <f>'Raw Data Sales'!N273</f>
        <v>476.66</v>
      </c>
      <c r="H273" s="6" t="str">
        <f>'Raw Data Sales'!O273</f>
        <v>Cash</v>
      </c>
    </row>
    <row r="274">
      <c r="A274" s="6">
        <f>'Raw Data Sales'!A274</f>
        <v>273</v>
      </c>
      <c r="B274" s="8">
        <f>IFERROR(__xludf.DUMMYFUNCTION("""COMPUTED_VALUE"""),44027.0)</f>
        <v>44027</v>
      </c>
      <c r="C274" s="6" t="str">
        <f>IFERROR(__xludf.DUMMYFUNCTION("UNIQUE('Raw Data Sales'!H274:H1272 &amp; "" "" &amp; 'Raw Data Sales'!I274:I1272)"),"Gilemette Corse")</f>
        <v>Gilemette Corse</v>
      </c>
      <c r="D274" s="6" t="str">
        <f>IFERROR(__xludf.DUMMYFUNCTION("""COMPUTED_VALUE"""),"Italian Meatballs")</f>
        <v>Italian Meatballs</v>
      </c>
      <c r="E274" s="6" t="str">
        <f>'Raw Data Sales'!F274</f>
        <v>Office</v>
      </c>
      <c r="F274" s="6">
        <f>'Raw Data Sales'!M274</f>
        <v>4</v>
      </c>
      <c r="G274" s="6">
        <f>'Raw Data Sales'!N274</f>
        <v>9627.04</v>
      </c>
      <c r="H274" s="6" t="str">
        <f>'Raw Data Sales'!O274</f>
        <v>Credit Card</v>
      </c>
    </row>
    <row r="275">
      <c r="A275" s="6">
        <f>'Raw Data Sales'!A275</f>
        <v>274</v>
      </c>
      <c r="B275" s="8">
        <f>IFERROR(__xludf.DUMMYFUNCTION("""COMPUTED_VALUE"""),44524.0)</f>
        <v>44524</v>
      </c>
      <c r="C275" s="6" t="str">
        <f>IFERROR(__xludf.DUMMYFUNCTION("UNIQUE('Raw Data Sales'!H275:H1273 &amp; "" "" &amp; 'Raw Data Sales'!I275:I1273)"),"Corri Marchbank")</f>
        <v>Corri Marchbank</v>
      </c>
      <c r="D275" s="6" t="str">
        <f>IFERROR(__xludf.DUMMYFUNCTION("""COMPUTED_VALUE"""),"Ricotta Cheese")</f>
        <v>Ricotta Cheese</v>
      </c>
      <c r="E275" s="6" t="str">
        <f>'Raw Data Sales'!F275</f>
        <v>Kitchen</v>
      </c>
      <c r="F275" s="6">
        <f>'Raw Data Sales'!M275</f>
        <v>32</v>
      </c>
      <c r="G275" s="6">
        <f>'Raw Data Sales'!N275</f>
        <v>8248.2</v>
      </c>
      <c r="H275" s="6" t="str">
        <f>'Raw Data Sales'!O275</f>
        <v>PayPal</v>
      </c>
    </row>
    <row r="276">
      <c r="A276" s="6">
        <f>'Raw Data Sales'!A276</f>
        <v>275</v>
      </c>
      <c r="B276" s="8">
        <f>IFERROR(__xludf.DUMMYFUNCTION("""COMPUTED_VALUE"""),44017.0)</f>
        <v>44017</v>
      </c>
      <c r="C276" s="6" t="str">
        <f>IFERROR(__xludf.DUMMYFUNCTION("UNIQUE('Raw Data Sales'!H276:H1274 &amp; "" "" &amp; 'Raw Data Sales'!I276:I1274)"),"Mikaela Duck")</f>
        <v>Mikaela Duck</v>
      </c>
      <c r="D276" s="6" t="str">
        <f>IFERROR(__xludf.DUMMYFUNCTION("""COMPUTED_VALUE"""),"Non-Slip Yoga Socks")</f>
        <v>Non-Slip Yoga Socks</v>
      </c>
      <c r="E276" s="6" t="str">
        <f>'Raw Data Sales'!F276</f>
        <v>Beauty</v>
      </c>
      <c r="F276" s="6">
        <f>'Raw Data Sales'!M276</f>
        <v>89</v>
      </c>
      <c r="G276" s="6">
        <f>'Raw Data Sales'!N276</f>
        <v>8765.13</v>
      </c>
      <c r="H276" s="6" t="str">
        <f>'Raw Data Sales'!O276</f>
        <v>Credit Card</v>
      </c>
    </row>
    <row r="277">
      <c r="A277" s="6">
        <f>'Raw Data Sales'!A277</f>
        <v>276</v>
      </c>
      <c r="B277" s="8">
        <f>IFERROR(__xludf.DUMMYFUNCTION("""COMPUTED_VALUE"""),44293.0)</f>
        <v>44293</v>
      </c>
      <c r="C277" s="6" t="str">
        <f>IFERROR(__xludf.DUMMYFUNCTION("UNIQUE('Raw Data Sales'!H277:H1275 &amp; "" "" &amp; 'Raw Data Sales'!I277:I1275)"),"Nert Mattheus")</f>
        <v>Nert Mattheus</v>
      </c>
      <c r="D277" s="6" t="str">
        <f>IFERROR(__xludf.DUMMYFUNCTION("""COMPUTED_VALUE"""),"Air Purifier")</f>
        <v>Air Purifier</v>
      </c>
      <c r="E277" s="6" t="str">
        <f>'Raw Data Sales'!F277</f>
        <v>Pets</v>
      </c>
      <c r="F277" s="6">
        <f>'Raw Data Sales'!M277</f>
        <v>24</v>
      </c>
      <c r="G277" s="6">
        <f>'Raw Data Sales'!N277</f>
        <v>3577.49</v>
      </c>
      <c r="H277" s="6" t="str">
        <f>'Raw Data Sales'!O277</f>
        <v>Cash</v>
      </c>
    </row>
    <row r="278">
      <c r="A278" s="6">
        <f>'Raw Data Sales'!A278</f>
        <v>277</v>
      </c>
      <c r="B278" s="8">
        <f>IFERROR(__xludf.DUMMYFUNCTION("""COMPUTED_VALUE"""),44230.0)</f>
        <v>44230</v>
      </c>
      <c r="C278" s="6" t="str">
        <f>IFERROR(__xludf.DUMMYFUNCTION("UNIQUE('Raw Data Sales'!H278:H1276 &amp; "" "" &amp; 'Raw Data Sales'!I278:I1276)"),"Ollie Hurford")</f>
        <v>Ollie Hurford</v>
      </c>
      <c r="D278" s="6" t="str">
        <f>IFERROR(__xludf.DUMMYFUNCTION("""COMPUTED_VALUE"""),"Frozen Acai Bowl")</f>
        <v>Frozen Acai Bowl</v>
      </c>
      <c r="E278" s="6" t="str">
        <f>'Raw Data Sales'!F278</f>
        <v>Food - Pasta</v>
      </c>
      <c r="F278" s="6">
        <f>'Raw Data Sales'!M278</f>
        <v>36</v>
      </c>
      <c r="G278" s="6">
        <f>'Raw Data Sales'!N278</f>
        <v>6200.83</v>
      </c>
      <c r="H278" s="6" t="str">
        <f>'Raw Data Sales'!O278</f>
        <v>Credit Card</v>
      </c>
    </row>
    <row r="279">
      <c r="A279" s="6">
        <f>'Raw Data Sales'!A279</f>
        <v>278</v>
      </c>
      <c r="B279" s="8">
        <f>IFERROR(__xludf.DUMMYFUNCTION("""COMPUTED_VALUE"""),44209.0)</f>
        <v>44209</v>
      </c>
      <c r="C279" s="6" t="str">
        <f>IFERROR(__xludf.DUMMYFUNCTION("UNIQUE('Raw Data Sales'!H279:H1277 &amp; "" "" &amp; 'Raw Data Sales'!I279:I1277)"),"Cathrin Vidyapin")</f>
        <v>Cathrin Vidyapin</v>
      </c>
      <c r="D279" s="6" t="str">
        <f>IFERROR(__xludf.DUMMYFUNCTION("""COMPUTED_VALUE"""),"Caramel Apple Chips")</f>
        <v>Caramel Apple Chips</v>
      </c>
      <c r="E279" s="6" t="str">
        <f>'Raw Data Sales'!F279</f>
        <v>Health</v>
      </c>
      <c r="F279" s="6">
        <f>'Raw Data Sales'!M279</f>
        <v>64</v>
      </c>
      <c r="G279" s="6">
        <f>'Raw Data Sales'!N279</f>
        <v>1209.13</v>
      </c>
      <c r="H279" s="6" t="str">
        <f>'Raw Data Sales'!O279</f>
        <v>PayPal</v>
      </c>
    </row>
    <row r="280">
      <c r="A280" s="6">
        <f>'Raw Data Sales'!A280</f>
        <v>279</v>
      </c>
      <c r="B280" s="8">
        <f>IFERROR(__xludf.DUMMYFUNCTION("""COMPUTED_VALUE"""),44462.0)</f>
        <v>44462</v>
      </c>
      <c r="C280" s="6" t="str">
        <f>IFERROR(__xludf.DUMMYFUNCTION("UNIQUE('Raw Data Sales'!H280:H1278 &amp; "" "" &amp; 'Raw Data Sales'!I280:I1278)"),"Chanda Aleksidze")</f>
        <v>Chanda Aleksidze</v>
      </c>
      <c r="D280" s="6" t="str">
        <f>IFERROR(__xludf.DUMMYFUNCTION("""COMPUTED_VALUE"""),"Matcha Green Tea Powder")</f>
        <v>Matcha Green Tea Powder</v>
      </c>
      <c r="E280" s="6" t="str">
        <f>'Raw Data Sales'!F280</f>
        <v>Home</v>
      </c>
      <c r="F280" s="6">
        <f>'Raw Data Sales'!M280</f>
        <v>29</v>
      </c>
      <c r="G280" s="6">
        <f>'Raw Data Sales'!N280</f>
        <v>2733.25</v>
      </c>
      <c r="H280" s="6" t="str">
        <f>'Raw Data Sales'!O280</f>
        <v>PayPal</v>
      </c>
    </row>
    <row r="281">
      <c r="A281" s="6">
        <f>'Raw Data Sales'!A281</f>
        <v>280</v>
      </c>
      <c r="B281" s="8">
        <f>IFERROR(__xludf.DUMMYFUNCTION("""COMPUTED_VALUE"""),43989.0)</f>
        <v>43989</v>
      </c>
      <c r="C281" s="6" t="str">
        <f>IFERROR(__xludf.DUMMYFUNCTION("UNIQUE('Raw Data Sales'!H281:H1279 &amp; "" "" &amp; 'Raw Data Sales'!I281:I1279)"),"Parsifal Reggiani")</f>
        <v>Parsifal Reggiani</v>
      </c>
      <c r="D281" s="6" t="str">
        <f>IFERROR(__xludf.DUMMYFUNCTION("""COMPUTED_VALUE"""),"Motorcycle Phone Mount")</f>
        <v>Motorcycle Phone Mount</v>
      </c>
      <c r="E281" s="6" t="str">
        <f>'Raw Data Sales'!F281</f>
        <v>Food - Snacks</v>
      </c>
      <c r="F281" s="6">
        <f>'Raw Data Sales'!M281</f>
        <v>76</v>
      </c>
      <c r="G281" s="6">
        <f>'Raw Data Sales'!N281</f>
        <v>8434.63</v>
      </c>
      <c r="H281" s="6" t="str">
        <f>'Raw Data Sales'!O281</f>
        <v>Cash</v>
      </c>
    </row>
    <row r="282">
      <c r="A282" s="6">
        <f>'Raw Data Sales'!A282</f>
        <v>281</v>
      </c>
      <c r="B282" s="8">
        <f>IFERROR(__xludf.DUMMYFUNCTION("""COMPUTED_VALUE"""),43975.0)</f>
        <v>43975</v>
      </c>
      <c r="C282" s="6" t="str">
        <f>IFERROR(__xludf.DUMMYFUNCTION("UNIQUE('Raw Data Sales'!H282:H1280 &amp; "" "" &amp; 'Raw Data Sales'!I282:I1280)"),"Kristel Milleton")</f>
        <v>Kristel Milleton</v>
      </c>
      <c r="D282" s="6" t="str">
        <f>IFERROR(__xludf.DUMMYFUNCTION("""COMPUTED_VALUE"""),"USB Wall Charger")</f>
        <v>USB Wall Charger</v>
      </c>
      <c r="E282" s="6" t="str">
        <f>'Raw Data Sales'!F282</f>
        <v>Tools</v>
      </c>
      <c r="F282" s="6">
        <f>'Raw Data Sales'!M282</f>
        <v>16</v>
      </c>
      <c r="G282" s="6">
        <f>'Raw Data Sales'!N282</f>
        <v>7720.36</v>
      </c>
      <c r="H282" s="6" t="str">
        <f>'Raw Data Sales'!O282</f>
        <v>Cash</v>
      </c>
    </row>
    <row r="283">
      <c r="A283" s="6">
        <f>'Raw Data Sales'!A283</f>
        <v>282</v>
      </c>
      <c r="B283" s="8">
        <f>IFERROR(__xludf.DUMMYFUNCTION("""COMPUTED_VALUE"""),43979.0)</f>
        <v>43979</v>
      </c>
      <c r="C283" s="6" t="str">
        <f>IFERROR(__xludf.DUMMYFUNCTION("UNIQUE('Raw Data Sales'!H283:H1281 &amp; "" "" &amp; 'Raw Data Sales'!I283:I1281)"),"Griff Duval")</f>
        <v>Griff Duval</v>
      </c>
      <c r="D283" s="6" t="str">
        <f>IFERROR(__xludf.DUMMYFUNCTION("""COMPUTED_VALUE"""),"Kale &amp; Quinoa Salad Mix")</f>
        <v>Kale &amp; Quinoa Salad Mix</v>
      </c>
      <c r="E283" s="6" t="str">
        <f>'Raw Data Sales'!F283</f>
        <v>Food - Meat</v>
      </c>
      <c r="F283" s="6">
        <f>'Raw Data Sales'!M283</f>
        <v>68</v>
      </c>
      <c r="G283" s="6">
        <f>'Raw Data Sales'!N283</f>
        <v>2299.87</v>
      </c>
      <c r="H283" s="6" t="str">
        <f>'Raw Data Sales'!O283</f>
        <v>Cash</v>
      </c>
    </row>
    <row r="284">
      <c r="A284" s="6">
        <f>'Raw Data Sales'!A284</f>
        <v>283</v>
      </c>
      <c r="B284" s="8">
        <f>IFERROR(__xludf.DUMMYFUNCTION("""COMPUTED_VALUE"""),44280.0)</f>
        <v>44280</v>
      </c>
      <c r="C284" s="6" t="str">
        <f>IFERROR(__xludf.DUMMYFUNCTION("UNIQUE('Raw Data Sales'!H284:H1282 &amp; "" "" &amp; 'Raw Data Sales'!I284:I1282)"),"Loni Lunney")</f>
        <v>Loni Lunney</v>
      </c>
      <c r="D284" s="6" t="str">
        <f>IFERROR(__xludf.DUMMYFUNCTION("""COMPUTED_VALUE"""),"Workstation Laptop Stand")</f>
        <v>Workstation Laptop Stand</v>
      </c>
      <c r="E284" s="6" t="str">
        <f>'Raw Data Sales'!F284</f>
        <v>Food - Dairy</v>
      </c>
      <c r="F284" s="6">
        <f>'Raw Data Sales'!M284</f>
        <v>38</v>
      </c>
      <c r="G284" s="6">
        <f>'Raw Data Sales'!N284</f>
        <v>4092.12</v>
      </c>
      <c r="H284" s="6" t="str">
        <f>'Raw Data Sales'!O284</f>
        <v>PayPal</v>
      </c>
    </row>
    <row r="285">
      <c r="A285" s="6">
        <f>'Raw Data Sales'!A285</f>
        <v>284</v>
      </c>
      <c r="B285" s="8">
        <f>IFERROR(__xludf.DUMMYFUNCTION("""COMPUTED_VALUE"""),43942.0)</f>
        <v>43942</v>
      </c>
      <c r="C285" s="6" t="str">
        <f>IFERROR(__xludf.DUMMYFUNCTION("UNIQUE('Raw Data Sales'!H285:H1283 &amp; "" "" &amp; 'Raw Data Sales'!I285:I1283)"),"Eleni O'Cahill")</f>
        <v>Eleni O'Cahill</v>
      </c>
      <c r="D285" s="6" t="str">
        <f>IFERROR(__xludf.DUMMYFUNCTION("""COMPUTED_VALUE"""),"Pet Travel Bowl")</f>
        <v>Pet Travel Bowl</v>
      </c>
      <c r="E285" s="6" t="str">
        <f>'Raw Data Sales'!F285</f>
        <v>Fitness</v>
      </c>
      <c r="F285" s="6">
        <f>'Raw Data Sales'!M285</f>
        <v>39</v>
      </c>
      <c r="G285" s="6">
        <f>'Raw Data Sales'!N285</f>
        <v>6091.17</v>
      </c>
      <c r="H285" s="6" t="str">
        <f>'Raw Data Sales'!O285</f>
        <v>Credit Card</v>
      </c>
    </row>
    <row r="286">
      <c r="A286" s="6">
        <f>'Raw Data Sales'!A286</f>
        <v>285</v>
      </c>
      <c r="B286" s="8">
        <f>IFERROR(__xludf.DUMMYFUNCTION("""COMPUTED_VALUE"""),44500.0)</f>
        <v>44500</v>
      </c>
      <c r="C286" s="6" t="str">
        <f>IFERROR(__xludf.DUMMYFUNCTION("UNIQUE('Raw Data Sales'!H286:H1284 &amp; "" "" &amp; 'Raw Data Sales'!I286:I1284)"),"Lydon Barfford")</f>
        <v>Lydon Barfford</v>
      </c>
      <c r="D286" s="6" t="str">
        <f>IFERROR(__xludf.DUMMYFUNCTION("""COMPUTED_VALUE"""),"Brazil Nuts")</f>
        <v>Brazil Nuts</v>
      </c>
      <c r="E286" s="6" t="str">
        <f>'Raw Data Sales'!F286</f>
        <v>Home</v>
      </c>
      <c r="F286" s="6">
        <f>'Raw Data Sales'!M286</f>
        <v>36</v>
      </c>
      <c r="G286" s="6">
        <f>'Raw Data Sales'!N286</f>
        <v>9799.17</v>
      </c>
      <c r="H286" s="6" t="str">
        <f>'Raw Data Sales'!O286</f>
        <v>Credit Card</v>
      </c>
    </row>
    <row r="287">
      <c r="A287" s="6">
        <f>'Raw Data Sales'!A287</f>
        <v>286</v>
      </c>
      <c r="B287" s="8">
        <f>IFERROR(__xludf.DUMMYFUNCTION("""COMPUTED_VALUE"""),44136.0)</f>
        <v>44136</v>
      </c>
      <c r="C287" s="6" t="str">
        <f>IFERROR(__xludf.DUMMYFUNCTION("UNIQUE('Raw Data Sales'!H287:H1285 &amp; "" "" &amp; 'Raw Data Sales'!I287:I1285)"),"Anderea Pietasch")</f>
        <v>Anderea Pietasch</v>
      </c>
      <c r="D287" s="6" t="str">
        <f>IFERROR(__xludf.DUMMYFUNCTION("""COMPUTED_VALUE"""),"Solar Charger")</f>
        <v>Solar Charger</v>
      </c>
      <c r="E287" s="6" t="str">
        <f>'Raw Data Sales'!F287</f>
        <v>Food - Frozen Foods</v>
      </c>
      <c r="F287" s="6">
        <f>'Raw Data Sales'!M287</f>
        <v>16</v>
      </c>
      <c r="G287" s="6">
        <f>'Raw Data Sales'!N287</f>
        <v>6593.31</v>
      </c>
      <c r="H287" s="6" t="str">
        <f>'Raw Data Sales'!O287</f>
        <v>Cash</v>
      </c>
    </row>
    <row r="288">
      <c r="A288" s="6">
        <f>'Raw Data Sales'!A288</f>
        <v>287</v>
      </c>
      <c r="B288" s="8">
        <f>IFERROR(__xludf.DUMMYFUNCTION("""COMPUTED_VALUE"""),44379.0)</f>
        <v>44379</v>
      </c>
      <c r="C288" s="6" t="str">
        <f>IFERROR(__xludf.DUMMYFUNCTION("UNIQUE('Raw Data Sales'!H288:H1286 &amp; "" "" &amp; 'Raw Data Sales'!I288:I1286)"),"Dudley Di Angelo")</f>
        <v>Dudley Di Angelo</v>
      </c>
      <c r="D288" s="6" t="str">
        <f>IFERROR(__xludf.DUMMYFUNCTION("""COMPUTED_VALUE"""),"Gaming Headset")</f>
        <v>Gaming Headset</v>
      </c>
      <c r="E288" s="6" t="str">
        <f>'Raw Data Sales'!F288</f>
        <v>Food - Meat</v>
      </c>
      <c r="F288" s="6">
        <f>'Raw Data Sales'!M288</f>
        <v>56</v>
      </c>
      <c r="G288" s="6">
        <f>'Raw Data Sales'!N288</f>
        <v>8233.72</v>
      </c>
      <c r="H288" s="6" t="str">
        <f>'Raw Data Sales'!O288</f>
        <v>Cash</v>
      </c>
    </row>
    <row r="289">
      <c r="A289" s="6">
        <f>'Raw Data Sales'!A289</f>
        <v>288</v>
      </c>
      <c r="B289" s="8">
        <f>IFERROR(__xludf.DUMMYFUNCTION("""COMPUTED_VALUE"""),44062.0)</f>
        <v>44062</v>
      </c>
      <c r="C289" s="6" t="str">
        <f>IFERROR(__xludf.DUMMYFUNCTION("UNIQUE('Raw Data Sales'!H289:H1287 &amp; "" "" &amp; 'Raw Data Sales'!I289:I1287)"),"Jo ann Dowbiggin")</f>
        <v>Jo ann Dowbiggin</v>
      </c>
      <c r="D289" s="6" t="str">
        <f>IFERROR(__xludf.DUMMYFUNCTION("""COMPUTED_VALUE"""),"Coconut Flakes")</f>
        <v>Coconut Flakes</v>
      </c>
      <c r="E289" s="6" t="str">
        <f>'Raw Data Sales'!F289</f>
        <v>Food - Snacks</v>
      </c>
      <c r="F289" s="6">
        <f>'Raw Data Sales'!M289</f>
        <v>33</v>
      </c>
      <c r="G289" s="6">
        <f>'Raw Data Sales'!N289</f>
        <v>4395.05</v>
      </c>
      <c r="H289" s="6" t="str">
        <f>'Raw Data Sales'!O289</f>
        <v>Cash</v>
      </c>
    </row>
    <row r="290">
      <c r="A290" s="6">
        <f>'Raw Data Sales'!A290</f>
        <v>289</v>
      </c>
      <c r="B290" s="8">
        <f>IFERROR(__xludf.DUMMYFUNCTION("""COMPUTED_VALUE"""),44101.0)</f>
        <v>44101</v>
      </c>
      <c r="C290" s="6" t="str">
        <f>IFERROR(__xludf.DUMMYFUNCTION("UNIQUE('Raw Data Sales'!H290:H1288 &amp; "" "" &amp; 'Raw Data Sales'!I290:I1288)"),"Winthrop Beeke")</f>
        <v>Winthrop Beeke</v>
      </c>
      <c r="D290" s="6" t="str">
        <f>IFERROR(__xludf.DUMMYFUNCTION("""COMPUTED_VALUE"""),"Sweet Potato and Chickpea Bowl")</f>
        <v>Sweet Potato and Chickpea Bowl</v>
      </c>
      <c r="E290" s="6" t="str">
        <f>'Raw Data Sales'!F290</f>
        <v>Food - Beverages</v>
      </c>
      <c r="F290" s="6">
        <f>'Raw Data Sales'!M290</f>
        <v>71</v>
      </c>
      <c r="G290" s="6">
        <f>'Raw Data Sales'!N290</f>
        <v>8374.9</v>
      </c>
      <c r="H290" s="6" t="str">
        <f>'Raw Data Sales'!O290</f>
        <v>PayPal</v>
      </c>
    </row>
    <row r="291">
      <c r="A291" s="6">
        <f>'Raw Data Sales'!A291</f>
        <v>290</v>
      </c>
      <c r="B291" s="8">
        <f>IFERROR(__xludf.DUMMYFUNCTION("""COMPUTED_VALUE"""),44548.0)</f>
        <v>44548</v>
      </c>
      <c r="C291" s="6" t="str">
        <f>IFERROR(__xludf.DUMMYFUNCTION("UNIQUE('Raw Data Sales'!H291:H1289 &amp; "" "" &amp; 'Raw Data Sales'!I291:I1289)"),"Floris Treuge")</f>
        <v>Floris Treuge</v>
      </c>
      <c r="D291" s="6" t="str">
        <f>IFERROR(__xludf.DUMMYFUNCTION("""COMPUTED_VALUE"""),"Multicolored LED Strip Lights")</f>
        <v>Multicolored LED Strip Lights</v>
      </c>
      <c r="E291" s="6" t="str">
        <f>'Raw Data Sales'!F291</f>
        <v>Automotive</v>
      </c>
      <c r="F291" s="6">
        <f>'Raw Data Sales'!M291</f>
        <v>4</v>
      </c>
      <c r="G291" s="6">
        <f>'Raw Data Sales'!N291</f>
        <v>6223.33</v>
      </c>
      <c r="H291" s="6" t="str">
        <f>'Raw Data Sales'!O291</f>
        <v>Credit Card</v>
      </c>
    </row>
    <row r="292">
      <c r="A292" s="6">
        <f>'Raw Data Sales'!A292</f>
        <v>291</v>
      </c>
      <c r="B292" s="8">
        <f>IFERROR(__xludf.DUMMYFUNCTION("""COMPUTED_VALUE"""),44395.0)</f>
        <v>44395</v>
      </c>
      <c r="C292" s="6" t="str">
        <f>IFERROR(__xludf.DUMMYFUNCTION("UNIQUE('Raw Data Sales'!H292:H1290 &amp; "" "" &amp; 'Raw Data Sales'!I292:I1290)"),"Putnam Fantin")</f>
        <v>Putnam Fantin</v>
      </c>
      <c r="D292" s="6" t="str">
        <f>IFERROR(__xludf.DUMMYFUNCTION("""COMPUTED_VALUE"""),"Chickpea Salad")</f>
        <v>Chickpea Salad</v>
      </c>
      <c r="E292" s="6" t="str">
        <f>'Raw Data Sales'!F292</f>
        <v>Accessories</v>
      </c>
      <c r="F292" s="6">
        <f>'Raw Data Sales'!M292</f>
        <v>54</v>
      </c>
      <c r="G292" s="6">
        <f>'Raw Data Sales'!N292</f>
        <v>7137.38</v>
      </c>
      <c r="H292" s="6" t="str">
        <f>'Raw Data Sales'!O292</f>
        <v>Cash</v>
      </c>
    </row>
    <row r="293">
      <c r="A293" s="6">
        <f>'Raw Data Sales'!A293</f>
        <v>292</v>
      </c>
      <c r="B293" s="8">
        <f>IFERROR(__xludf.DUMMYFUNCTION("""COMPUTED_VALUE"""),43995.0)</f>
        <v>43995</v>
      </c>
      <c r="C293" s="6" t="str">
        <f>IFERROR(__xludf.DUMMYFUNCTION("UNIQUE('Raw Data Sales'!H293:H1291 &amp; "" "" &amp; 'Raw Data Sales'!I293:I1291)"),"Martha Sivyer")</f>
        <v>Martha Sivyer</v>
      </c>
      <c r="D293" s="6" t="str">
        <f>IFERROR(__xludf.DUMMYFUNCTION("""COMPUTED_VALUE"""),"Stylish Wide-Leg Trousers")</f>
        <v>Stylish Wide-Leg Trousers</v>
      </c>
      <c r="E293" s="6" t="str">
        <f>'Raw Data Sales'!F293</f>
        <v>Food - Bakery</v>
      </c>
      <c r="F293" s="6">
        <f>'Raw Data Sales'!M293</f>
        <v>18</v>
      </c>
      <c r="G293" s="6">
        <f>'Raw Data Sales'!N293</f>
        <v>4706.33</v>
      </c>
      <c r="H293" s="6" t="str">
        <f>'Raw Data Sales'!O293</f>
        <v>PayPal</v>
      </c>
    </row>
    <row r="294">
      <c r="A294" s="6">
        <f>'Raw Data Sales'!A294</f>
        <v>293</v>
      </c>
      <c r="B294" s="8">
        <f>IFERROR(__xludf.DUMMYFUNCTION("""COMPUTED_VALUE"""),43999.0)</f>
        <v>43999</v>
      </c>
      <c r="C294" s="6" t="str">
        <f>IFERROR(__xludf.DUMMYFUNCTION("UNIQUE('Raw Data Sales'!H294:H1292 &amp; "" "" &amp; 'Raw Data Sales'!I294:I1292)"),"Dori Miners")</f>
        <v>Dori Miners</v>
      </c>
      <c r="D294" s="6" t="str">
        <f>IFERROR(__xludf.DUMMYFUNCTION("""COMPUTED_VALUE"""),"Almond Joy Bars")</f>
        <v>Almond Joy Bars</v>
      </c>
      <c r="E294" s="6" t="str">
        <f>'Raw Data Sales'!F294</f>
        <v>Food - Salads</v>
      </c>
      <c r="F294" s="6">
        <f>'Raw Data Sales'!M294</f>
        <v>57</v>
      </c>
      <c r="G294" s="6">
        <f>'Raw Data Sales'!N294</f>
        <v>8437.9</v>
      </c>
      <c r="H294" s="6" t="str">
        <f>'Raw Data Sales'!O294</f>
        <v>PayPal</v>
      </c>
    </row>
    <row r="295">
      <c r="A295" s="6">
        <f>'Raw Data Sales'!A295</f>
        <v>294</v>
      </c>
      <c r="B295" s="8">
        <f>IFERROR(__xludf.DUMMYFUNCTION("""COMPUTED_VALUE"""),43838.0)</f>
        <v>43838</v>
      </c>
      <c r="C295" s="6" t="str">
        <f>IFERROR(__xludf.DUMMYFUNCTION("UNIQUE('Raw Data Sales'!H295:H1293 &amp; "" "" &amp; 'Raw Data Sales'!I295:I1293)"),"Dannye Elsmere")</f>
        <v>Dannye Elsmere</v>
      </c>
      <c r="D295" s="6" t="str">
        <f>IFERROR(__xludf.DUMMYFUNCTION("""COMPUTED_VALUE"""),"Kids Tablet")</f>
        <v>Kids Tablet</v>
      </c>
      <c r="E295" s="6" t="str">
        <f>'Raw Data Sales'!F295</f>
        <v>Office</v>
      </c>
      <c r="F295" s="6">
        <f>'Raw Data Sales'!M295</f>
        <v>11</v>
      </c>
      <c r="G295" s="6">
        <f>'Raw Data Sales'!N295</f>
        <v>6424.49</v>
      </c>
      <c r="H295" s="6" t="str">
        <f>'Raw Data Sales'!O295</f>
        <v>Cash</v>
      </c>
    </row>
    <row r="296">
      <c r="A296" s="6">
        <f>'Raw Data Sales'!A296</f>
        <v>295</v>
      </c>
      <c r="B296" s="8">
        <f>IFERROR(__xludf.DUMMYFUNCTION("""COMPUTED_VALUE"""),43928.0)</f>
        <v>43928</v>
      </c>
      <c r="C296" s="6" t="str">
        <f>IFERROR(__xludf.DUMMYFUNCTION("UNIQUE('Raw Data Sales'!H296:H1294 &amp; "" "" &amp; 'Raw Data Sales'!I296:I1294)"),"Lanna Colman")</f>
        <v>Lanna Colman</v>
      </c>
      <c r="D296" s="6" t="str">
        <f>IFERROR(__xludf.DUMMYFUNCTION("""COMPUTED_VALUE"""),"Peach Halves (canned)")</f>
        <v>Peach Halves (canned)</v>
      </c>
      <c r="E296" s="6" t="str">
        <f>'Raw Data Sales'!F296</f>
        <v>Food - Dairy</v>
      </c>
      <c r="F296" s="6">
        <f>'Raw Data Sales'!M296</f>
        <v>30</v>
      </c>
      <c r="G296" s="6">
        <f>'Raw Data Sales'!N296</f>
        <v>4813.72</v>
      </c>
      <c r="H296" s="6" t="str">
        <f>'Raw Data Sales'!O296</f>
        <v>Credit Card</v>
      </c>
    </row>
    <row r="297">
      <c r="A297" s="6">
        <f>'Raw Data Sales'!A297</f>
        <v>296</v>
      </c>
      <c r="B297" s="8">
        <f>IFERROR(__xludf.DUMMYFUNCTION("""COMPUTED_VALUE"""),44469.0)</f>
        <v>44469</v>
      </c>
      <c r="C297" s="6" t="str">
        <f>IFERROR(__xludf.DUMMYFUNCTION("UNIQUE('Raw Data Sales'!H297:H1295 &amp; "" "" &amp; 'Raw Data Sales'!I297:I1295)"),"Donni Skews")</f>
        <v>Donni Skews</v>
      </c>
      <c r="D297" s="6" t="str">
        <f>IFERROR(__xludf.DUMMYFUNCTION("""COMPUTED_VALUE"""),"Reusable Produce Bags Set")</f>
        <v>Reusable Produce Bags Set</v>
      </c>
      <c r="E297" s="6" t="str">
        <f>'Raw Data Sales'!F297</f>
        <v>Pets</v>
      </c>
      <c r="F297" s="6">
        <f>'Raw Data Sales'!M297</f>
        <v>76</v>
      </c>
      <c r="G297" s="6">
        <f>'Raw Data Sales'!N297</f>
        <v>1021.32</v>
      </c>
      <c r="H297" s="6" t="str">
        <f>'Raw Data Sales'!O297</f>
        <v>PayPal</v>
      </c>
    </row>
    <row r="298">
      <c r="A298" s="6">
        <f>'Raw Data Sales'!A298</f>
        <v>297</v>
      </c>
      <c r="B298" s="8">
        <f>IFERROR(__xludf.DUMMYFUNCTION("""COMPUTED_VALUE"""),43973.0)</f>
        <v>43973</v>
      </c>
      <c r="C298" s="6" t="str">
        <f>IFERROR(__xludf.DUMMYFUNCTION("UNIQUE('Raw Data Sales'!H298:H1296 &amp; "" "" &amp; 'Raw Data Sales'!I298:I1296)"),"Kathleen Thebes")</f>
        <v>Kathleen Thebes</v>
      </c>
      <c r="D298" s="6" t="str">
        <f>IFERROR(__xludf.DUMMYFUNCTION("""COMPUTED_VALUE"""),"Vanilla Protein Powder")</f>
        <v>Vanilla Protein Powder</v>
      </c>
      <c r="E298" s="6" t="str">
        <f>'Raw Data Sales'!F298</f>
        <v>Food - Nuts</v>
      </c>
      <c r="F298" s="6">
        <f>'Raw Data Sales'!M298</f>
        <v>94</v>
      </c>
      <c r="G298" s="6">
        <f>'Raw Data Sales'!N298</f>
        <v>1317.68</v>
      </c>
      <c r="H298" s="6" t="str">
        <f>'Raw Data Sales'!O298</f>
        <v>Credit Card</v>
      </c>
    </row>
    <row r="299">
      <c r="A299" s="6">
        <f>'Raw Data Sales'!A299</f>
        <v>298</v>
      </c>
      <c r="B299" s="8">
        <f>IFERROR(__xludf.DUMMYFUNCTION("""COMPUTED_VALUE"""),44176.0)</f>
        <v>44176</v>
      </c>
      <c r="C299" s="6" t="str">
        <f>IFERROR(__xludf.DUMMYFUNCTION("UNIQUE('Raw Data Sales'!H299:H1297 &amp; "" "" &amp; 'Raw Data Sales'!I299:I1297)"),"Federica Faireclough")</f>
        <v>Federica Faireclough</v>
      </c>
      <c r="D299" s="6" t="str">
        <f>IFERROR(__xludf.DUMMYFUNCTION("""COMPUTED_VALUE"""),"Pineapple Salsa")</f>
        <v>Pineapple Salsa</v>
      </c>
      <c r="E299" s="6" t="str">
        <f>'Raw Data Sales'!F299</f>
        <v>Electronics</v>
      </c>
      <c r="F299" s="6">
        <f>'Raw Data Sales'!M299</f>
        <v>48</v>
      </c>
      <c r="G299" s="6">
        <f>'Raw Data Sales'!N299</f>
        <v>6365.91</v>
      </c>
      <c r="H299" s="6" t="str">
        <f>'Raw Data Sales'!O299</f>
        <v>Credit Card</v>
      </c>
    </row>
    <row r="300">
      <c r="A300" s="6">
        <f>'Raw Data Sales'!A300</f>
        <v>299</v>
      </c>
      <c r="B300" s="8">
        <f>IFERROR(__xludf.DUMMYFUNCTION("""COMPUTED_VALUE"""),44409.0)</f>
        <v>44409</v>
      </c>
      <c r="C300" s="6" t="str">
        <f>IFERROR(__xludf.DUMMYFUNCTION("UNIQUE('Raw Data Sales'!H300:H1298 &amp; "" "" &amp; 'Raw Data Sales'!I300:I1298)"),"Nariko Monck")</f>
        <v>Nariko Monck</v>
      </c>
      <c r="D300" s="6" t="str">
        <f>IFERROR(__xludf.DUMMYFUNCTION("""COMPUTED_VALUE"""),"Natural Soy Candles")</f>
        <v>Natural Soy Candles</v>
      </c>
      <c r="E300" s="6" t="str">
        <f>'Raw Data Sales'!F300</f>
        <v>Gaming</v>
      </c>
      <c r="F300" s="6">
        <f>'Raw Data Sales'!M300</f>
        <v>53</v>
      </c>
      <c r="G300" s="6">
        <f>'Raw Data Sales'!N300</f>
        <v>3754.66</v>
      </c>
      <c r="H300" s="6" t="str">
        <f>'Raw Data Sales'!O300</f>
        <v>Credit Card</v>
      </c>
    </row>
    <row r="301">
      <c r="A301" s="6">
        <f>'Raw Data Sales'!A301</f>
        <v>300</v>
      </c>
      <c r="B301" s="8">
        <f>IFERROR(__xludf.DUMMYFUNCTION("""COMPUTED_VALUE"""),43877.0)</f>
        <v>43877</v>
      </c>
      <c r="C301" s="6" t="str">
        <f>IFERROR(__xludf.DUMMYFUNCTION("UNIQUE('Raw Data Sales'!H301:H1299 &amp; "" "" &amp; 'Raw Data Sales'!I301:I1299)"),"Javier Jeaves")</f>
        <v>Javier Jeaves</v>
      </c>
      <c r="D301" s="6" t="str">
        <f>IFERROR(__xludf.DUMMYFUNCTION("""COMPUTED_VALUE"""),"Tailored Blazer")</f>
        <v>Tailored Blazer</v>
      </c>
      <c r="E301" s="6" t="str">
        <f>'Raw Data Sales'!F301</f>
        <v>Food - Baking</v>
      </c>
      <c r="F301" s="6">
        <f>'Raw Data Sales'!M301</f>
        <v>54</v>
      </c>
      <c r="G301" s="6">
        <f>'Raw Data Sales'!N301</f>
        <v>6287.88</v>
      </c>
      <c r="H301" s="6" t="str">
        <f>'Raw Data Sales'!O301</f>
        <v>PayPal</v>
      </c>
    </row>
    <row r="302">
      <c r="A302" s="6">
        <f>'Raw Data Sales'!A302</f>
        <v>301</v>
      </c>
      <c r="B302" s="8">
        <f>IFERROR(__xludf.DUMMYFUNCTION("""COMPUTED_VALUE"""),44294.0)</f>
        <v>44294</v>
      </c>
      <c r="C302" s="6" t="str">
        <f>IFERROR(__xludf.DUMMYFUNCTION("UNIQUE('Raw Data Sales'!H302:H1300 &amp; "" "" &amp; 'Raw Data Sales'!I302:I1300)"),"Aurore Wassell")</f>
        <v>Aurore Wassell</v>
      </c>
      <c r="D302" s="6" t="str">
        <f>IFERROR(__xludf.DUMMYFUNCTION("""COMPUTED_VALUE"""),"Comfort Flats")</f>
        <v>Comfort Flats</v>
      </c>
      <c r="E302" s="6" t="str">
        <f>'Raw Data Sales'!F302</f>
        <v>Food - Frozen Food</v>
      </c>
      <c r="F302" s="6">
        <f>'Raw Data Sales'!M302</f>
        <v>58</v>
      </c>
      <c r="G302" s="6">
        <f>'Raw Data Sales'!N302</f>
        <v>2528.8</v>
      </c>
      <c r="H302" s="6" t="str">
        <f>'Raw Data Sales'!O302</f>
        <v>Cash</v>
      </c>
    </row>
    <row r="303">
      <c r="A303" s="6">
        <f>'Raw Data Sales'!A303</f>
        <v>302</v>
      </c>
      <c r="B303" s="8">
        <f>IFERROR(__xludf.DUMMYFUNCTION("""COMPUTED_VALUE"""),43931.0)</f>
        <v>43931</v>
      </c>
      <c r="C303" s="6" t="str">
        <f>IFERROR(__xludf.DUMMYFUNCTION("UNIQUE('Raw Data Sales'!H303:H1301 &amp; "" "" &amp; 'Raw Data Sales'!I303:I1301)"),"Reyna Gornall")</f>
        <v>Reyna Gornall</v>
      </c>
      <c r="D303" s="6" t="str">
        <f>IFERROR(__xludf.DUMMYFUNCTION("""COMPUTED_VALUE"""),"Air Mattress")</f>
        <v>Air Mattress</v>
      </c>
      <c r="E303" s="6" t="str">
        <f>'Raw Data Sales'!F303</f>
        <v>Home</v>
      </c>
      <c r="F303" s="6">
        <f>'Raw Data Sales'!M303</f>
        <v>4</v>
      </c>
      <c r="G303" s="6">
        <f>'Raw Data Sales'!N303</f>
        <v>8207.32</v>
      </c>
      <c r="H303" s="6" t="str">
        <f>'Raw Data Sales'!O303</f>
        <v>Credit Card</v>
      </c>
    </row>
    <row r="304">
      <c r="A304" s="6">
        <f>'Raw Data Sales'!A304</f>
        <v>303</v>
      </c>
      <c r="B304" s="8">
        <f>IFERROR(__xludf.DUMMYFUNCTION("""COMPUTED_VALUE"""),44532.0)</f>
        <v>44532</v>
      </c>
      <c r="C304" s="6" t="str">
        <f>IFERROR(__xludf.DUMMYFUNCTION("UNIQUE('Raw Data Sales'!H304:H1302 &amp; "" "" &amp; 'Raw Data Sales'!I304:I1302)"),"Sibby Perrygo")</f>
        <v>Sibby Perrygo</v>
      </c>
      <c r="D304" s="6" t="str">
        <f>IFERROR(__xludf.DUMMYFUNCTION("""COMPUTED_VALUE"""),"Elderberry Syrup")</f>
        <v>Elderberry Syrup</v>
      </c>
      <c r="E304" s="6" t="str">
        <f>'Raw Data Sales'!F304</f>
        <v>Food - Prepared Foods</v>
      </c>
      <c r="F304" s="6">
        <f>'Raw Data Sales'!M304</f>
        <v>88</v>
      </c>
      <c r="G304" s="6">
        <f>'Raw Data Sales'!N304</f>
        <v>4611.41</v>
      </c>
      <c r="H304" s="6" t="str">
        <f>'Raw Data Sales'!O304</f>
        <v>Credit Card</v>
      </c>
    </row>
    <row r="305">
      <c r="A305" s="6">
        <f>'Raw Data Sales'!A305</f>
        <v>304</v>
      </c>
      <c r="B305" s="8">
        <f>IFERROR(__xludf.DUMMYFUNCTION("""COMPUTED_VALUE"""),44237.0)</f>
        <v>44237</v>
      </c>
      <c r="C305" s="6" t="str">
        <f>IFERROR(__xludf.DUMMYFUNCTION("UNIQUE('Raw Data Sales'!H305:H1303 &amp; "" "" &amp; 'Raw Data Sales'!I305:I1303)"),"Westbrooke Filon")</f>
        <v>Westbrooke Filon</v>
      </c>
      <c r="D305" s="6" t="str">
        <f>IFERROR(__xludf.DUMMYFUNCTION("""COMPUTED_VALUE"""),"Chickpea Salad Deluxe")</f>
        <v>Chickpea Salad Deluxe</v>
      </c>
      <c r="E305" s="6" t="str">
        <f>'Raw Data Sales'!F305</f>
        <v>Food - Frozen Foods</v>
      </c>
      <c r="F305" s="6">
        <f>'Raw Data Sales'!M305</f>
        <v>26</v>
      </c>
      <c r="G305" s="6">
        <f>'Raw Data Sales'!N305</f>
        <v>5645.57</v>
      </c>
      <c r="H305" s="6" t="str">
        <f>'Raw Data Sales'!O305</f>
        <v>Cash</v>
      </c>
    </row>
    <row r="306">
      <c r="A306" s="6">
        <f>'Raw Data Sales'!A306</f>
        <v>305</v>
      </c>
      <c r="B306" s="8">
        <f>IFERROR(__xludf.DUMMYFUNCTION("""COMPUTED_VALUE"""),43884.0)</f>
        <v>43884</v>
      </c>
      <c r="C306" s="6" t="str">
        <f>IFERROR(__xludf.DUMMYFUNCTION("UNIQUE('Raw Data Sales'!H306:H1304 &amp; "" "" &amp; 'Raw Data Sales'!I306:I1304)"),"Jule De la Yglesia")</f>
        <v>Jule De la Yglesia</v>
      </c>
      <c r="D306" s="6" t="str">
        <f>IFERROR(__xludf.DUMMYFUNCTION("""COMPUTED_VALUE"""),"Video Camera")</f>
        <v>Video Camera</v>
      </c>
      <c r="E306" s="6" t="str">
        <f>'Raw Data Sales'!F306</f>
        <v>Clothing - Bottoms</v>
      </c>
      <c r="F306" s="6">
        <f>'Raw Data Sales'!M306</f>
        <v>31</v>
      </c>
      <c r="G306" s="6">
        <f>'Raw Data Sales'!N306</f>
        <v>5488.86</v>
      </c>
      <c r="H306" s="6" t="str">
        <f>'Raw Data Sales'!O306</f>
        <v>Cash</v>
      </c>
    </row>
    <row r="307">
      <c r="A307" s="6">
        <f>'Raw Data Sales'!A307</f>
        <v>306</v>
      </c>
      <c r="B307" s="8">
        <f>IFERROR(__xludf.DUMMYFUNCTION("""COMPUTED_VALUE"""),44208.0)</f>
        <v>44208</v>
      </c>
      <c r="C307" s="6" t="str">
        <f>IFERROR(__xludf.DUMMYFUNCTION("UNIQUE('Raw Data Sales'!H307:H1305 &amp; "" "" &amp; 'Raw Data Sales'!I307:I1305)"),"Frannie Prati")</f>
        <v>Frannie Prati</v>
      </c>
      <c r="D307" s="6" t="str">
        <f>IFERROR(__xludf.DUMMYFUNCTION("""COMPUTED_VALUE"""),"Organic Cucumber")</f>
        <v>Organic Cucumber</v>
      </c>
      <c r="E307" s="6" t="str">
        <f>'Raw Data Sales'!F307</f>
        <v>Food - Confectionery</v>
      </c>
      <c r="F307" s="6">
        <f>'Raw Data Sales'!M307</f>
        <v>20</v>
      </c>
      <c r="G307" s="6">
        <f>'Raw Data Sales'!N307</f>
        <v>9598.46</v>
      </c>
      <c r="H307" s="6" t="str">
        <f>'Raw Data Sales'!O307</f>
        <v>Credit Card</v>
      </c>
    </row>
    <row r="308">
      <c r="A308" s="6">
        <f>'Raw Data Sales'!A308</f>
        <v>307</v>
      </c>
      <c r="B308" s="8">
        <f>IFERROR(__xludf.DUMMYFUNCTION("""COMPUTED_VALUE"""),44175.0)</f>
        <v>44175</v>
      </c>
      <c r="C308" s="6" t="str">
        <f>IFERROR(__xludf.DUMMYFUNCTION("UNIQUE('Raw Data Sales'!H308:H1306 &amp; "" "" &amp; 'Raw Data Sales'!I308:I1306)"),"Teddi Whitear")</f>
        <v>Teddi Whitear</v>
      </c>
      <c r="D308" s="6" t="str">
        <f>IFERROR(__xludf.DUMMYFUNCTION("""COMPUTED_VALUE"""),"Berry Smoothie Mix")</f>
        <v>Berry Smoothie Mix</v>
      </c>
      <c r="E308" s="6" t="str">
        <f>'Raw Data Sales'!F308</f>
        <v>Electronics</v>
      </c>
      <c r="F308" s="6">
        <f>'Raw Data Sales'!M308</f>
        <v>44</v>
      </c>
      <c r="G308" s="6">
        <f>'Raw Data Sales'!N308</f>
        <v>4533.92</v>
      </c>
      <c r="H308" s="6" t="str">
        <f>'Raw Data Sales'!O308</f>
        <v>Credit Card</v>
      </c>
    </row>
    <row r="309">
      <c r="A309" s="6">
        <f>'Raw Data Sales'!A309</f>
        <v>308</v>
      </c>
      <c r="B309" s="8">
        <f>IFERROR(__xludf.DUMMYFUNCTION("""COMPUTED_VALUE"""),44558.0)</f>
        <v>44558</v>
      </c>
      <c r="C309" s="6" t="str">
        <f>IFERROR(__xludf.DUMMYFUNCTION("UNIQUE('Raw Data Sales'!H309:H1307 &amp; "" "" &amp; 'Raw Data Sales'!I309:I1307)"),"Caldwell Tritton")</f>
        <v>Caldwell Tritton</v>
      </c>
      <c r="D309" s="6" t="str">
        <f>IFERROR(__xludf.DUMMYFUNCTION("""COMPUTED_VALUE"""),"Apple Juice")</f>
        <v>Apple Juice</v>
      </c>
      <c r="E309" s="6" t="str">
        <f>'Raw Data Sales'!F309</f>
        <v>Food - Canned Goods</v>
      </c>
      <c r="F309" s="6">
        <f>'Raw Data Sales'!M309</f>
        <v>4</v>
      </c>
      <c r="G309" s="6">
        <f>'Raw Data Sales'!N309</f>
        <v>1704.02</v>
      </c>
      <c r="H309" s="6" t="str">
        <f>'Raw Data Sales'!O309</f>
        <v>PayPal</v>
      </c>
    </row>
    <row r="310">
      <c r="A310" s="6">
        <f>'Raw Data Sales'!A310</f>
        <v>309</v>
      </c>
      <c r="B310" s="8">
        <f>IFERROR(__xludf.DUMMYFUNCTION("""COMPUTED_VALUE"""),44030.0)</f>
        <v>44030</v>
      </c>
      <c r="C310" s="6" t="str">
        <f>IFERROR(__xludf.DUMMYFUNCTION("UNIQUE('Raw Data Sales'!H310:H1308 &amp; "" "" &amp; 'Raw Data Sales'!I310:I1308)"),"Korrie Rawstorne")</f>
        <v>Korrie Rawstorne</v>
      </c>
      <c r="D310" s="6" t="str">
        <f>IFERROR(__xludf.DUMMYFUNCTION("""COMPUTED_VALUE"""),"Chickpea Snack Mix")</f>
        <v>Chickpea Snack Mix</v>
      </c>
      <c r="E310" s="6" t="str">
        <f>'Raw Data Sales'!F310</f>
        <v>Kitchen</v>
      </c>
      <c r="F310" s="6">
        <f>'Raw Data Sales'!M310</f>
        <v>25</v>
      </c>
      <c r="G310" s="6">
        <f>'Raw Data Sales'!N310</f>
        <v>9670.23</v>
      </c>
      <c r="H310" s="6" t="str">
        <f>'Raw Data Sales'!O310</f>
        <v>Cash</v>
      </c>
    </row>
    <row r="311">
      <c r="A311" s="6">
        <f>'Raw Data Sales'!A311</f>
        <v>310</v>
      </c>
      <c r="B311" s="8">
        <f>IFERROR(__xludf.DUMMYFUNCTION("""COMPUTED_VALUE"""),44305.0)</f>
        <v>44305</v>
      </c>
      <c r="C311" s="6" t="str">
        <f>IFERROR(__xludf.DUMMYFUNCTION("UNIQUE('Raw Data Sales'!H311:H1309 &amp; "" "" &amp; 'Raw Data Sales'!I311:I1309)"),"Ivie Iamittii")</f>
        <v>Ivie Iamittii</v>
      </c>
      <c r="D311" s="6" t="str">
        <f>IFERROR(__xludf.DUMMYFUNCTION("""COMPUTED_VALUE"""),"Comfortable Bed Pillow")</f>
        <v>Comfortable Bed Pillow</v>
      </c>
      <c r="E311" s="6" t="str">
        <f>'Raw Data Sales'!F311</f>
        <v>Food - Health/Protein</v>
      </c>
      <c r="F311" s="6">
        <f>'Raw Data Sales'!M311</f>
        <v>35</v>
      </c>
      <c r="G311" s="6">
        <f>'Raw Data Sales'!N311</f>
        <v>8846.93</v>
      </c>
      <c r="H311" s="6" t="str">
        <f>'Raw Data Sales'!O311</f>
        <v>Cash</v>
      </c>
    </row>
    <row r="312">
      <c r="A312" s="6">
        <f>'Raw Data Sales'!A312</f>
        <v>311</v>
      </c>
      <c r="B312" s="8">
        <f>IFERROR(__xludf.DUMMYFUNCTION("""COMPUTED_VALUE"""),44255.0)</f>
        <v>44255</v>
      </c>
      <c r="C312" s="6" t="str">
        <f>IFERROR(__xludf.DUMMYFUNCTION("UNIQUE('Raw Data Sales'!H312:H1310 &amp; "" "" &amp; 'Raw Data Sales'!I312:I1310)"),"Gustavo Celle")</f>
        <v>Gustavo Celle</v>
      </c>
      <c r="D312" s="6" t="str">
        <f>IFERROR(__xludf.DUMMYFUNCTION("""COMPUTED_VALUE"""),"Cabbage Slaw Mix")</f>
        <v>Cabbage Slaw Mix</v>
      </c>
      <c r="E312" s="6" t="str">
        <f>'Raw Data Sales'!F312</f>
        <v>Food - Condiments</v>
      </c>
      <c r="F312" s="6">
        <f>'Raw Data Sales'!M312</f>
        <v>34</v>
      </c>
      <c r="G312" s="6">
        <f>'Raw Data Sales'!N312</f>
        <v>3993.13</v>
      </c>
      <c r="H312" s="6" t="str">
        <f>'Raw Data Sales'!O312</f>
        <v>PayPal</v>
      </c>
    </row>
    <row r="313">
      <c r="A313" s="6">
        <f>'Raw Data Sales'!A313</f>
        <v>312</v>
      </c>
      <c r="B313" s="8">
        <f>IFERROR(__xludf.DUMMYFUNCTION("""COMPUTED_VALUE"""),43997.0)</f>
        <v>43997</v>
      </c>
      <c r="C313" s="6" t="str">
        <f>IFERROR(__xludf.DUMMYFUNCTION("UNIQUE('Raw Data Sales'!H313:H1311 &amp; "" "" &amp; 'Raw Data Sales'!I313:I1311)"),"Hortense Hammett")</f>
        <v>Hortense Hammett</v>
      </c>
      <c r="D313" s="6" t="str">
        <f>IFERROR(__xludf.DUMMYFUNCTION("""COMPUTED_VALUE"""),"Stainless Steel Mixing Bowls")</f>
        <v>Stainless Steel Mixing Bowls</v>
      </c>
      <c r="E313" s="6" t="str">
        <f>'Raw Data Sales'!F313</f>
        <v>Home</v>
      </c>
      <c r="F313" s="6">
        <f>'Raw Data Sales'!M313</f>
        <v>94</v>
      </c>
      <c r="G313" s="6">
        <f>'Raw Data Sales'!N313</f>
        <v>9549.6</v>
      </c>
      <c r="H313" s="6" t="str">
        <f>'Raw Data Sales'!O313</f>
        <v>PayPal</v>
      </c>
    </row>
    <row r="314">
      <c r="A314" s="6">
        <f>'Raw Data Sales'!A314</f>
        <v>313</v>
      </c>
      <c r="B314" s="8">
        <f>IFERROR(__xludf.DUMMYFUNCTION("""COMPUTED_VALUE"""),44520.0)</f>
        <v>44520</v>
      </c>
      <c r="C314" s="6" t="str">
        <f>IFERROR(__xludf.DUMMYFUNCTION("UNIQUE('Raw Data Sales'!H314:H1312 &amp; "" "" &amp; 'Raw Data Sales'!I314:I1312)"),"Markus Singleton")</f>
        <v>Markus Singleton</v>
      </c>
      <c r="D314" s="6" t="str">
        <f>IFERROR(__xludf.DUMMYFUNCTION("""COMPUTED_VALUE"""),"Mini Hand Gesture Drone")</f>
        <v>Mini Hand Gesture Drone</v>
      </c>
      <c r="E314" s="6" t="str">
        <f>'Raw Data Sales'!F314</f>
        <v>Clothing - Outerwear</v>
      </c>
      <c r="F314" s="6">
        <f>'Raw Data Sales'!M314</f>
        <v>27</v>
      </c>
      <c r="G314" s="6">
        <f>'Raw Data Sales'!N314</f>
        <v>2575.69</v>
      </c>
      <c r="H314" s="6" t="str">
        <f>'Raw Data Sales'!O314</f>
        <v>PayPal</v>
      </c>
    </row>
    <row r="315">
      <c r="A315" s="6">
        <f>'Raw Data Sales'!A315</f>
        <v>314</v>
      </c>
      <c r="B315" s="8">
        <f>IFERROR(__xludf.DUMMYFUNCTION("""COMPUTED_VALUE"""),43919.0)</f>
        <v>43919</v>
      </c>
      <c r="C315" s="6" t="str">
        <f>IFERROR(__xludf.DUMMYFUNCTION("UNIQUE('Raw Data Sales'!H315:H1313 &amp; "" "" &amp; 'Raw Data Sales'!I315:I1313)"),"Rowan Hedditeh")</f>
        <v>Rowan Hedditeh</v>
      </c>
      <c r="D315" s="6" t="str">
        <f>IFERROR(__xludf.DUMMYFUNCTION("""COMPUTED_VALUE"""),"Sweet Potato &amp; Kale Hash")</f>
        <v>Sweet Potato &amp; Kale Hash</v>
      </c>
      <c r="E315" s="6" t="str">
        <f>'Raw Data Sales'!F315</f>
        <v>Photography</v>
      </c>
      <c r="F315" s="6">
        <f>'Raw Data Sales'!M315</f>
        <v>70</v>
      </c>
      <c r="G315" s="6">
        <f>'Raw Data Sales'!N315</f>
        <v>9158.23</v>
      </c>
      <c r="H315" s="6" t="str">
        <f>'Raw Data Sales'!O315</f>
        <v>Cash</v>
      </c>
    </row>
    <row r="316">
      <c r="A316" s="6">
        <f>'Raw Data Sales'!A316</f>
        <v>315</v>
      </c>
      <c r="B316" s="8">
        <f>IFERROR(__xludf.DUMMYFUNCTION("""COMPUTED_VALUE"""),44169.0)</f>
        <v>44169</v>
      </c>
      <c r="C316" s="6" t="str">
        <f>IFERROR(__xludf.DUMMYFUNCTION("UNIQUE('Raw Data Sales'!H316:H1314 &amp; "" "" &amp; 'Raw Data Sales'!I316:I1314)"),"Frederick Sarton")</f>
        <v>Frederick Sarton</v>
      </c>
      <c r="D316" s="6" t="str">
        <f>IFERROR(__xludf.DUMMYFUNCTION("""COMPUTED_VALUE"""),"Car Emergency Kit")</f>
        <v>Car Emergency Kit</v>
      </c>
      <c r="E316" s="6" t="str">
        <f>'Raw Data Sales'!F316</f>
        <v>Food - Baked Goods</v>
      </c>
      <c r="F316" s="6">
        <f>'Raw Data Sales'!M316</f>
        <v>31</v>
      </c>
      <c r="G316" s="6">
        <f>'Raw Data Sales'!N316</f>
        <v>2192.63</v>
      </c>
      <c r="H316" s="6" t="str">
        <f>'Raw Data Sales'!O316</f>
        <v>Cash</v>
      </c>
    </row>
    <row r="317">
      <c r="A317" s="6">
        <f>'Raw Data Sales'!A317</f>
        <v>316</v>
      </c>
      <c r="B317" s="8">
        <f>IFERROR(__xludf.DUMMYFUNCTION("""COMPUTED_VALUE"""),44405.0)</f>
        <v>44405</v>
      </c>
      <c r="C317" s="6" t="str">
        <f>IFERROR(__xludf.DUMMYFUNCTION("UNIQUE('Raw Data Sales'!H317:H1315 &amp; "" "" &amp; 'Raw Data Sales'!I317:I1315)"),"Phillip Heap")</f>
        <v>Phillip Heap</v>
      </c>
      <c r="D317" s="6" t="str">
        <f>IFERROR(__xludf.DUMMYFUNCTION("""COMPUTED_VALUE"""),"Reusable Silicone Food Storage Bags")</f>
        <v>Reusable Silicone Food Storage Bags</v>
      </c>
      <c r="E317" s="6" t="str">
        <f>'Raw Data Sales'!F317</f>
        <v>Clothing - Shoes</v>
      </c>
      <c r="F317" s="6">
        <f>'Raw Data Sales'!M317</f>
        <v>54</v>
      </c>
      <c r="G317" s="6">
        <f>'Raw Data Sales'!N317</f>
        <v>3944.73</v>
      </c>
      <c r="H317" s="6" t="str">
        <f>'Raw Data Sales'!O317</f>
        <v>Cash</v>
      </c>
    </row>
    <row r="318">
      <c r="A318" s="6">
        <f>'Raw Data Sales'!A318</f>
        <v>317</v>
      </c>
      <c r="B318" s="8">
        <f>IFERROR(__xludf.DUMMYFUNCTION("""COMPUTED_VALUE"""),44173.0)</f>
        <v>44173</v>
      </c>
      <c r="C318" s="6" t="str">
        <f>IFERROR(__xludf.DUMMYFUNCTION("UNIQUE('Raw Data Sales'!H318:H1316 &amp; "" "" &amp; 'Raw Data Sales'!I318:I1316)"),"Uriel Kennaway")</f>
        <v>Uriel Kennaway</v>
      </c>
      <c r="D318" s="6" t="str">
        <f>IFERROR(__xludf.DUMMYFUNCTION("""COMPUTED_VALUE"""),"Vanilla Bean Greek Yogurt")</f>
        <v>Vanilla Bean Greek Yogurt</v>
      </c>
      <c r="E318" s="6" t="str">
        <f>'Raw Data Sales'!F318</f>
        <v>Outdoor</v>
      </c>
      <c r="F318" s="6">
        <f>'Raw Data Sales'!M318</f>
        <v>73</v>
      </c>
      <c r="G318" s="6">
        <f>'Raw Data Sales'!N318</f>
        <v>856.64</v>
      </c>
      <c r="H318" s="6" t="str">
        <f>'Raw Data Sales'!O318</f>
        <v>PayPal</v>
      </c>
    </row>
    <row r="319">
      <c r="A319" s="6">
        <f>'Raw Data Sales'!A319</f>
        <v>318</v>
      </c>
      <c r="B319" s="8">
        <f>IFERROR(__xludf.DUMMYFUNCTION("""COMPUTED_VALUE"""),43993.0)</f>
        <v>43993</v>
      </c>
      <c r="C319" s="6" t="str">
        <f>IFERROR(__xludf.DUMMYFUNCTION("UNIQUE('Raw Data Sales'!H319:H1317 &amp; "" "" &amp; 'Raw Data Sales'!I319:I1317)"),"Patin Hallbord")</f>
        <v>Patin Hallbord</v>
      </c>
      <c r="D319" s="6" t="str">
        <f>IFERROR(__xludf.DUMMYFUNCTION("""COMPUTED_VALUE"""),"Comfortable Jogger Pants")</f>
        <v>Comfortable Jogger Pants</v>
      </c>
      <c r="E319" s="6" t="str">
        <f>'Raw Data Sales'!F319</f>
        <v>Home</v>
      </c>
      <c r="F319" s="6">
        <f>'Raw Data Sales'!M319</f>
        <v>85</v>
      </c>
      <c r="G319" s="6">
        <f>'Raw Data Sales'!N319</f>
        <v>3119.35</v>
      </c>
      <c r="H319" s="6" t="str">
        <f>'Raw Data Sales'!O319</f>
        <v>Cash</v>
      </c>
    </row>
    <row r="320">
      <c r="A320" s="6">
        <f>'Raw Data Sales'!A320</f>
        <v>319</v>
      </c>
      <c r="B320" s="8">
        <f>IFERROR(__xludf.DUMMYFUNCTION("""COMPUTED_VALUE"""),44203.0)</f>
        <v>44203</v>
      </c>
      <c r="C320" s="6" t="str">
        <f>IFERROR(__xludf.DUMMYFUNCTION("UNIQUE('Raw Data Sales'!H320:H1318 &amp; "" "" &amp; 'Raw Data Sales'!I320:I1318)"),"Lucienne Henke")</f>
        <v>Lucienne Henke</v>
      </c>
      <c r="D320" s="6" t="str">
        <f>IFERROR(__xludf.DUMMYFUNCTION("""COMPUTED_VALUE"""),"Travel Eye Mask with Ear Plugs")</f>
        <v>Travel Eye Mask with Ear Plugs</v>
      </c>
      <c r="E320" s="6" t="str">
        <f>'Raw Data Sales'!F320</f>
        <v>Food - Supplements</v>
      </c>
      <c r="F320" s="6">
        <f>'Raw Data Sales'!M320</f>
        <v>99</v>
      </c>
      <c r="G320" s="6">
        <f>'Raw Data Sales'!N320</f>
        <v>6813.38</v>
      </c>
      <c r="H320" s="6" t="str">
        <f>'Raw Data Sales'!O320</f>
        <v>Cash</v>
      </c>
    </row>
    <row r="321">
      <c r="A321" s="6">
        <f>'Raw Data Sales'!A321</f>
        <v>320</v>
      </c>
      <c r="B321" s="8">
        <f>IFERROR(__xludf.DUMMYFUNCTION("""COMPUTED_VALUE"""),44081.0)</f>
        <v>44081</v>
      </c>
      <c r="C321" s="6" t="str">
        <f>IFERROR(__xludf.DUMMYFUNCTION("UNIQUE('Raw Data Sales'!H321:H1319 &amp; "" "" &amp; 'Raw Data Sales'!I321:I1319)"),"Muffin Reichelt")</f>
        <v>Muffin Reichelt</v>
      </c>
      <c r="D321" s="6" t="str">
        <f>IFERROR(__xludf.DUMMYFUNCTION("""COMPUTED_VALUE"""),"Adjustable Height Standing Desk Converter")</f>
        <v>Adjustable Height Standing Desk Converter</v>
      </c>
      <c r="E321" s="6" t="str">
        <f>'Raw Data Sales'!F321</f>
        <v>Food - Produce</v>
      </c>
      <c r="F321" s="6">
        <f>'Raw Data Sales'!M321</f>
        <v>25</v>
      </c>
      <c r="G321" s="6">
        <f>'Raw Data Sales'!N321</f>
        <v>87.31</v>
      </c>
      <c r="H321" s="6" t="str">
        <f>'Raw Data Sales'!O321</f>
        <v>PayPal</v>
      </c>
    </row>
    <row r="322">
      <c r="A322" s="6">
        <f>'Raw Data Sales'!A322</f>
        <v>321</v>
      </c>
      <c r="B322" s="8">
        <f>IFERROR(__xludf.DUMMYFUNCTION("""COMPUTED_VALUE"""),43949.0)</f>
        <v>43949</v>
      </c>
      <c r="C322" s="6" t="str">
        <f>IFERROR(__xludf.DUMMYFUNCTION("UNIQUE('Raw Data Sales'!H322:H1320 &amp; "" "" &amp; 'Raw Data Sales'!I322:I1320)"),"Roi Nerne")</f>
        <v>Roi Nerne</v>
      </c>
      <c r="D322" s="6" t="str">
        <f>IFERROR(__xludf.DUMMYFUNCTION("""COMPUTED_VALUE"""),"Personal Security Alarm Keychain")</f>
        <v>Personal Security Alarm Keychain</v>
      </c>
      <c r="E322" s="6" t="str">
        <f>'Raw Data Sales'!F322</f>
        <v>Electronics</v>
      </c>
      <c r="F322" s="6">
        <f>'Raw Data Sales'!M322</f>
        <v>43</v>
      </c>
      <c r="G322" s="6">
        <f>'Raw Data Sales'!N322</f>
        <v>7799.37</v>
      </c>
      <c r="H322" s="6" t="str">
        <f>'Raw Data Sales'!O322</f>
        <v>Credit Card</v>
      </c>
    </row>
    <row r="323">
      <c r="A323" s="6">
        <f>'Raw Data Sales'!A323</f>
        <v>322</v>
      </c>
      <c r="B323" s="8">
        <f>IFERROR(__xludf.DUMMYFUNCTION("""COMPUTED_VALUE"""),44519.0)</f>
        <v>44519</v>
      </c>
      <c r="C323" s="6" t="str">
        <f>IFERROR(__xludf.DUMMYFUNCTION("UNIQUE('Raw Data Sales'!H323:H1321 &amp; "" "" &amp; 'Raw Data Sales'!I323:I1321)"),"Eva Krzyzanowski")</f>
        <v>Eva Krzyzanowski</v>
      </c>
      <c r="D323" s="6" t="str">
        <f>IFERROR(__xludf.DUMMYFUNCTION("""COMPUTED_VALUE"""),"Sliced Turkey Breast")</f>
        <v>Sliced Turkey Breast</v>
      </c>
      <c r="E323" s="6" t="str">
        <f>'Raw Data Sales'!F323</f>
        <v>Food - Vegetables</v>
      </c>
      <c r="F323" s="6">
        <f>'Raw Data Sales'!M323</f>
        <v>4</v>
      </c>
      <c r="G323" s="6">
        <f>'Raw Data Sales'!N323</f>
        <v>4478.68</v>
      </c>
      <c r="H323" s="6" t="str">
        <f>'Raw Data Sales'!O323</f>
        <v>Credit Card</v>
      </c>
    </row>
    <row r="324">
      <c r="A324" s="6">
        <f>'Raw Data Sales'!A324</f>
        <v>323</v>
      </c>
      <c r="B324" s="8">
        <f>IFERROR(__xludf.DUMMYFUNCTION("""COMPUTED_VALUE"""),44089.0)</f>
        <v>44089</v>
      </c>
      <c r="C324" s="6" t="str">
        <f>IFERROR(__xludf.DUMMYFUNCTION("UNIQUE('Raw Data Sales'!H324:H1322 &amp; "" "" &amp; 'Raw Data Sales'!I324:I1322)"),"Shelba Rome")</f>
        <v>Shelba Rome</v>
      </c>
      <c r="D324" s="6" t="str">
        <f>IFERROR(__xludf.DUMMYFUNCTION("""COMPUTED_VALUE"""),"Graphic Tee")</f>
        <v>Graphic Tee</v>
      </c>
      <c r="E324" s="6" t="str">
        <f>'Raw Data Sales'!F324</f>
        <v>Food - Frozen Foods</v>
      </c>
      <c r="F324" s="6">
        <f>'Raw Data Sales'!M324</f>
        <v>74</v>
      </c>
      <c r="G324" s="6">
        <f>'Raw Data Sales'!N324</f>
        <v>3288.2</v>
      </c>
      <c r="H324" s="6" t="str">
        <f>'Raw Data Sales'!O324</f>
        <v>Cash</v>
      </c>
    </row>
    <row r="325">
      <c r="A325" s="6">
        <f>'Raw Data Sales'!A325</f>
        <v>324</v>
      </c>
      <c r="B325" s="8">
        <f>IFERROR(__xludf.DUMMYFUNCTION("""COMPUTED_VALUE"""),44248.0)</f>
        <v>44248</v>
      </c>
      <c r="C325" s="6" t="str">
        <f>IFERROR(__xludf.DUMMYFUNCTION("UNIQUE('Raw Data Sales'!H325:H1323 &amp; "" "" &amp; 'Raw Data Sales'!I325:I1323)"),"Ellissa Obal")</f>
        <v>Ellissa Obal</v>
      </c>
      <c r="D325" s="6" t="str">
        <f>IFERROR(__xludf.DUMMYFUNCTION("""COMPUTED_VALUE"""),"Chia Seeds")</f>
        <v>Chia Seeds</v>
      </c>
      <c r="E325" s="6" t="str">
        <f>'Raw Data Sales'!F325</f>
        <v>Food - Beverages</v>
      </c>
      <c r="F325" s="6">
        <f>'Raw Data Sales'!M325</f>
        <v>71</v>
      </c>
      <c r="G325" s="6">
        <f>'Raw Data Sales'!N325</f>
        <v>3654.35</v>
      </c>
      <c r="H325" s="6" t="str">
        <f>'Raw Data Sales'!O325</f>
        <v>PayPal</v>
      </c>
    </row>
    <row r="326">
      <c r="A326" s="6">
        <f>'Raw Data Sales'!A326</f>
        <v>325</v>
      </c>
      <c r="B326" s="8">
        <f>IFERROR(__xludf.DUMMYFUNCTION("""COMPUTED_VALUE"""),44217.0)</f>
        <v>44217</v>
      </c>
      <c r="C326" s="6" t="str">
        <f>IFERROR(__xludf.DUMMYFUNCTION("UNIQUE('Raw Data Sales'!H326:H1324 &amp; "" "" &amp; 'Raw Data Sales'!I326:I1324)"),"Cally Stickells")</f>
        <v>Cally Stickells</v>
      </c>
      <c r="D326" s="6" t="str">
        <f>IFERROR(__xludf.DUMMYFUNCTION("""COMPUTED_VALUE"""),"Spinach Pizza Rolls")</f>
        <v>Spinach Pizza Rolls</v>
      </c>
      <c r="E326" s="6" t="str">
        <f>'Raw Data Sales'!F326</f>
        <v>Food - Confectionery</v>
      </c>
      <c r="F326" s="6">
        <f>'Raw Data Sales'!M326</f>
        <v>13</v>
      </c>
      <c r="G326" s="6">
        <f>'Raw Data Sales'!N326</f>
        <v>5022.39</v>
      </c>
      <c r="H326" s="6" t="str">
        <f>'Raw Data Sales'!O326</f>
        <v>Credit Card</v>
      </c>
    </row>
    <row r="327">
      <c r="A327" s="6">
        <f>'Raw Data Sales'!A327</f>
        <v>326</v>
      </c>
      <c r="B327" s="8">
        <f>IFERROR(__xludf.DUMMYFUNCTION("""COMPUTED_VALUE"""),44078.0)</f>
        <v>44078</v>
      </c>
      <c r="C327" s="6" t="str">
        <f>IFERROR(__xludf.DUMMYFUNCTION("UNIQUE('Raw Data Sales'!H327:H1325 &amp; "" "" &amp; 'Raw Data Sales'!I327:I1325)"),"Myrtle Jaye")</f>
        <v>Myrtle Jaye</v>
      </c>
      <c r="D327" s="6" t="str">
        <f>IFERROR(__xludf.DUMMYFUNCTION("""COMPUTED_VALUE"""),"Almond Flour Pancake Mix")</f>
        <v>Almond Flour Pancake Mix</v>
      </c>
      <c r="E327" s="6" t="str">
        <f>'Raw Data Sales'!F327</f>
        <v>Food - Snacks</v>
      </c>
      <c r="F327" s="6">
        <f>'Raw Data Sales'!M327</f>
        <v>15</v>
      </c>
      <c r="G327" s="6">
        <f>'Raw Data Sales'!N327</f>
        <v>9734.29</v>
      </c>
      <c r="H327" s="6" t="str">
        <f>'Raw Data Sales'!O327</f>
        <v>Credit Card</v>
      </c>
    </row>
    <row r="328">
      <c r="A328" s="6">
        <f>'Raw Data Sales'!A328</f>
        <v>327</v>
      </c>
      <c r="B328" s="8">
        <f>IFERROR(__xludf.DUMMYFUNCTION("""COMPUTED_VALUE"""),44435.0)</f>
        <v>44435</v>
      </c>
      <c r="C328" s="6" t="str">
        <f>IFERROR(__xludf.DUMMYFUNCTION("UNIQUE('Raw Data Sales'!H328:H1326 &amp; "" "" &amp; 'Raw Data Sales'!I328:I1326)"),"Torey Ibbeson")</f>
        <v>Torey Ibbeson</v>
      </c>
      <c r="D328" s="6" t="str">
        <f>IFERROR(__xludf.DUMMYFUNCTION("""COMPUTED_VALUE"""),"Portable Solar Camp Shower")</f>
        <v>Portable Solar Camp Shower</v>
      </c>
      <c r="E328" s="6" t="str">
        <f>'Raw Data Sales'!F328</f>
        <v>Home</v>
      </c>
      <c r="F328" s="6">
        <f>'Raw Data Sales'!M328</f>
        <v>8</v>
      </c>
      <c r="G328" s="6">
        <f>'Raw Data Sales'!N328</f>
        <v>6673.53</v>
      </c>
      <c r="H328" s="6" t="str">
        <f>'Raw Data Sales'!O328</f>
        <v>Credit Card</v>
      </c>
    </row>
    <row r="329">
      <c r="A329" s="6">
        <f>'Raw Data Sales'!A329</f>
        <v>328</v>
      </c>
      <c r="B329" s="8">
        <f>IFERROR(__xludf.DUMMYFUNCTION("""COMPUTED_VALUE"""),44070.0)</f>
        <v>44070</v>
      </c>
      <c r="C329" s="6" t="str">
        <f>IFERROR(__xludf.DUMMYFUNCTION("UNIQUE('Raw Data Sales'!H329:H1327 &amp; "" "" &amp; 'Raw Data Sales'!I329:I1327)"),"Karlotte Petters")</f>
        <v>Karlotte Petters</v>
      </c>
      <c r="D329" s="6" t="str">
        <f>IFERROR(__xludf.DUMMYFUNCTION("""COMPUTED_VALUE"""),"Lemon Basil Pasta Sauce")</f>
        <v>Lemon Basil Pasta Sauce</v>
      </c>
      <c r="E329" s="6" t="str">
        <f>'Raw Data Sales'!F329</f>
        <v>Food - Vegetables</v>
      </c>
      <c r="F329" s="6">
        <f>'Raw Data Sales'!M329</f>
        <v>71</v>
      </c>
      <c r="G329" s="6">
        <f>'Raw Data Sales'!N329</f>
        <v>1033.58</v>
      </c>
      <c r="H329" s="6" t="str">
        <f>'Raw Data Sales'!O329</f>
        <v>PayPal</v>
      </c>
    </row>
    <row r="330">
      <c r="A330" s="6">
        <f>'Raw Data Sales'!A330</f>
        <v>329</v>
      </c>
      <c r="B330" s="8">
        <f>IFERROR(__xludf.DUMMYFUNCTION("""COMPUTED_VALUE"""),44470.0)</f>
        <v>44470</v>
      </c>
      <c r="C330" s="6" t="str">
        <f>IFERROR(__xludf.DUMMYFUNCTION("UNIQUE('Raw Data Sales'!H330:H1328 &amp; "" "" &amp; 'Raw Data Sales'!I330:I1328)"),"Myles Royce")</f>
        <v>Myles Royce</v>
      </c>
      <c r="D330" s="6" t="str">
        <f>IFERROR(__xludf.DUMMYFUNCTION("""COMPUTED_VALUE"""),"Leek and Potato Soup")</f>
        <v>Leek and Potato Soup</v>
      </c>
      <c r="E330" s="6" t="str">
        <f>'Raw Data Sales'!F330</f>
        <v>Kitchen</v>
      </c>
      <c r="F330" s="6">
        <f>'Raw Data Sales'!M330</f>
        <v>9</v>
      </c>
      <c r="G330" s="6">
        <f>'Raw Data Sales'!N330</f>
        <v>992.78</v>
      </c>
      <c r="H330" s="6" t="str">
        <f>'Raw Data Sales'!O330</f>
        <v>Credit Card</v>
      </c>
    </row>
    <row r="331">
      <c r="A331" s="6">
        <f>'Raw Data Sales'!A331</f>
        <v>330</v>
      </c>
      <c r="B331" s="8">
        <f>IFERROR(__xludf.DUMMYFUNCTION("""COMPUTED_VALUE"""),44422.0)</f>
        <v>44422</v>
      </c>
      <c r="C331" s="6" t="str">
        <f>IFERROR(__xludf.DUMMYFUNCTION("UNIQUE('Raw Data Sales'!H331:H1329 &amp; "" "" &amp; 'Raw Data Sales'!I331:I1329)"),"Maurise Penner")</f>
        <v>Maurise Penner</v>
      </c>
      <c r="D331" s="6" t="str">
        <f>IFERROR(__xludf.DUMMYFUNCTION("""COMPUTED_VALUE"""),"Classic Chicken Noodle Soup")</f>
        <v>Classic Chicken Noodle Soup</v>
      </c>
      <c r="E331" s="6" t="str">
        <f>'Raw Data Sales'!F331</f>
        <v>Toys</v>
      </c>
      <c r="F331" s="6">
        <f>'Raw Data Sales'!M331</f>
        <v>28</v>
      </c>
      <c r="G331" s="6">
        <f>'Raw Data Sales'!N331</f>
        <v>1530.56</v>
      </c>
      <c r="H331" s="6" t="str">
        <f>'Raw Data Sales'!O331</f>
        <v>PayPal</v>
      </c>
    </row>
    <row r="332">
      <c r="A332" s="6">
        <f>'Raw Data Sales'!A332</f>
        <v>331</v>
      </c>
      <c r="B332" s="8">
        <f>IFERROR(__xludf.DUMMYFUNCTION("""COMPUTED_VALUE"""),44122.0)</f>
        <v>44122</v>
      </c>
      <c r="C332" s="6" t="str">
        <f>IFERROR(__xludf.DUMMYFUNCTION("UNIQUE('Raw Data Sales'!H332:H1330 &amp; "" "" &amp; 'Raw Data Sales'!I332:I1330)"),"Amber Leaming")</f>
        <v>Amber Leaming</v>
      </c>
      <c r="D332" s="6" t="str">
        <f>IFERROR(__xludf.DUMMYFUNCTION("""COMPUTED_VALUE"""),"Eco-Friendly Notepad")</f>
        <v>Eco-Friendly Notepad</v>
      </c>
      <c r="E332" s="6" t="str">
        <f>'Raw Data Sales'!F332</f>
        <v>Food - Prepared Foods</v>
      </c>
      <c r="F332" s="6">
        <f>'Raw Data Sales'!M332</f>
        <v>12</v>
      </c>
      <c r="G332" s="6">
        <f>'Raw Data Sales'!N332</f>
        <v>1134.63</v>
      </c>
      <c r="H332" s="6" t="str">
        <f>'Raw Data Sales'!O332</f>
        <v>PayPal</v>
      </c>
    </row>
    <row r="333">
      <c r="A333" s="6">
        <f>'Raw Data Sales'!A333</f>
        <v>332</v>
      </c>
      <c r="B333" s="8">
        <f>IFERROR(__xludf.DUMMYFUNCTION("""COMPUTED_VALUE"""),44399.0)</f>
        <v>44399</v>
      </c>
      <c r="C333" s="6" t="str">
        <f>IFERROR(__xludf.DUMMYFUNCTION("UNIQUE('Raw Data Sales'!H333:H1331 &amp; "" "" &amp; 'Raw Data Sales'!I333:I1331)"),"Dennet Le Frank")</f>
        <v>Dennet Le Frank</v>
      </c>
      <c r="D333" s="6" t="str">
        <f>IFERROR(__xludf.DUMMYFUNCTION("""COMPUTED_VALUE"""),"LED Strip Lights with Remote Control")</f>
        <v>LED Strip Lights with Remote Control</v>
      </c>
      <c r="E333" s="6" t="str">
        <f>'Raw Data Sales'!F333</f>
        <v>Automotive</v>
      </c>
      <c r="F333" s="6">
        <f>'Raw Data Sales'!M333</f>
        <v>74</v>
      </c>
      <c r="G333" s="6">
        <f>'Raw Data Sales'!N333</f>
        <v>4257.72</v>
      </c>
      <c r="H333" s="6" t="str">
        <f>'Raw Data Sales'!O333</f>
        <v>Cash</v>
      </c>
    </row>
    <row r="334">
      <c r="A334" s="6">
        <f>'Raw Data Sales'!A334</f>
        <v>333</v>
      </c>
      <c r="B334" s="8">
        <f>IFERROR(__xludf.DUMMYFUNCTION("""COMPUTED_VALUE"""),44140.0)</f>
        <v>44140</v>
      </c>
      <c r="C334" s="6" t="str">
        <f>IFERROR(__xludf.DUMMYFUNCTION("UNIQUE('Raw Data Sales'!H334:H1332 &amp; "" "" &amp; 'Raw Data Sales'!I334:I1332)"),"Cristionna Gilhooly")</f>
        <v>Cristionna Gilhooly</v>
      </c>
      <c r="D334" s="6" t="str">
        <f>IFERROR(__xludf.DUMMYFUNCTION("""COMPUTED_VALUE"""),"Silicone Stretch Lids")</f>
        <v>Silicone Stretch Lids</v>
      </c>
      <c r="E334" s="6" t="str">
        <f>'Raw Data Sales'!F334</f>
        <v>Smart Home</v>
      </c>
      <c r="F334" s="6">
        <f>'Raw Data Sales'!M334</f>
        <v>92</v>
      </c>
      <c r="G334" s="6">
        <f>'Raw Data Sales'!N334</f>
        <v>936.79</v>
      </c>
      <c r="H334" s="6" t="str">
        <f>'Raw Data Sales'!O334</f>
        <v>PayPal</v>
      </c>
    </row>
    <row r="335">
      <c r="A335" s="6">
        <f>'Raw Data Sales'!A335</f>
        <v>334</v>
      </c>
      <c r="B335" s="8">
        <f>IFERROR(__xludf.DUMMYFUNCTION("""COMPUTED_VALUE"""),43842.0)</f>
        <v>43842</v>
      </c>
      <c r="C335" s="6" t="str">
        <f>IFERROR(__xludf.DUMMYFUNCTION("UNIQUE('Raw Data Sales'!H335:H1333 &amp; "" "" &amp; 'Raw Data Sales'!I335:I1333)"),"Taddeusz Putson")</f>
        <v>Taddeusz Putson</v>
      </c>
      <c r="D335" s="6" t="str">
        <f>IFERROR(__xludf.DUMMYFUNCTION("""COMPUTED_VALUE"""),"Interactive Robot Toy")</f>
        <v>Interactive Robot Toy</v>
      </c>
      <c r="E335" s="6" t="str">
        <f>'Raw Data Sales'!F335</f>
        <v>Kitchen</v>
      </c>
      <c r="F335" s="6">
        <f>'Raw Data Sales'!M335</f>
        <v>8</v>
      </c>
      <c r="G335" s="6">
        <f>'Raw Data Sales'!N335</f>
        <v>6698.02</v>
      </c>
      <c r="H335" s="6" t="str">
        <f>'Raw Data Sales'!O335</f>
        <v>PayPal</v>
      </c>
    </row>
    <row r="336">
      <c r="A336" s="6">
        <f>'Raw Data Sales'!A336</f>
        <v>335</v>
      </c>
      <c r="B336" s="8">
        <f>IFERROR(__xludf.DUMMYFUNCTION("""COMPUTED_VALUE"""),44315.0)</f>
        <v>44315</v>
      </c>
      <c r="C336" s="6" t="str">
        <f>IFERROR(__xludf.DUMMYFUNCTION("UNIQUE('Raw Data Sales'!H336:H1334 &amp; "" "" &amp; 'Raw Data Sales'!I336:I1334)"),"Bennie Lagde")</f>
        <v>Bennie Lagde</v>
      </c>
      <c r="D336" s="6" t="str">
        <f>IFERROR(__xludf.DUMMYFUNCTION("""COMPUTED_VALUE"""),"BBQ Jackfruit")</f>
        <v>BBQ Jackfruit</v>
      </c>
      <c r="E336" s="6" t="str">
        <f>'Raw Data Sales'!F336</f>
        <v>Food - Baking</v>
      </c>
      <c r="F336" s="6">
        <f>'Raw Data Sales'!M336</f>
        <v>7</v>
      </c>
      <c r="G336" s="6">
        <f>'Raw Data Sales'!N336</f>
        <v>8874.37</v>
      </c>
      <c r="H336" s="6" t="str">
        <f>'Raw Data Sales'!O336</f>
        <v>PayPal</v>
      </c>
    </row>
    <row r="337">
      <c r="A337" s="6">
        <f>'Raw Data Sales'!A337</f>
        <v>336</v>
      </c>
      <c r="B337" s="8">
        <f>IFERROR(__xludf.DUMMYFUNCTION("""COMPUTED_VALUE"""),44130.0)</f>
        <v>44130</v>
      </c>
      <c r="C337" s="6" t="str">
        <f>IFERROR(__xludf.DUMMYFUNCTION("UNIQUE('Raw Data Sales'!H337:H1335 &amp; "" "" &amp; 'Raw Data Sales'!I337:I1335)"),"Mellie Simonson")</f>
        <v>Mellie Simonson</v>
      </c>
      <c r="D337" s="6" t="str">
        <f>IFERROR(__xludf.DUMMYFUNCTION("""COMPUTED_VALUE"""),"Wireless Smart Plug")</f>
        <v>Wireless Smart Plug</v>
      </c>
      <c r="E337" s="6" t="str">
        <f>'Raw Data Sales'!F337</f>
        <v>Food - Dairy</v>
      </c>
      <c r="F337" s="6">
        <f>'Raw Data Sales'!M337</f>
        <v>83</v>
      </c>
      <c r="G337" s="6">
        <f>'Raw Data Sales'!N337</f>
        <v>1786.87</v>
      </c>
      <c r="H337" s="6" t="str">
        <f>'Raw Data Sales'!O337</f>
        <v>Cash</v>
      </c>
    </row>
    <row r="338">
      <c r="A338" s="6">
        <f>'Raw Data Sales'!A338</f>
        <v>337</v>
      </c>
      <c r="B338" s="8">
        <f>IFERROR(__xludf.DUMMYFUNCTION("""COMPUTED_VALUE"""),44254.0)</f>
        <v>44254</v>
      </c>
      <c r="C338" s="6" t="str">
        <f>IFERROR(__xludf.DUMMYFUNCTION("UNIQUE('Raw Data Sales'!H338:H1336 &amp; "" "" &amp; 'Raw Data Sales'!I338:I1336)"),"Kanya Gotliffe")</f>
        <v>Kanya Gotliffe</v>
      </c>
      <c r="D338" s="6" t="str">
        <f>IFERROR(__xludf.DUMMYFUNCTION("""COMPUTED_VALUE"""),"Herbed Goat Cheese")</f>
        <v>Herbed Goat Cheese</v>
      </c>
      <c r="E338" s="6" t="str">
        <f>'Raw Data Sales'!F338</f>
        <v>Clothing - Bottoms</v>
      </c>
      <c r="F338" s="6">
        <f>'Raw Data Sales'!M338</f>
        <v>40</v>
      </c>
      <c r="G338" s="6">
        <f>'Raw Data Sales'!N338</f>
        <v>5546.65</v>
      </c>
      <c r="H338" s="6" t="str">
        <f>'Raw Data Sales'!O338</f>
        <v>PayPal</v>
      </c>
    </row>
    <row r="339">
      <c r="A339" s="6">
        <f>'Raw Data Sales'!A339</f>
        <v>338</v>
      </c>
      <c r="B339" s="8">
        <f>IFERROR(__xludf.DUMMYFUNCTION("""COMPUTED_VALUE"""),44518.0)</f>
        <v>44518</v>
      </c>
      <c r="C339" s="6" t="str">
        <f>IFERROR(__xludf.DUMMYFUNCTION("UNIQUE('Raw Data Sales'!H339:H1337 &amp; "" "" &amp; 'Raw Data Sales'!I339:I1337)"),"Webster Bubbear")</f>
        <v>Webster Bubbear</v>
      </c>
      <c r="D339" s="6" t="str">
        <f>IFERROR(__xludf.DUMMYFUNCTION("""COMPUTED_VALUE"""),"Electric Screwdriver")</f>
        <v>Electric Screwdriver</v>
      </c>
      <c r="E339" s="6" t="str">
        <f>'Raw Data Sales'!F339</f>
        <v>Travel</v>
      </c>
      <c r="F339" s="6">
        <f>'Raw Data Sales'!M339</f>
        <v>35</v>
      </c>
      <c r="G339" s="6">
        <f>'Raw Data Sales'!N339</f>
        <v>3673.08</v>
      </c>
      <c r="H339" s="6" t="str">
        <f>'Raw Data Sales'!O339</f>
        <v>Cash</v>
      </c>
    </row>
    <row r="340">
      <c r="A340" s="6">
        <f>'Raw Data Sales'!A340</f>
        <v>339</v>
      </c>
      <c r="B340" s="8">
        <f>IFERROR(__xludf.DUMMYFUNCTION("""COMPUTED_VALUE"""),44439.0)</f>
        <v>44439</v>
      </c>
      <c r="C340" s="6" t="str">
        <f>IFERROR(__xludf.DUMMYFUNCTION("UNIQUE('Raw Data Sales'!H340:H1338 &amp; "" "" &amp; 'Raw Data Sales'!I340:I1338)"),"Lynette Woodbridge")</f>
        <v>Lynette Woodbridge</v>
      </c>
      <c r="D340" s="6" t="str">
        <f>IFERROR(__xludf.DUMMYFUNCTION("""COMPUTED_VALUE"""),"Spicy Thai Chili Sauce")</f>
        <v>Spicy Thai Chili Sauce</v>
      </c>
      <c r="E340" s="6" t="str">
        <f>'Raw Data Sales'!F340</f>
        <v>Office</v>
      </c>
      <c r="F340" s="6">
        <f>'Raw Data Sales'!M340</f>
        <v>63</v>
      </c>
      <c r="G340" s="6">
        <f>'Raw Data Sales'!N340</f>
        <v>2087.16</v>
      </c>
      <c r="H340" s="6" t="str">
        <f>'Raw Data Sales'!O340</f>
        <v>Credit Card</v>
      </c>
    </row>
    <row r="341">
      <c r="A341" s="6">
        <f>'Raw Data Sales'!A341</f>
        <v>340</v>
      </c>
      <c r="B341" s="8">
        <f>IFERROR(__xludf.DUMMYFUNCTION("""COMPUTED_VALUE"""),44123.0)</f>
        <v>44123</v>
      </c>
      <c r="C341" s="6" t="str">
        <f>IFERROR(__xludf.DUMMYFUNCTION("UNIQUE('Raw Data Sales'!H341:H1339 &amp; "" "" &amp; 'Raw Data Sales'!I341:I1339)"),"Corenda MacShane")</f>
        <v>Corenda MacShane</v>
      </c>
      <c r="D341" s="6" t="str">
        <f>IFERROR(__xludf.DUMMYFUNCTION("""COMPUTED_VALUE"""),"Creamy Avocado Dip")</f>
        <v>Creamy Avocado Dip</v>
      </c>
      <c r="E341" s="6" t="str">
        <f>'Raw Data Sales'!F341</f>
        <v>Safety</v>
      </c>
      <c r="F341" s="6">
        <f>'Raw Data Sales'!M341</f>
        <v>77</v>
      </c>
      <c r="G341" s="6">
        <f>'Raw Data Sales'!N341</f>
        <v>8437.02</v>
      </c>
      <c r="H341" s="6" t="str">
        <f>'Raw Data Sales'!O341</f>
        <v>Cash</v>
      </c>
    </row>
    <row r="342">
      <c r="A342" s="6">
        <f>'Raw Data Sales'!A342</f>
        <v>341</v>
      </c>
      <c r="B342" s="8">
        <f>IFERROR(__xludf.DUMMYFUNCTION("""COMPUTED_VALUE"""),44229.0)</f>
        <v>44229</v>
      </c>
      <c r="C342" s="6" t="str">
        <f>IFERROR(__xludf.DUMMYFUNCTION("UNIQUE('Raw Data Sales'!H342:H1340 &amp; "" "" &amp; 'Raw Data Sales'!I342:I1340)"),"Ricki Harber")</f>
        <v>Ricki Harber</v>
      </c>
      <c r="D342" s="6" t="str">
        <f>IFERROR(__xludf.DUMMYFUNCTION("""COMPUTED_VALUE"""),"Frozen Pizza")</f>
        <v>Frozen Pizza</v>
      </c>
      <c r="E342" s="6" t="str">
        <f>'Raw Data Sales'!F342</f>
        <v>Food - Deli Meats</v>
      </c>
      <c r="F342" s="6">
        <f>'Raw Data Sales'!M342</f>
        <v>93</v>
      </c>
      <c r="G342" s="6">
        <f>'Raw Data Sales'!N342</f>
        <v>2881.46</v>
      </c>
      <c r="H342" s="6" t="str">
        <f>'Raw Data Sales'!O342</f>
        <v>Cash</v>
      </c>
    </row>
    <row r="343">
      <c r="A343" s="6">
        <f>'Raw Data Sales'!A343</f>
        <v>342</v>
      </c>
      <c r="B343" s="8">
        <f>IFERROR(__xludf.DUMMYFUNCTION("""COMPUTED_VALUE"""),43913.0)</f>
        <v>43913</v>
      </c>
      <c r="C343" s="6" t="str">
        <f>IFERROR(__xludf.DUMMYFUNCTION("UNIQUE('Raw Data Sales'!H343:H1341 &amp; "" "" &amp; 'Raw Data Sales'!I343:I1341)"),"Julina Rizzolo")</f>
        <v>Julina Rizzolo</v>
      </c>
      <c r="D343" s="6" t="str">
        <f>IFERROR(__xludf.DUMMYFUNCTION("""COMPUTED_VALUE"""),"Habanero Hot Sauce")</f>
        <v>Habanero Hot Sauce</v>
      </c>
      <c r="E343" s="6" t="str">
        <f>'Raw Data Sales'!F343</f>
        <v>Clothing</v>
      </c>
      <c r="F343" s="6">
        <f>'Raw Data Sales'!M343</f>
        <v>32</v>
      </c>
      <c r="G343" s="6">
        <f>'Raw Data Sales'!N343</f>
        <v>6140.06</v>
      </c>
      <c r="H343" s="6" t="str">
        <f>'Raw Data Sales'!O343</f>
        <v>Cash</v>
      </c>
    </row>
    <row r="344">
      <c r="A344" s="6">
        <f>'Raw Data Sales'!A344</f>
        <v>343</v>
      </c>
      <c r="B344" s="8">
        <f>IFERROR(__xludf.DUMMYFUNCTION("""COMPUTED_VALUE"""),44457.0)</f>
        <v>44457</v>
      </c>
      <c r="C344" s="6" t="str">
        <f>IFERROR(__xludf.DUMMYFUNCTION("UNIQUE('Raw Data Sales'!H344:H1342 &amp; "" "" &amp; 'Raw Data Sales'!I344:I1342)"),"Bryn Amor")</f>
        <v>Bryn Amor</v>
      </c>
      <c r="D344" s="6" t="str">
        <f>IFERROR(__xludf.DUMMYFUNCTION("""COMPUTED_VALUE"""),"Adjustable Kneeling Pad")</f>
        <v>Adjustable Kneeling Pad</v>
      </c>
      <c r="E344" s="6" t="str">
        <f>'Raw Data Sales'!F344</f>
        <v>Food - Grains</v>
      </c>
      <c r="F344" s="6">
        <f>'Raw Data Sales'!M344</f>
        <v>23</v>
      </c>
      <c r="G344" s="6">
        <f>'Raw Data Sales'!N344</f>
        <v>8659.33</v>
      </c>
      <c r="H344" s="6" t="str">
        <f>'Raw Data Sales'!O344</f>
        <v>Cash</v>
      </c>
    </row>
    <row r="345">
      <c r="A345" s="6">
        <f>'Raw Data Sales'!A345</f>
        <v>344</v>
      </c>
      <c r="B345" s="8">
        <f>IFERROR(__xludf.DUMMYFUNCTION("""COMPUTED_VALUE"""),44471.0)</f>
        <v>44471</v>
      </c>
      <c r="C345" s="6" t="str">
        <f>IFERROR(__xludf.DUMMYFUNCTION("UNIQUE('Raw Data Sales'!H345:H1343 &amp; "" "" &amp; 'Raw Data Sales'!I345:I1343)"),"Anderea Beauvais")</f>
        <v>Anderea Beauvais</v>
      </c>
      <c r="D345" s="6" t="str">
        <f>IFERROR(__xludf.DUMMYFUNCTION("""COMPUTED_VALUE"""),"3D Night Light")</f>
        <v>3D Night Light</v>
      </c>
      <c r="E345" s="6" t="str">
        <f>'Raw Data Sales'!F345</f>
        <v>Electronics</v>
      </c>
      <c r="F345" s="6">
        <f>'Raw Data Sales'!M345</f>
        <v>5</v>
      </c>
      <c r="G345" s="6">
        <f>'Raw Data Sales'!N345</f>
        <v>9662.12</v>
      </c>
      <c r="H345" s="6" t="str">
        <f>'Raw Data Sales'!O345</f>
        <v>Cash</v>
      </c>
    </row>
    <row r="346">
      <c r="A346" s="6">
        <f>'Raw Data Sales'!A346</f>
        <v>345</v>
      </c>
      <c r="B346" s="8">
        <f>IFERROR(__xludf.DUMMYFUNCTION("""COMPUTED_VALUE"""),44413.0)</f>
        <v>44413</v>
      </c>
      <c r="C346" s="6" t="str">
        <f>IFERROR(__xludf.DUMMYFUNCTION("UNIQUE('Raw Data Sales'!H346:H1344 &amp; "" "" &amp; 'Raw Data Sales'!I346:I1344)"),"Muffin Klimaszewski")</f>
        <v>Muffin Klimaszewski</v>
      </c>
      <c r="D346" s="6" t="str">
        <f>IFERROR(__xludf.DUMMYFUNCTION("""COMPUTED_VALUE"""),"Almond Flour Cookies")</f>
        <v>Almond Flour Cookies</v>
      </c>
      <c r="E346" s="6" t="str">
        <f>'Raw Data Sales'!F346</f>
        <v>Food - Frozen Foods</v>
      </c>
      <c r="F346" s="6">
        <f>'Raw Data Sales'!M346</f>
        <v>54</v>
      </c>
      <c r="G346" s="6">
        <f>'Raw Data Sales'!N346</f>
        <v>1476.59</v>
      </c>
      <c r="H346" s="6" t="str">
        <f>'Raw Data Sales'!O346</f>
        <v>Cash</v>
      </c>
    </row>
    <row r="347">
      <c r="A347" s="6">
        <f>'Raw Data Sales'!A347</f>
        <v>346</v>
      </c>
      <c r="B347" s="8">
        <f>IFERROR(__xludf.DUMMYFUNCTION("""COMPUTED_VALUE"""),43871.0)</f>
        <v>43871</v>
      </c>
      <c r="C347" s="6" t="str">
        <f>IFERROR(__xludf.DUMMYFUNCTION("UNIQUE('Raw Data Sales'!H347:H1345 &amp; "" "" &amp; 'Raw Data Sales'!I347:I1345)"),"Caryn Lochead")</f>
        <v>Caryn Lochead</v>
      </c>
      <c r="D347" s="6" t="str">
        <f>IFERROR(__xludf.DUMMYFUNCTION("""COMPUTED_VALUE"""),"Kids' Educational Tablet")</f>
        <v>Kids' Educational Tablet</v>
      </c>
      <c r="E347" s="6" t="str">
        <f>'Raw Data Sales'!F347</f>
        <v>Food - Baking</v>
      </c>
      <c r="F347" s="6">
        <f>'Raw Data Sales'!M347</f>
        <v>28</v>
      </c>
      <c r="G347" s="6">
        <f>'Raw Data Sales'!N347</f>
        <v>2494.46</v>
      </c>
      <c r="H347" s="6" t="str">
        <f>'Raw Data Sales'!O347</f>
        <v>Credit Card</v>
      </c>
    </row>
    <row r="348">
      <c r="A348" s="6">
        <f>'Raw Data Sales'!A348</f>
        <v>347</v>
      </c>
      <c r="B348" s="8">
        <f>IFERROR(__xludf.DUMMYFUNCTION("""COMPUTED_VALUE"""),44400.0)</f>
        <v>44400</v>
      </c>
      <c r="C348" s="6" t="str">
        <f>IFERROR(__xludf.DUMMYFUNCTION("UNIQUE('Raw Data Sales'!H348:H1346 &amp; "" "" &amp; 'Raw Data Sales'!I348:I1346)"),"Sheelagh Melley")</f>
        <v>Sheelagh Melley</v>
      </c>
      <c r="D348" s="6" t="str">
        <f>IFERROR(__xludf.DUMMYFUNCTION("""COMPUTED_VALUE"""),"Fruit &amp; Nut Trail Mix")</f>
        <v>Fruit &amp; Nut Trail Mix</v>
      </c>
      <c r="E348" s="6" t="str">
        <f>'Raw Data Sales'!F348</f>
        <v>Outdoor</v>
      </c>
      <c r="F348" s="6">
        <f>'Raw Data Sales'!M348</f>
        <v>65</v>
      </c>
      <c r="G348" s="6">
        <f>'Raw Data Sales'!N348</f>
        <v>1053.7</v>
      </c>
      <c r="H348" s="6" t="str">
        <f>'Raw Data Sales'!O348</f>
        <v>Credit Card</v>
      </c>
    </row>
    <row r="349">
      <c r="A349" s="6">
        <f>'Raw Data Sales'!A349</f>
        <v>348</v>
      </c>
      <c r="B349" s="8">
        <f>IFERROR(__xludf.DUMMYFUNCTION("""COMPUTED_VALUE"""),43883.0)</f>
        <v>43883</v>
      </c>
      <c r="C349" s="6" t="str">
        <f>IFERROR(__xludf.DUMMYFUNCTION("UNIQUE('Raw Data Sales'!H349:H1347 &amp; "" "" &amp; 'Raw Data Sales'!I349:I1347)"),"Valida Torfin")</f>
        <v>Valida Torfin</v>
      </c>
      <c r="D349" s="6" t="str">
        <f>IFERROR(__xludf.DUMMYFUNCTION("""COMPUTED_VALUE"""),"Freestanding Wine Rack")</f>
        <v>Freestanding Wine Rack</v>
      </c>
      <c r="E349" s="6" t="str">
        <f>'Raw Data Sales'!F349</f>
        <v>Food - Sauces</v>
      </c>
      <c r="F349" s="6">
        <f>'Raw Data Sales'!M349</f>
        <v>40</v>
      </c>
      <c r="G349" s="6">
        <f>'Raw Data Sales'!N349</f>
        <v>7847.78</v>
      </c>
      <c r="H349" s="6" t="str">
        <f>'Raw Data Sales'!O349</f>
        <v>PayPal</v>
      </c>
    </row>
    <row r="350">
      <c r="A350" s="6">
        <f>'Raw Data Sales'!A350</f>
        <v>349</v>
      </c>
      <c r="B350" s="8">
        <f>IFERROR(__xludf.DUMMYFUNCTION("""COMPUTED_VALUE"""),44100.0)</f>
        <v>44100</v>
      </c>
      <c r="C350" s="6" t="str">
        <f>IFERROR(__xludf.DUMMYFUNCTION("UNIQUE('Raw Data Sales'!H350:H1348 &amp; "" "" &amp; 'Raw Data Sales'!I350:I1348)"),"Robyn Taggert")</f>
        <v>Robyn Taggert</v>
      </c>
      <c r="D350" s="6" t="str">
        <f>IFERROR(__xludf.DUMMYFUNCTION("""COMPUTED_VALUE"""),"Honey mustard chicken tenders")</f>
        <v>Honey mustard chicken tenders</v>
      </c>
      <c r="E350" s="6" t="str">
        <f>'Raw Data Sales'!F350</f>
        <v>Food - Soups</v>
      </c>
      <c r="F350" s="6">
        <f>'Raw Data Sales'!M350</f>
        <v>95</v>
      </c>
      <c r="G350" s="6">
        <f>'Raw Data Sales'!N350</f>
        <v>1294.66</v>
      </c>
      <c r="H350" s="6" t="str">
        <f>'Raw Data Sales'!O350</f>
        <v>Credit Card</v>
      </c>
    </row>
    <row r="351">
      <c r="A351" s="6">
        <f>'Raw Data Sales'!A351</f>
        <v>350</v>
      </c>
      <c r="B351" s="8">
        <f>IFERROR(__xludf.DUMMYFUNCTION("""COMPUTED_VALUE"""),44515.0)</f>
        <v>44515</v>
      </c>
      <c r="C351" s="6" t="str">
        <f>IFERROR(__xludf.DUMMYFUNCTION("UNIQUE('Raw Data Sales'!H351:H1349 &amp; "" "" &amp; 'Raw Data Sales'!I351:I1349)"),"Korrie Leftly")</f>
        <v>Korrie Leftly</v>
      </c>
      <c r="D351" s="6" t="str">
        <f>IFERROR(__xludf.DUMMYFUNCTION("""COMPUTED_VALUE"""),"Mini Waffle Maker")</f>
        <v>Mini Waffle Maker</v>
      </c>
      <c r="E351" s="6" t="str">
        <f>'Raw Data Sales'!F351</f>
        <v>Food - Canned Goods</v>
      </c>
      <c r="F351" s="6">
        <f>'Raw Data Sales'!M351</f>
        <v>75</v>
      </c>
      <c r="G351" s="6">
        <f>'Raw Data Sales'!N351</f>
        <v>3974.56</v>
      </c>
      <c r="H351" s="6" t="str">
        <f>'Raw Data Sales'!O351</f>
        <v>PayPal</v>
      </c>
    </row>
    <row r="352">
      <c r="A352" s="6">
        <f>'Raw Data Sales'!A352</f>
        <v>351</v>
      </c>
      <c r="B352" s="8">
        <f>IFERROR(__xludf.DUMMYFUNCTION("""COMPUTED_VALUE"""),44223.0)</f>
        <v>44223</v>
      </c>
      <c r="C352" s="6" t="str">
        <f>IFERROR(__xludf.DUMMYFUNCTION("UNIQUE('Raw Data Sales'!H352:H1350 &amp; "" "" &amp; 'Raw Data Sales'!I352:I1350)"),"Trstram Guido")</f>
        <v>Trstram Guido</v>
      </c>
      <c r="D352" s="6" t="str">
        <f>IFERROR(__xludf.DUMMYFUNCTION("""COMPUTED_VALUE"""),"Baked Falafel")</f>
        <v>Baked Falafel</v>
      </c>
      <c r="E352" s="6" t="str">
        <f>'Raw Data Sales'!F352</f>
        <v>Office</v>
      </c>
      <c r="F352" s="6">
        <f>'Raw Data Sales'!M352</f>
        <v>49</v>
      </c>
      <c r="G352" s="6">
        <f>'Raw Data Sales'!N352</f>
        <v>5323.47</v>
      </c>
      <c r="H352" s="6" t="str">
        <f>'Raw Data Sales'!O352</f>
        <v>Cash</v>
      </c>
    </row>
    <row r="353">
      <c r="A353" s="6">
        <f>'Raw Data Sales'!A353</f>
        <v>352</v>
      </c>
      <c r="B353" s="8">
        <f>IFERROR(__xludf.DUMMYFUNCTION("""COMPUTED_VALUE"""),44381.0)</f>
        <v>44381</v>
      </c>
      <c r="C353" s="6" t="str">
        <f>IFERROR(__xludf.DUMMYFUNCTION("UNIQUE('Raw Data Sales'!H353:H1351 &amp; "" "" &amp; 'Raw Data Sales'!I353:I1351)"),"Godfrey Colbourn")</f>
        <v>Godfrey Colbourn</v>
      </c>
      <c r="D353" s="6" t="str">
        <f>IFERROR(__xludf.DUMMYFUNCTION("""COMPUTED_VALUE"""),"Sliced Bell Peppers")</f>
        <v>Sliced Bell Peppers</v>
      </c>
      <c r="E353" s="6" t="str">
        <f>'Raw Data Sales'!F353</f>
        <v>Home</v>
      </c>
      <c r="F353" s="6">
        <f>'Raw Data Sales'!M353</f>
        <v>78</v>
      </c>
      <c r="G353" s="6">
        <f>'Raw Data Sales'!N353</f>
        <v>8938.09</v>
      </c>
      <c r="H353" s="6" t="str">
        <f>'Raw Data Sales'!O353</f>
        <v>PayPal</v>
      </c>
    </row>
    <row r="354">
      <c r="A354" s="6">
        <f>'Raw Data Sales'!A354</f>
        <v>353</v>
      </c>
      <c r="B354" s="8">
        <f>IFERROR(__xludf.DUMMYFUNCTION("""COMPUTED_VALUE"""),44028.0)</f>
        <v>44028</v>
      </c>
      <c r="C354" s="6" t="str">
        <f>IFERROR(__xludf.DUMMYFUNCTION("UNIQUE('Raw Data Sales'!H354:H1352 &amp; "" "" &amp; 'Raw Data Sales'!I354:I1352)"),"Carlyn Wilstead")</f>
        <v>Carlyn Wilstead</v>
      </c>
      <c r="D354" s="6" t="str">
        <f>IFERROR(__xludf.DUMMYFUNCTION("""COMPUTED_VALUE"""),"Maple Glazed Carrots")</f>
        <v>Maple Glazed Carrots</v>
      </c>
      <c r="E354" s="6" t="str">
        <f>'Raw Data Sales'!F354</f>
        <v>Art Supplies</v>
      </c>
      <c r="F354" s="6">
        <f>'Raw Data Sales'!M354</f>
        <v>75</v>
      </c>
      <c r="G354" s="6">
        <f>'Raw Data Sales'!N354</f>
        <v>2276.35</v>
      </c>
      <c r="H354" s="6" t="str">
        <f>'Raw Data Sales'!O354</f>
        <v>Cash</v>
      </c>
    </row>
    <row r="355">
      <c r="A355" s="6">
        <f>'Raw Data Sales'!A355</f>
        <v>354</v>
      </c>
      <c r="B355" s="8">
        <f>IFERROR(__xludf.DUMMYFUNCTION("""COMPUTED_VALUE"""),44505.0)</f>
        <v>44505</v>
      </c>
      <c r="C355" s="6" t="str">
        <f>IFERROR(__xludf.DUMMYFUNCTION("UNIQUE('Raw Data Sales'!H355:H1353 &amp; "" "" &amp; 'Raw Data Sales'!I355:I1353)"),"Erroll Woollam")</f>
        <v>Erroll Woollam</v>
      </c>
      <c r="D355" s="6" t="str">
        <f>IFERROR(__xludf.DUMMYFUNCTION("""COMPUTED_VALUE"""),"Vegetarian Pizza")</f>
        <v>Vegetarian Pizza</v>
      </c>
      <c r="E355" s="6" t="str">
        <f>'Raw Data Sales'!F355</f>
        <v>Kitchen</v>
      </c>
      <c r="F355" s="6">
        <f>'Raw Data Sales'!M355</f>
        <v>34</v>
      </c>
      <c r="G355" s="6">
        <f>'Raw Data Sales'!N355</f>
        <v>9926.3</v>
      </c>
      <c r="H355" s="6" t="str">
        <f>'Raw Data Sales'!O355</f>
        <v>Credit Card</v>
      </c>
    </row>
    <row r="356">
      <c r="A356" s="6">
        <f>'Raw Data Sales'!A356</f>
        <v>355</v>
      </c>
      <c r="B356" s="8">
        <f>IFERROR(__xludf.DUMMYFUNCTION("""COMPUTED_VALUE"""),44113.0)</f>
        <v>44113</v>
      </c>
      <c r="C356" s="6" t="str">
        <f>IFERROR(__xludf.DUMMYFUNCTION("UNIQUE('Raw Data Sales'!H356:H1354 &amp; "" "" &amp; 'Raw Data Sales'!I356:I1354)"),"Rich Thackray")</f>
        <v>Rich Thackray</v>
      </c>
      <c r="D356" s="6" t="str">
        <f>IFERROR(__xludf.DUMMYFUNCTION("""COMPUTED_VALUE"""),"Collapsible Folding Chair")</f>
        <v>Collapsible Folding Chair</v>
      </c>
      <c r="E356" s="6" t="str">
        <f>'Raw Data Sales'!F356</f>
        <v>Food - Baking Goods</v>
      </c>
      <c r="F356" s="6">
        <f>'Raw Data Sales'!M356</f>
        <v>37</v>
      </c>
      <c r="G356" s="6">
        <f>'Raw Data Sales'!N356</f>
        <v>7984.81</v>
      </c>
      <c r="H356" s="6" t="str">
        <f>'Raw Data Sales'!O356</f>
        <v>Credit Card</v>
      </c>
    </row>
    <row r="357">
      <c r="A357" s="6">
        <f>'Raw Data Sales'!A357</f>
        <v>356</v>
      </c>
      <c r="B357" s="8">
        <f>IFERROR(__xludf.DUMMYFUNCTION("""COMPUTED_VALUE"""),44108.0)</f>
        <v>44108</v>
      </c>
      <c r="C357" s="6" t="str">
        <f>IFERROR(__xludf.DUMMYFUNCTION("UNIQUE('Raw Data Sales'!H357:H1355 &amp; "" "" &amp; 'Raw Data Sales'!I357:I1355)"),"Blakeley Onians")</f>
        <v>Blakeley Onians</v>
      </c>
      <c r="D357" s="6" t="str">
        <f>IFERROR(__xludf.DUMMYFUNCTION("""COMPUTED_VALUE"""),"Set of Herb Garden Markers")</f>
        <v>Set of Herb Garden Markers</v>
      </c>
      <c r="E357" s="6" t="str">
        <f>'Raw Data Sales'!F357</f>
        <v>Toys</v>
      </c>
      <c r="F357" s="6">
        <f>'Raw Data Sales'!M357</f>
        <v>92</v>
      </c>
      <c r="G357" s="6">
        <f>'Raw Data Sales'!N357</f>
        <v>7356.9</v>
      </c>
      <c r="H357" s="6" t="str">
        <f>'Raw Data Sales'!O357</f>
        <v>Credit Card</v>
      </c>
    </row>
    <row r="358">
      <c r="A358" s="6">
        <f>'Raw Data Sales'!A358</f>
        <v>357</v>
      </c>
      <c r="B358" s="8">
        <f>IFERROR(__xludf.DUMMYFUNCTION("""COMPUTED_VALUE"""),44304.0)</f>
        <v>44304</v>
      </c>
      <c r="C358" s="6" t="str">
        <f>IFERROR(__xludf.DUMMYFUNCTION("UNIQUE('Raw Data Sales'!H358:H1356 &amp; "" "" &amp; 'Raw Data Sales'!I358:I1356)"),"Queenie Alder")</f>
        <v>Queenie Alder</v>
      </c>
      <c r="D358" s="6" t="str">
        <f>IFERROR(__xludf.DUMMYFUNCTION("""COMPUTED_VALUE"""),"Relaxed Fit Henley Shirt")</f>
        <v>Relaxed Fit Henley Shirt</v>
      </c>
      <c r="E358" s="6" t="str">
        <f>'Raw Data Sales'!F358</f>
        <v>Food - Prepared Foods</v>
      </c>
      <c r="F358" s="6">
        <f>'Raw Data Sales'!M358</f>
        <v>71</v>
      </c>
      <c r="G358" s="6">
        <f>'Raw Data Sales'!N358</f>
        <v>283.01</v>
      </c>
      <c r="H358" s="6" t="str">
        <f>'Raw Data Sales'!O358</f>
        <v>PayPal</v>
      </c>
    </row>
    <row r="359">
      <c r="A359" s="6">
        <f>'Raw Data Sales'!A359</f>
        <v>358</v>
      </c>
      <c r="B359" s="8">
        <f>IFERROR(__xludf.DUMMYFUNCTION("""COMPUTED_VALUE"""),43875.0)</f>
        <v>43875</v>
      </c>
      <c r="C359" s="6" t="str">
        <f>IFERROR(__xludf.DUMMYFUNCTION("UNIQUE('Raw Data Sales'!H359:H1357 &amp; "" "" &amp; 'Raw Data Sales'!I359:I1357)"),"Korrie Podd")</f>
        <v>Korrie Podd</v>
      </c>
      <c r="D359" s="6" t="str">
        <f>IFERROR(__xludf.DUMMYFUNCTION("""COMPUTED_VALUE"""),"Plant-Based Meal Prep Containers")</f>
        <v>Plant-Based Meal Prep Containers</v>
      </c>
      <c r="E359" s="6" t="str">
        <f>'Raw Data Sales'!F359</f>
        <v>Smart Home</v>
      </c>
      <c r="F359" s="6">
        <f>'Raw Data Sales'!M359</f>
        <v>9</v>
      </c>
      <c r="G359" s="6">
        <f>'Raw Data Sales'!N359</f>
        <v>6735.42</v>
      </c>
      <c r="H359" s="6" t="str">
        <f>'Raw Data Sales'!O359</f>
        <v>Cash</v>
      </c>
    </row>
    <row r="360">
      <c r="A360" s="6">
        <f>'Raw Data Sales'!A360</f>
        <v>359</v>
      </c>
      <c r="B360" s="8">
        <f>IFERROR(__xludf.DUMMYFUNCTION("""COMPUTED_VALUE"""),43982.0)</f>
        <v>43982</v>
      </c>
      <c r="C360" s="6" t="str">
        <f>IFERROR(__xludf.DUMMYFUNCTION("UNIQUE('Raw Data Sales'!H360:H1358 &amp; "" "" &amp; 'Raw Data Sales'!I360:I1358)"),"Miner Checcucci")</f>
        <v>Miner Checcucci</v>
      </c>
      <c r="D360" s="6" t="str">
        <f>IFERROR(__xludf.DUMMYFUNCTION("""COMPUTED_VALUE"""),"Pleated Midi Dress")</f>
        <v>Pleated Midi Dress</v>
      </c>
      <c r="E360" s="6" t="str">
        <f>'Raw Data Sales'!F360</f>
        <v>Food - Cheese</v>
      </c>
      <c r="F360" s="6">
        <f>'Raw Data Sales'!M360</f>
        <v>35</v>
      </c>
      <c r="G360" s="6">
        <f>'Raw Data Sales'!N360</f>
        <v>1792.05</v>
      </c>
      <c r="H360" s="6" t="str">
        <f>'Raw Data Sales'!O360</f>
        <v>Cash</v>
      </c>
    </row>
    <row r="361">
      <c r="A361" s="6">
        <f>'Raw Data Sales'!A361</f>
        <v>360</v>
      </c>
      <c r="B361" s="8">
        <f>IFERROR(__xludf.DUMMYFUNCTION("""COMPUTED_VALUE"""),44096.0)</f>
        <v>44096</v>
      </c>
      <c r="C361" s="6" t="str">
        <f>IFERROR(__xludf.DUMMYFUNCTION("UNIQUE('Raw Data Sales'!H361:H1359 &amp; "" "" &amp; 'Raw Data Sales'!I361:I1359)"),"Yvonne Crichton")</f>
        <v>Yvonne Crichton</v>
      </c>
      <c r="D361" s="6" t="str">
        <f>IFERROR(__xludf.DUMMYFUNCTION("""COMPUTED_VALUE"""),"Classic Cheeseburger Mix")</f>
        <v>Classic Cheeseburger Mix</v>
      </c>
      <c r="E361" s="6" t="str">
        <f>'Raw Data Sales'!F361</f>
        <v>Food - Frozen Foods</v>
      </c>
      <c r="F361" s="6">
        <f>'Raw Data Sales'!M361</f>
        <v>42</v>
      </c>
      <c r="G361" s="6">
        <f>'Raw Data Sales'!N361</f>
        <v>9257.07</v>
      </c>
      <c r="H361" s="6" t="str">
        <f>'Raw Data Sales'!O361</f>
        <v>Cash</v>
      </c>
    </row>
    <row r="362">
      <c r="A362" s="6">
        <f>'Raw Data Sales'!A362</f>
        <v>361</v>
      </c>
      <c r="B362" s="8">
        <f>IFERROR(__xludf.DUMMYFUNCTION("""COMPUTED_VALUE"""),44511.0)</f>
        <v>44511</v>
      </c>
      <c r="C362" s="6" t="str">
        <f>IFERROR(__xludf.DUMMYFUNCTION("UNIQUE('Raw Data Sales'!H362:H1360 &amp; "" "" &amp; 'Raw Data Sales'!I362:I1360)"),"Valene Patershall")</f>
        <v>Valene Patershall</v>
      </c>
      <c r="D362" s="6" t="str">
        <f>IFERROR(__xludf.DUMMYFUNCTION("""COMPUTED_VALUE"""),"Self-Watering Planter")</f>
        <v>Self-Watering Planter</v>
      </c>
      <c r="E362" s="6" t="str">
        <f>'Raw Data Sales'!F362</f>
        <v>Tools</v>
      </c>
      <c r="F362" s="6">
        <f>'Raw Data Sales'!M362</f>
        <v>80</v>
      </c>
      <c r="G362" s="6">
        <f>'Raw Data Sales'!N362</f>
        <v>6431.72</v>
      </c>
      <c r="H362" s="6" t="str">
        <f>'Raw Data Sales'!O362</f>
        <v>Cash</v>
      </c>
    </row>
    <row r="363">
      <c r="A363" s="6">
        <f>'Raw Data Sales'!A363</f>
        <v>362</v>
      </c>
      <c r="B363" s="8">
        <f>IFERROR(__xludf.DUMMYFUNCTION("""COMPUTED_VALUE"""),44245.0)</f>
        <v>44245</v>
      </c>
      <c r="C363" s="6" t="str">
        <f>IFERROR(__xludf.DUMMYFUNCTION("UNIQUE('Raw Data Sales'!H363:H1361 &amp; "" "" &amp; 'Raw Data Sales'!I363:I1361)"),"Opaline Collinette")</f>
        <v>Opaline Collinette</v>
      </c>
      <c r="D363" s="6" t="str">
        <f>IFERROR(__xludf.DUMMYFUNCTION("""COMPUTED_VALUE"""),"Heart-Shaped Baking Molds")</f>
        <v>Heart-Shaped Baking Molds</v>
      </c>
      <c r="E363" s="6" t="str">
        <f>'Raw Data Sales'!F363</f>
        <v>Food - Sauces</v>
      </c>
      <c r="F363" s="6">
        <f>'Raw Data Sales'!M363</f>
        <v>73</v>
      </c>
      <c r="G363" s="6">
        <f>'Raw Data Sales'!N363</f>
        <v>2977.76</v>
      </c>
      <c r="H363" s="6" t="str">
        <f>'Raw Data Sales'!O363</f>
        <v>PayPal</v>
      </c>
    </row>
    <row r="364">
      <c r="A364" s="6">
        <f>'Raw Data Sales'!A364</f>
        <v>363</v>
      </c>
      <c r="B364" s="8">
        <f>IFERROR(__xludf.DUMMYFUNCTION("""COMPUTED_VALUE"""),44251.0)</f>
        <v>44251</v>
      </c>
      <c r="C364" s="6" t="str">
        <f>IFERROR(__xludf.DUMMYFUNCTION("UNIQUE('Raw Data Sales'!H364:H1362 &amp; "" "" &amp; 'Raw Data Sales'!I364:I1362)"),"Keane Kubasek")</f>
        <v>Keane Kubasek</v>
      </c>
      <c r="D364" s="6" t="str">
        <f>IFERROR(__xludf.DUMMYFUNCTION("""COMPUTED_VALUE"""),"Lemon Herb Grilled Chicken")</f>
        <v>Lemon Herb Grilled Chicken</v>
      </c>
      <c r="E364" s="6" t="str">
        <f>'Raw Data Sales'!F364</f>
        <v>Food - Snacks</v>
      </c>
      <c r="F364" s="6">
        <f>'Raw Data Sales'!M364</f>
        <v>84</v>
      </c>
      <c r="G364" s="6">
        <f>'Raw Data Sales'!N364</f>
        <v>2624.04</v>
      </c>
      <c r="H364" s="6" t="str">
        <f>'Raw Data Sales'!O364</f>
        <v>Cash</v>
      </c>
    </row>
    <row r="365">
      <c r="A365" s="6">
        <f>'Raw Data Sales'!A365</f>
        <v>364</v>
      </c>
      <c r="B365" s="8">
        <f>IFERROR(__xludf.DUMMYFUNCTION("""COMPUTED_VALUE"""),44533.0)</f>
        <v>44533</v>
      </c>
      <c r="C365" s="6" t="str">
        <f>IFERROR(__xludf.DUMMYFUNCTION("UNIQUE('Raw Data Sales'!H365:H1363 &amp; "" "" &amp; 'Raw Data Sales'!I365:I1363)"),"Coral Vlasov")</f>
        <v>Coral Vlasov</v>
      </c>
      <c r="D365" s="6" t="str">
        <f>IFERROR(__xludf.DUMMYFUNCTION("""COMPUTED_VALUE"""),"Karaoke Microphone")</f>
        <v>Karaoke Microphone</v>
      </c>
      <c r="E365" s="6" t="str">
        <f>'Raw Data Sales'!F365</f>
        <v>Food - Frozen Foods</v>
      </c>
      <c r="F365" s="6">
        <f>'Raw Data Sales'!M365</f>
        <v>45</v>
      </c>
      <c r="G365" s="6">
        <f>'Raw Data Sales'!N365</f>
        <v>530.19</v>
      </c>
      <c r="H365" s="6" t="str">
        <f>'Raw Data Sales'!O365</f>
        <v>PayPal</v>
      </c>
    </row>
    <row r="366">
      <c r="A366" s="6">
        <f>'Raw Data Sales'!A366</f>
        <v>365</v>
      </c>
      <c r="B366" s="8">
        <f>IFERROR(__xludf.DUMMYFUNCTION("""COMPUTED_VALUE"""),44077.0)</f>
        <v>44077</v>
      </c>
      <c r="C366" s="6" t="str">
        <f>IFERROR(__xludf.DUMMYFUNCTION("UNIQUE('Raw Data Sales'!H366:H1364 &amp; "" "" &amp; 'Raw Data Sales'!I366:I1364)"),"Klemens Castillo")</f>
        <v>Klemens Castillo</v>
      </c>
      <c r="D366" s="6" t="str">
        <f>IFERROR(__xludf.DUMMYFUNCTION("""COMPUTED_VALUE"""),"Grilled Vegetable Medley")</f>
        <v>Grilled Vegetable Medley</v>
      </c>
      <c r="E366" s="6" t="str">
        <f>'Raw Data Sales'!F366</f>
        <v>Food - Condiments</v>
      </c>
      <c r="F366" s="6">
        <f>'Raw Data Sales'!M366</f>
        <v>40</v>
      </c>
      <c r="G366" s="6">
        <f>'Raw Data Sales'!N366</f>
        <v>947.11</v>
      </c>
      <c r="H366" s="6" t="str">
        <f>'Raw Data Sales'!O366</f>
        <v>PayPal</v>
      </c>
    </row>
    <row r="367">
      <c r="A367" s="6">
        <f>'Raw Data Sales'!A367</f>
        <v>366</v>
      </c>
      <c r="B367" s="8">
        <f>IFERROR(__xludf.DUMMYFUNCTION("""COMPUTED_VALUE"""),44349.0)</f>
        <v>44349</v>
      </c>
      <c r="C367" s="6" t="str">
        <f>IFERROR(__xludf.DUMMYFUNCTION("UNIQUE('Raw Data Sales'!H367:H1365 &amp; "" "" &amp; 'Raw Data Sales'!I367:I1365)"),"Lamond Demeza")</f>
        <v>Lamond Demeza</v>
      </c>
      <c r="D367" s="6" t="str">
        <f>IFERROR(__xludf.DUMMYFUNCTION("""COMPUTED_VALUE"""),"Faux Fur Throw Blanket")</f>
        <v>Faux Fur Throw Blanket</v>
      </c>
      <c r="E367" s="6" t="str">
        <f>'Raw Data Sales'!F367</f>
        <v>Garden</v>
      </c>
      <c r="F367" s="6">
        <f>'Raw Data Sales'!M367</f>
        <v>83</v>
      </c>
      <c r="G367" s="6">
        <f>'Raw Data Sales'!N367</f>
        <v>7358.19</v>
      </c>
      <c r="H367" s="6" t="str">
        <f>'Raw Data Sales'!O367</f>
        <v>Credit Card</v>
      </c>
    </row>
    <row r="368">
      <c r="A368" s="6">
        <f>'Raw Data Sales'!A368</f>
        <v>367</v>
      </c>
      <c r="B368" s="8">
        <f>IFERROR(__xludf.DUMMYFUNCTION("""COMPUTED_VALUE"""),44536.0)</f>
        <v>44536</v>
      </c>
      <c r="C368" s="6" t="str">
        <f>IFERROR(__xludf.DUMMYFUNCTION("UNIQUE('Raw Data Sales'!H368:H1366 &amp; "" "" &amp; 'Raw Data Sales'!I368:I1366)"),"Cahra Hayter")</f>
        <v>Cahra Hayter</v>
      </c>
      <c r="D368" s="6" t="str">
        <f>IFERROR(__xludf.DUMMYFUNCTION("""COMPUTED_VALUE"""),"Honey Sriracha Chicken Bites")</f>
        <v>Honey Sriracha Chicken Bites</v>
      </c>
      <c r="E368" s="6" t="str">
        <f>'Raw Data Sales'!F368</f>
        <v>Home</v>
      </c>
      <c r="F368" s="6">
        <f>'Raw Data Sales'!M368</f>
        <v>24</v>
      </c>
      <c r="G368" s="6">
        <f>'Raw Data Sales'!N368</f>
        <v>727.58</v>
      </c>
      <c r="H368" s="6" t="str">
        <f>'Raw Data Sales'!O368</f>
        <v>PayPal</v>
      </c>
    </row>
    <row r="369">
      <c r="A369" s="6">
        <f>'Raw Data Sales'!A369</f>
        <v>368</v>
      </c>
      <c r="B369" s="8">
        <f>IFERROR(__xludf.DUMMYFUNCTION("""COMPUTED_VALUE"""),43937.0)</f>
        <v>43937</v>
      </c>
      <c r="C369" s="6" t="str">
        <f>IFERROR(__xludf.DUMMYFUNCTION("UNIQUE('Raw Data Sales'!H369:H1367 &amp; "" "" &amp; 'Raw Data Sales'!I369:I1367)"),"Eimile Deniso")</f>
        <v>Eimile Deniso</v>
      </c>
      <c r="D369" s="6" t="str">
        <f>IFERROR(__xludf.DUMMYFUNCTION("""COMPUTED_VALUE"""),"Vegetarian Sausage Links")</f>
        <v>Vegetarian Sausage Links</v>
      </c>
      <c r="E369" s="6" t="str">
        <f>'Raw Data Sales'!F369</f>
        <v>Food - Bakery</v>
      </c>
      <c r="F369" s="6">
        <f>'Raw Data Sales'!M369</f>
        <v>54</v>
      </c>
      <c r="G369" s="6">
        <f>'Raw Data Sales'!N369</f>
        <v>9821.03</v>
      </c>
      <c r="H369" s="6" t="str">
        <f>'Raw Data Sales'!O369</f>
        <v>PayPal</v>
      </c>
    </row>
    <row r="370">
      <c r="A370" s="6">
        <f>'Raw Data Sales'!A370</f>
        <v>369</v>
      </c>
      <c r="B370" s="8">
        <f>IFERROR(__xludf.DUMMYFUNCTION("""COMPUTED_VALUE"""),44337.0)</f>
        <v>44337</v>
      </c>
      <c r="C370" s="6" t="str">
        <f>IFERROR(__xludf.DUMMYFUNCTION("UNIQUE('Raw Data Sales'!H370:H1368 &amp; "" "" &amp; 'Raw Data Sales'!I370:I1368)"),"Onida Geyton")</f>
        <v>Onida Geyton</v>
      </c>
      <c r="D370" s="6" t="str">
        <f>IFERROR(__xludf.DUMMYFUNCTION("""COMPUTED_VALUE"""),"Vegan Protein Powder")</f>
        <v>Vegan Protein Powder</v>
      </c>
      <c r="E370" s="6" t="str">
        <f>'Raw Data Sales'!F370</f>
        <v>Electronics</v>
      </c>
      <c r="F370" s="6">
        <f>'Raw Data Sales'!M370</f>
        <v>67</v>
      </c>
      <c r="G370" s="6">
        <f>'Raw Data Sales'!N370</f>
        <v>9211.94</v>
      </c>
      <c r="H370" s="6" t="str">
        <f>'Raw Data Sales'!O370</f>
        <v>Cash</v>
      </c>
    </row>
    <row r="371">
      <c r="A371" s="6">
        <f>'Raw Data Sales'!A371</f>
        <v>370</v>
      </c>
      <c r="B371" s="8">
        <f>IFERROR(__xludf.DUMMYFUNCTION("""COMPUTED_VALUE"""),44372.0)</f>
        <v>44372</v>
      </c>
      <c r="C371" s="6" t="str">
        <f>IFERROR(__xludf.DUMMYFUNCTION("UNIQUE('Raw Data Sales'!H371:H1369 &amp; "" "" &amp; 'Raw Data Sales'!I371:I1369)"),"Mata Cutforth")</f>
        <v>Mata Cutforth</v>
      </c>
      <c r="D371" s="6" t="str">
        <f>IFERROR(__xludf.DUMMYFUNCTION("""COMPUTED_VALUE"""),"Digital Photo Frame")</f>
        <v>Digital Photo Frame</v>
      </c>
      <c r="E371" s="6" t="str">
        <f>'Raw Data Sales'!F371</f>
        <v>Food - Snacks</v>
      </c>
      <c r="F371" s="6">
        <f>'Raw Data Sales'!M371</f>
        <v>39</v>
      </c>
      <c r="G371" s="6">
        <f>'Raw Data Sales'!N371</f>
        <v>7373.2</v>
      </c>
      <c r="H371" s="6" t="str">
        <f>'Raw Data Sales'!O371</f>
        <v>Cash</v>
      </c>
    </row>
    <row r="372">
      <c r="A372" s="6">
        <f>'Raw Data Sales'!A372</f>
        <v>371</v>
      </c>
      <c r="B372" s="8">
        <f>IFERROR(__xludf.DUMMYFUNCTION("""COMPUTED_VALUE"""),44279.0)</f>
        <v>44279</v>
      </c>
      <c r="C372" s="6" t="str">
        <f>IFERROR(__xludf.DUMMYFUNCTION("UNIQUE('Raw Data Sales'!H372:H1370 &amp; "" "" &amp; 'Raw Data Sales'!I372:I1370)"),"Melisa Dampier")</f>
        <v>Melisa Dampier</v>
      </c>
      <c r="D372" s="6" t="str">
        <f>IFERROR(__xludf.DUMMYFUNCTION("""COMPUTED_VALUE"""),"Almond Flour Brownies")</f>
        <v>Almond Flour Brownies</v>
      </c>
      <c r="E372" s="6" t="str">
        <f>'Raw Data Sales'!F372</f>
        <v>Automotive</v>
      </c>
      <c r="F372" s="6">
        <f>'Raw Data Sales'!M372</f>
        <v>35</v>
      </c>
      <c r="G372" s="6">
        <f>'Raw Data Sales'!N372</f>
        <v>8561.21</v>
      </c>
      <c r="H372" s="6" t="str">
        <f>'Raw Data Sales'!O372</f>
        <v>Credit Card</v>
      </c>
    </row>
    <row r="373">
      <c r="A373" s="6">
        <f>'Raw Data Sales'!A373</f>
        <v>372</v>
      </c>
      <c r="B373" s="8">
        <f>IFERROR(__xludf.DUMMYFUNCTION("""COMPUTED_VALUE"""),44117.0)</f>
        <v>44117</v>
      </c>
      <c r="C373" s="6" t="str">
        <f>IFERROR(__xludf.DUMMYFUNCTION("UNIQUE('Raw Data Sales'!H373:H1371 &amp; "" "" &amp; 'Raw Data Sales'!I373:I1371)"),"Mindy Petzolt")</f>
        <v>Mindy Petzolt</v>
      </c>
      <c r="D373" s="6" t="str">
        <f>IFERROR(__xludf.DUMMYFUNCTION("""COMPUTED_VALUE"""),"Nut Mix")</f>
        <v>Nut Mix</v>
      </c>
      <c r="E373" s="6" t="str">
        <f>'Raw Data Sales'!F373</f>
        <v>Home</v>
      </c>
      <c r="F373" s="6">
        <f>'Raw Data Sales'!M373</f>
        <v>94</v>
      </c>
      <c r="G373" s="6">
        <f>'Raw Data Sales'!N373</f>
        <v>4563.7</v>
      </c>
      <c r="H373" s="6" t="str">
        <f>'Raw Data Sales'!O373</f>
        <v>PayPal</v>
      </c>
    </row>
    <row r="374">
      <c r="A374" s="6">
        <f>'Raw Data Sales'!A374</f>
        <v>373</v>
      </c>
      <c r="B374" s="8">
        <f>IFERROR(__xludf.DUMMYFUNCTION("""COMPUTED_VALUE"""),44200.0)</f>
        <v>44200</v>
      </c>
      <c r="C374" s="6" t="str">
        <f>IFERROR(__xludf.DUMMYFUNCTION("UNIQUE('Raw Data Sales'!H374:H1372 &amp; "" "" &amp; 'Raw Data Sales'!I374:I1372)"),"Kai McCrostie")</f>
        <v>Kai McCrostie</v>
      </c>
      <c r="D374" s="6" t="str">
        <f>IFERROR(__xludf.DUMMYFUNCTION("""COMPUTED_VALUE"""),"Mini Projector for Smartphones")</f>
        <v>Mini Projector for Smartphones</v>
      </c>
      <c r="E374" s="6" t="str">
        <f>'Raw Data Sales'!F374</f>
        <v>Food - Meat</v>
      </c>
      <c r="F374" s="6">
        <f>'Raw Data Sales'!M374</f>
        <v>58</v>
      </c>
      <c r="G374" s="6">
        <f>'Raw Data Sales'!N374</f>
        <v>6537.7</v>
      </c>
      <c r="H374" s="6" t="str">
        <f>'Raw Data Sales'!O374</f>
        <v>Credit Card</v>
      </c>
    </row>
    <row r="375">
      <c r="A375" s="6">
        <f>'Raw Data Sales'!A375</f>
        <v>374</v>
      </c>
      <c r="B375" s="8">
        <f>IFERROR(__xludf.DUMMYFUNCTION("""COMPUTED_VALUE"""),44531.0)</f>
        <v>44531</v>
      </c>
      <c r="C375" s="6" t="str">
        <f>IFERROR(__xludf.DUMMYFUNCTION("UNIQUE('Raw Data Sales'!H375:H1373 &amp; "" "" &amp; 'Raw Data Sales'!I375:I1373)"),"Cyndia O' Ronan")</f>
        <v>Cyndia O' Ronan</v>
      </c>
      <c r="D375" s="6" t="str">
        <f>IFERROR(__xludf.DUMMYFUNCTION("""COMPUTED_VALUE"""),"Garden Tool Belt")</f>
        <v>Garden Tool Belt</v>
      </c>
      <c r="E375" s="6" t="str">
        <f>'Raw Data Sales'!F375</f>
        <v>Kitchen</v>
      </c>
      <c r="F375" s="6">
        <f>'Raw Data Sales'!M375</f>
        <v>44</v>
      </c>
      <c r="G375" s="6">
        <f>'Raw Data Sales'!N375</f>
        <v>9806.38</v>
      </c>
      <c r="H375" s="6" t="str">
        <f>'Raw Data Sales'!O375</f>
        <v>Cash</v>
      </c>
    </row>
    <row r="376">
      <c r="A376" s="6">
        <f>'Raw Data Sales'!A376</f>
        <v>375</v>
      </c>
      <c r="B376" s="8">
        <f>IFERROR(__xludf.DUMMYFUNCTION("""COMPUTED_VALUE"""),44322.0)</f>
        <v>44322</v>
      </c>
      <c r="C376" s="6" t="str">
        <f>IFERROR(__xludf.DUMMYFUNCTION("UNIQUE('Raw Data Sales'!H376:H1374 &amp; "" "" &amp; 'Raw Data Sales'!I376:I1374)"),"Marlee Sanper")</f>
        <v>Marlee Sanper</v>
      </c>
      <c r="D376" s="6" t="str">
        <f>IFERROR(__xludf.DUMMYFUNCTION("""COMPUTED_VALUE"""),"Pineapple Coconut Yogurt")</f>
        <v>Pineapple Coconut Yogurt</v>
      </c>
      <c r="E376" s="6" t="str">
        <f>'Raw Data Sales'!F376</f>
        <v>Food - Vegetarian</v>
      </c>
      <c r="F376" s="6">
        <f>'Raw Data Sales'!M376</f>
        <v>77</v>
      </c>
      <c r="G376" s="6">
        <f>'Raw Data Sales'!N376</f>
        <v>4197.41</v>
      </c>
      <c r="H376" s="6" t="str">
        <f>'Raw Data Sales'!O376</f>
        <v>Cash</v>
      </c>
    </row>
    <row r="377">
      <c r="A377" s="6">
        <f>'Raw Data Sales'!A377</f>
        <v>376</v>
      </c>
      <c r="B377" s="8">
        <f>IFERROR(__xludf.DUMMYFUNCTION("""COMPUTED_VALUE"""),44414.0)</f>
        <v>44414</v>
      </c>
      <c r="C377" s="6" t="str">
        <f>IFERROR(__xludf.DUMMYFUNCTION("UNIQUE('Raw Data Sales'!H377:H1375 &amp; "" "" &amp; 'Raw Data Sales'!I377:I1375)"),"Rozanna Gaitskell")</f>
        <v>Rozanna Gaitskell</v>
      </c>
      <c r="D377" s="6" t="str">
        <f>IFERROR(__xludf.DUMMYFUNCTION("""COMPUTED_VALUE"""),"Infrared Space Heater")</f>
        <v>Infrared Space Heater</v>
      </c>
      <c r="E377" s="6" t="str">
        <f>'Raw Data Sales'!F377</f>
        <v>Food - Fresh Produce</v>
      </c>
      <c r="F377" s="6">
        <f>'Raw Data Sales'!M377</f>
        <v>74</v>
      </c>
      <c r="G377" s="6">
        <f>'Raw Data Sales'!N377</f>
        <v>756.39</v>
      </c>
      <c r="H377" s="6" t="str">
        <f>'Raw Data Sales'!O377</f>
        <v>Cash</v>
      </c>
    </row>
    <row r="378">
      <c r="A378" s="6">
        <f>'Raw Data Sales'!A378</f>
        <v>377</v>
      </c>
      <c r="B378" s="8">
        <f>IFERROR(__xludf.DUMMYFUNCTION("""COMPUTED_VALUE"""),44242.0)</f>
        <v>44242</v>
      </c>
      <c r="C378" s="6" t="str">
        <f>IFERROR(__xludf.DUMMYFUNCTION("UNIQUE('Raw Data Sales'!H378:H1376 &amp; "" "" &amp; 'Raw Data Sales'!I378:I1376)"),"Dolorita Duffrie")</f>
        <v>Dolorita Duffrie</v>
      </c>
      <c r="D378" s="6" t="str">
        <f>IFERROR(__xludf.DUMMYFUNCTION("""COMPUTED_VALUE"""),"Ceramic Knife Set")</f>
        <v>Ceramic Knife Set</v>
      </c>
      <c r="E378" s="6" t="str">
        <f>'Raw Data Sales'!F378</f>
        <v>Food - Prepared Foods</v>
      </c>
      <c r="F378" s="6">
        <f>'Raw Data Sales'!M378</f>
        <v>58</v>
      </c>
      <c r="G378" s="6">
        <f>'Raw Data Sales'!N378</f>
        <v>360.07</v>
      </c>
      <c r="H378" s="6" t="str">
        <f>'Raw Data Sales'!O378</f>
        <v>Credit Card</v>
      </c>
    </row>
    <row r="379">
      <c r="A379" s="6">
        <f>'Raw Data Sales'!A379</f>
        <v>378</v>
      </c>
      <c r="B379" s="8">
        <f>IFERROR(__xludf.DUMMYFUNCTION("""COMPUTED_VALUE"""),43856.0)</f>
        <v>43856</v>
      </c>
      <c r="C379" s="6" t="str">
        <f>IFERROR(__xludf.DUMMYFUNCTION("UNIQUE('Raw Data Sales'!H379:H1377 &amp; "" "" &amp; 'Raw Data Sales'!I379:I1377)"),"Agosto Kull")</f>
        <v>Agosto Kull</v>
      </c>
      <c r="D379" s="6" t="str">
        <f>IFERROR(__xludf.DUMMYFUNCTION("""COMPUTED_VALUE"""),"Raspberry Limeade")</f>
        <v>Raspberry Limeade</v>
      </c>
      <c r="E379" s="6" t="str">
        <f>'Raw Data Sales'!F379</f>
        <v>Food - Frozen Foods</v>
      </c>
      <c r="F379" s="6">
        <f>'Raw Data Sales'!M379</f>
        <v>99</v>
      </c>
      <c r="G379" s="6">
        <f>'Raw Data Sales'!N379</f>
        <v>6407.41</v>
      </c>
      <c r="H379" s="6" t="str">
        <f>'Raw Data Sales'!O379</f>
        <v>PayPal</v>
      </c>
    </row>
    <row r="380">
      <c r="A380" s="6">
        <f>'Raw Data Sales'!A380</f>
        <v>379</v>
      </c>
      <c r="B380" s="8">
        <f>IFERROR(__xludf.DUMMYFUNCTION("""COMPUTED_VALUE"""),44542.0)</f>
        <v>44542</v>
      </c>
      <c r="C380" s="6" t="str">
        <f>IFERROR(__xludf.DUMMYFUNCTION("UNIQUE('Raw Data Sales'!H380:H1378 &amp; "" "" &amp; 'Raw Data Sales'!I380:I1378)"),"Papagena Kilpin")</f>
        <v>Papagena Kilpin</v>
      </c>
      <c r="D380" s="6" t="str">
        <f>IFERROR(__xludf.DUMMYFUNCTION("""COMPUTED_VALUE"""),"Green Tea Matcha Powder")</f>
        <v>Green Tea Matcha Powder</v>
      </c>
      <c r="E380" s="6" t="str">
        <f>'Raw Data Sales'!F380</f>
        <v>Outdoor</v>
      </c>
      <c r="F380" s="6">
        <f>'Raw Data Sales'!M380</f>
        <v>1</v>
      </c>
      <c r="G380" s="6">
        <f>'Raw Data Sales'!N380</f>
        <v>9685.7</v>
      </c>
      <c r="H380" s="6" t="str">
        <f>'Raw Data Sales'!O380</f>
        <v>Cash</v>
      </c>
    </row>
    <row r="381">
      <c r="A381" s="6">
        <f>'Raw Data Sales'!A381</f>
        <v>380</v>
      </c>
      <c r="B381" s="8">
        <f>IFERROR(__xludf.DUMMYFUNCTION("""COMPUTED_VALUE"""),43953.0)</f>
        <v>43953</v>
      </c>
      <c r="C381" s="6" t="str">
        <f>IFERROR(__xludf.DUMMYFUNCTION("UNIQUE('Raw Data Sales'!H381:H1379 &amp; "" "" &amp; 'Raw Data Sales'!I381:I1379)"),"Grete Dumelow")</f>
        <v>Grete Dumelow</v>
      </c>
      <c r="D381" s="6" t="str">
        <f>IFERROR(__xludf.DUMMYFUNCTION("""COMPUTED_VALUE"""),"Plant Watering Spikes")</f>
        <v>Plant Watering Spikes</v>
      </c>
      <c r="E381" s="6" t="str">
        <f>'Raw Data Sales'!F381</f>
        <v>Garden</v>
      </c>
      <c r="F381" s="6">
        <f>'Raw Data Sales'!M381</f>
        <v>14</v>
      </c>
      <c r="G381" s="6">
        <f>'Raw Data Sales'!N381</f>
        <v>4460.3</v>
      </c>
      <c r="H381" s="6" t="str">
        <f>'Raw Data Sales'!O381</f>
        <v>Credit Card</v>
      </c>
    </row>
    <row r="382">
      <c r="A382" s="6">
        <f>'Raw Data Sales'!A382</f>
        <v>381</v>
      </c>
      <c r="B382" s="8">
        <f>IFERROR(__xludf.DUMMYFUNCTION("""COMPUTED_VALUE"""),44327.0)</f>
        <v>44327</v>
      </c>
      <c r="C382" s="6" t="str">
        <f>IFERROR(__xludf.DUMMYFUNCTION("UNIQUE('Raw Data Sales'!H382:H1380 &amp; "" "" &amp; 'Raw Data Sales'!I382:I1380)"),"Ewan Joynes")</f>
        <v>Ewan Joynes</v>
      </c>
      <c r="D382" s="6" t="str">
        <f>IFERROR(__xludf.DUMMYFUNCTION("""COMPUTED_VALUE"""),"Lentil Pasta")</f>
        <v>Lentil Pasta</v>
      </c>
      <c r="E382" s="6" t="str">
        <f>'Raw Data Sales'!F382</f>
        <v>Clothing - Tops</v>
      </c>
      <c r="F382" s="6">
        <f>'Raw Data Sales'!M382</f>
        <v>26</v>
      </c>
      <c r="G382" s="6">
        <f>'Raw Data Sales'!N382</f>
        <v>8193.2</v>
      </c>
      <c r="H382" s="6" t="str">
        <f>'Raw Data Sales'!O382</f>
        <v>PayPal</v>
      </c>
    </row>
    <row r="383">
      <c r="A383" s="6">
        <f>'Raw Data Sales'!A383</f>
        <v>382</v>
      </c>
      <c r="B383" s="8">
        <f>IFERROR(__xludf.DUMMYFUNCTION("""COMPUTED_VALUE"""),44401.0)</f>
        <v>44401</v>
      </c>
      <c r="C383" s="6" t="str">
        <f>IFERROR(__xludf.DUMMYFUNCTION("UNIQUE('Raw Data Sales'!H383:H1381 &amp; "" "" &amp; 'Raw Data Sales'!I383:I1381)"),"Christoforo Paddell")</f>
        <v>Christoforo Paddell</v>
      </c>
      <c r="D383" s="6" t="str">
        <f>IFERROR(__xludf.DUMMYFUNCTION("""COMPUTED_VALUE"""),"High-Speed Blender")</f>
        <v>High-Speed Blender</v>
      </c>
      <c r="E383" s="6" t="str">
        <f>'Raw Data Sales'!F383</f>
        <v>Accessories</v>
      </c>
      <c r="F383" s="6">
        <f>'Raw Data Sales'!M383</f>
        <v>12</v>
      </c>
      <c r="G383" s="6">
        <f>'Raw Data Sales'!N383</f>
        <v>3863.74</v>
      </c>
      <c r="H383" s="6" t="str">
        <f>'Raw Data Sales'!O383</f>
        <v>Cash</v>
      </c>
    </row>
    <row r="384">
      <c r="A384" s="6">
        <f>'Raw Data Sales'!A384</f>
        <v>383</v>
      </c>
      <c r="B384" s="8">
        <f>IFERROR(__xludf.DUMMYFUNCTION("""COMPUTED_VALUE"""),43864.0)</f>
        <v>43864</v>
      </c>
      <c r="C384" s="6" t="str">
        <f>IFERROR(__xludf.DUMMYFUNCTION("UNIQUE('Raw Data Sales'!H384:H1382 &amp; "" "" &amp; 'Raw Data Sales'!I384:I1382)"),"Lyle Stump")</f>
        <v>Lyle Stump</v>
      </c>
      <c r="D384" s="6" t="str">
        <f>IFERROR(__xludf.DUMMYFUNCTION("""COMPUTED_VALUE"""),"Teriyaki Tofu Stir-Fry")</f>
        <v>Teriyaki Tofu Stir-Fry</v>
      </c>
      <c r="E384" s="6" t="str">
        <f>'Raw Data Sales'!F384</f>
        <v>Food - Condiments</v>
      </c>
      <c r="F384" s="6">
        <f>'Raw Data Sales'!M384</f>
        <v>17</v>
      </c>
      <c r="G384" s="6">
        <f>'Raw Data Sales'!N384</f>
        <v>5266.91</v>
      </c>
      <c r="H384" s="6" t="str">
        <f>'Raw Data Sales'!O384</f>
        <v>PayPal</v>
      </c>
    </row>
    <row r="385">
      <c r="A385" s="6">
        <f>'Raw Data Sales'!A385</f>
        <v>384</v>
      </c>
      <c r="B385" s="8">
        <f>IFERROR(__xludf.DUMMYFUNCTION("""COMPUTED_VALUE"""),44287.0)</f>
        <v>44287</v>
      </c>
      <c r="C385" s="6" t="str">
        <f>IFERROR(__xludf.DUMMYFUNCTION("UNIQUE('Raw Data Sales'!H385:H1383 &amp; "" "" &amp; 'Raw Data Sales'!I385:I1383)"),"Bettine Boow")</f>
        <v>Bettine Boow</v>
      </c>
      <c r="D385" s="6" t="str">
        <f>IFERROR(__xludf.DUMMYFUNCTION("""COMPUTED_VALUE"""),"Floral Wrap Top")</f>
        <v>Floral Wrap Top</v>
      </c>
      <c r="E385" s="6" t="str">
        <f>'Raw Data Sales'!F385</f>
        <v>Kitchen</v>
      </c>
      <c r="F385" s="6">
        <f>'Raw Data Sales'!M385</f>
        <v>68</v>
      </c>
      <c r="G385" s="6">
        <f>'Raw Data Sales'!N385</f>
        <v>1014.73</v>
      </c>
      <c r="H385" s="6" t="str">
        <f>'Raw Data Sales'!O385</f>
        <v>Cash</v>
      </c>
    </row>
    <row r="386">
      <c r="A386" s="6">
        <f>'Raw Data Sales'!A386</f>
        <v>385</v>
      </c>
      <c r="B386" s="8">
        <f>IFERROR(__xludf.DUMMYFUNCTION("""COMPUTED_VALUE"""),44196.0)</f>
        <v>44196</v>
      </c>
      <c r="C386" s="6" t="str">
        <f>IFERROR(__xludf.DUMMYFUNCTION("UNIQUE('Raw Data Sales'!H386:H1384 &amp; "" "" &amp; 'Raw Data Sales'!I386:I1384)"),"Blayne Bows")</f>
        <v>Blayne Bows</v>
      </c>
      <c r="D386" s="6" t="str">
        <f>IFERROR(__xludf.DUMMYFUNCTION("""COMPUTED_VALUE"""),"Patterned Knit Scarf")</f>
        <v>Patterned Knit Scarf</v>
      </c>
      <c r="E386" s="6" t="str">
        <f>'Raw Data Sales'!F386</f>
        <v>Clothing - Dresses</v>
      </c>
      <c r="F386" s="6">
        <f>'Raw Data Sales'!M386</f>
        <v>7</v>
      </c>
      <c r="G386" s="6">
        <f>'Raw Data Sales'!N386</f>
        <v>3557.27</v>
      </c>
      <c r="H386" s="6" t="str">
        <f>'Raw Data Sales'!O386</f>
        <v>PayPal</v>
      </c>
    </row>
    <row r="387">
      <c r="A387" s="6">
        <f>'Raw Data Sales'!A387</f>
        <v>386</v>
      </c>
      <c r="B387" s="8">
        <f>IFERROR(__xludf.DUMMYFUNCTION("""COMPUTED_VALUE"""),44199.0)</f>
        <v>44199</v>
      </c>
      <c r="C387" s="6" t="str">
        <f>IFERROR(__xludf.DUMMYFUNCTION("UNIQUE('Raw Data Sales'!H387:H1385 &amp; "" "" &amp; 'Raw Data Sales'!I387:I1385)"),"Zane Allward")</f>
        <v>Zane Allward</v>
      </c>
      <c r="D387" s="6" t="str">
        <f>IFERROR(__xludf.DUMMYFUNCTION("""COMPUTED_VALUE"""),"Creamy Garlic Mashed Potatoes")</f>
        <v>Creamy Garlic Mashed Potatoes</v>
      </c>
      <c r="E387" s="6" t="str">
        <f>'Raw Data Sales'!F387</f>
        <v>Food - Meats</v>
      </c>
      <c r="F387" s="6">
        <f>'Raw Data Sales'!M387</f>
        <v>16</v>
      </c>
      <c r="G387" s="6">
        <f>'Raw Data Sales'!N387</f>
        <v>3765.78</v>
      </c>
      <c r="H387" s="6" t="str">
        <f>'Raw Data Sales'!O387</f>
        <v>Credit Card</v>
      </c>
    </row>
    <row r="388">
      <c r="A388" s="6">
        <f>'Raw Data Sales'!A388</f>
        <v>387</v>
      </c>
      <c r="B388" s="8">
        <f>IFERROR(__xludf.DUMMYFUNCTION("""COMPUTED_VALUE"""),43885.0)</f>
        <v>43885</v>
      </c>
      <c r="C388" s="6" t="str">
        <f>IFERROR(__xludf.DUMMYFUNCTION("UNIQUE('Raw Data Sales'!H388:H1386 &amp; "" "" &amp; 'Raw Data Sales'!I388:I1386)"),"Fonsie Eddowis")</f>
        <v>Fonsie Eddowis</v>
      </c>
      <c r="D388" s="6" t="str">
        <f>IFERROR(__xludf.DUMMYFUNCTION("""COMPUTED_VALUE"""),"Vegetable Fried Rice Mix")</f>
        <v>Vegetable Fried Rice Mix</v>
      </c>
      <c r="E388" s="6" t="str">
        <f>'Raw Data Sales'!F388</f>
        <v>Food - Cheese</v>
      </c>
      <c r="F388" s="6">
        <f>'Raw Data Sales'!M388</f>
        <v>7</v>
      </c>
      <c r="G388" s="6">
        <f>'Raw Data Sales'!N388</f>
        <v>1135.09</v>
      </c>
      <c r="H388" s="6" t="str">
        <f>'Raw Data Sales'!O388</f>
        <v>PayPal</v>
      </c>
    </row>
    <row r="389">
      <c r="A389" s="6">
        <f>'Raw Data Sales'!A389</f>
        <v>388</v>
      </c>
      <c r="B389" s="8">
        <f>IFERROR(__xludf.DUMMYFUNCTION("""COMPUTED_VALUE"""),44431.0)</f>
        <v>44431</v>
      </c>
      <c r="C389" s="6" t="str">
        <f>IFERROR(__xludf.DUMMYFUNCTION("UNIQUE('Raw Data Sales'!H389:H1387 &amp; "" "" &amp; 'Raw Data Sales'!I389:I1387)"),"Carmita Sea")</f>
        <v>Carmita Sea</v>
      </c>
      <c r="D389" s="6" t="str">
        <f>IFERROR(__xludf.DUMMYFUNCTION("""COMPUTED_VALUE"""),"Waffle Maker")</f>
        <v>Waffle Maker</v>
      </c>
      <c r="E389" s="6" t="str">
        <f>'Raw Data Sales'!F389</f>
        <v>Garden</v>
      </c>
      <c r="F389" s="6">
        <f>'Raw Data Sales'!M389</f>
        <v>25</v>
      </c>
      <c r="G389" s="6">
        <f>'Raw Data Sales'!N389</f>
        <v>7364.18</v>
      </c>
      <c r="H389" s="6" t="str">
        <f>'Raw Data Sales'!O389</f>
        <v>PayPal</v>
      </c>
    </row>
    <row r="390">
      <c r="A390" s="6">
        <f>'Raw Data Sales'!A390</f>
        <v>389</v>
      </c>
      <c r="B390" s="8">
        <f>IFERROR(__xludf.DUMMYFUNCTION("""COMPUTED_VALUE"""),43867.0)</f>
        <v>43867</v>
      </c>
      <c r="C390" s="6" t="str">
        <f>IFERROR(__xludf.DUMMYFUNCTION("UNIQUE('Raw Data Sales'!H390:H1388 &amp; "" "" &amp; 'Raw Data Sales'!I390:I1388)"),"Pincas Lidgerton")</f>
        <v>Pincas Lidgerton</v>
      </c>
      <c r="D390" s="6" t="str">
        <f>IFERROR(__xludf.DUMMYFUNCTION("""COMPUTED_VALUE"""),"Peas (frozen)")</f>
        <v>Peas (frozen)</v>
      </c>
      <c r="E390" s="6" t="str">
        <f>'Raw Data Sales'!F390</f>
        <v>Kitchen</v>
      </c>
      <c r="F390" s="6">
        <f>'Raw Data Sales'!M390</f>
        <v>71</v>
      </c>
      <c r="G390" s="6">
        <f>'Raw Data Sales'!N390</f>
        <v>2872.28</v>
      </c>
      <c r="H390" s="6" t="str">
        <f>'Raw Data Sales'!O390</f>
        <v>Credit Card</v>
      </c>
    </row>
    <row r="391">
      <c r="A391" s="6">
        <f>'Raw Data Sales'!A391</f>
        <v>390</v>
      </c>
      <c r="B391" s="8">
        <f>IFERROR(__xludf.DUMMYFUNCTION("""COMPUTED_VALUE"""),44132.0)</f>
        <v>44132</v>
      </c>
      <c r="C391" s="6" t="str">
        <f>IFERROR(__xludf.DUMMYFUNCTION("UNIQUE('Raw Data Sales'!H391:H1389 &amp; "" "" &amp; 'Raw Data Sales'!I391:I1389)"),"Georgiana Edgett")</f>
        <v>Georgiana Edgett</v>
      </c>
      <c r="D391" s="6" t="str">
        <f>IFERROR(__xludf.DUMMYFUNCTION("""COMPUTED_VALUE"""),"Premium Flashlight")</f>
        <v>Premium Flashlight</v>
      </c>
      <c r="E391" s="6" t="str">
        <f>'Raw Data Sales'!F391</f>
        <v>Food - Meat</v>
      </c>
      <c r="F391" s="6">
        <f>'Raw Data Sales'!M391</f>
        <v>49</v>
      </c>
      <c r="G391" s="6">
        <f>'Raw Data Sales'!N391</f>
        <v>4565.21</v>
      </c>
      <c r="H391" s="6" t="str">
        <f>'Raw Data Sales'!O391</f>
        <v>PayPal</v>
      </c>
    </row>
    <row r="392">
      <c r="A392" s="6">
        <f>'Raw Data Sales'!A392</f>
        <v>391</v>
      </c>
      <c r="B392" s="8">
        <f>IFERROR(__xludf.DUMMYFUNCTION("""COMPUTED_VALUE"""),44052.0)</f>
        <v>44052</v>
      </c>
      <c r="C392" s="6" t="str">
        <f>IFERROR(__xludf.DUMMYFUNCTION("UNIQUE('Raw Data Sales'!H392:H1390 &amp; "" "" &amp; 'Raw Data Sales'!I392:I1390)"),"Alexandrina Poytheras")</f>
        <v>Alexandrina Poytheras</v>
      </c>
      <c r="D392" s="6" t="str">
        <f>IFERROR(__xludf.DUMMYFUNCTION("""COMPUTED_VALUE"""),"Portable Hammock Swing")</f>
        <v>Portable Hammock Swing</v>
      </c>
      <c r="E392" s="6" t="str">
        <f>'Raw Data Sales'!F392</f>
        <v>Music</v>
      </c>
      <c r="F392" s="6">
        <f>'Raw Data Sales'!M392</f>
        <v>58</v>
      </c>
      <c r="G392" s="6">
        <f>'Raw Data Sales'!N392</f>
        <v>5810.46</v>
      </c>
      <c r="H392" s="6" t="str">
        <f>'Raw Data Sales'!O392</f>
        <v>Credit Card</v>
      </c>
    </row>
    <row r="393">
      <c r="A393" s="6">
        <f>'Raw Data Sales'!A393</f>
        <v>392</v>
      </c>
      <c r="B393" s="8">
        <f>IFERROR(__xludf.DUMMYFUNCTION("""COMPUTED_VALUE"""),44045.0)</f>
        <v>44045</v>
      </c>
      <c r="C393" s="6" t="str">
        <f>IFERROR(__xludf.DUMMYFUNCTION("UNIQUE('Raw Data Sales'!H393:H1391 &amp; "" "" &amp; 'Raw Data Sales'!I393:I1391)"),"Sumner Cockburn")</f>
        <v>Sumner Cockburn</v>
      </c>
      <c r="D393" s="6" t="str">
        <f>IFERROR(__xludf.DUMMYFUNCTION("""COMPUTED_VALUE"""),"Teriyaki Beef Jerky")</f>
        <v>Teriyaki Beef Jerky</v>
      </c>
      <c r="E393" s="6" t="str">
        <f>'Raw Data Sales'!F393</f>
        <v>Food - Vegetables</v>
      </c>
      <c r="F393" s="6">
        <f>'Raw Data Sales'!M393</f>
        <v>93</v>
      </c>
      <c r="G393" s="6">
        <f>'Raw Data Sales'!N393</f>
        <v>3465.81</v>
      </c>
      <c r="H393" s="6" t="str">
        <f>'Raw Data Sales'!O393</f>
        <v>PayPal</v>
      </c>
    </row>
    <row r="394">
      <c r="A394" s="6">
        <f>'Raw Data Sales'!A394</f>
        <v>393</v>
      </c>
      <c r="B394" s="8">
        <f>IFERROR(__xludf.DUMMYFUNCTION("""COMPUTED_VALUE"""),44032.0)</f>
        <v>44032</v>
      </c>
      <c r="C394" s="6" t="str">
        <f>IFERROR(__xludf.DUMMYFUNCTION("UNIQUE('Raw Data Sales'!H394:H1392 &amp; "" "" &amp; 'Raw Data Sales'!I394:I1392)"),"Emmerich Ogden")</f>
        <v>Emmerich Ogden</v>
      </c>
      <c r="D394" s="6" t="str">
        <f>IFERROR(__xludf.DUMMYFUNCTION("""COMPUTED_VALUE"""),"Organic Black Beans")</f>
        <v>Organic Black Beans</v>
      </c>
      <c r="E394" s="6" t="str">
        <f>'Raw Data Sales'!F394</f>
        <v>Food - Condiments</v>
      </c>
      <c r="F394" s="6">
        <f>'Raw Data Sales'!M394</f>
        <v>71</v>
      </c>
      <c r="G394" s="6">
        <f>'Raw Data Sales'!N394</f>
        <v>6738.94</v>
      </c>
      <c r="H394" s="6" t="str">
        <f>'Raw Data Sales'!O394</f>
        <v>PayPal</v>
      </c>
    </row>
    <row r="395">
      <c r="A395" s="6">
        <f>'Raw Data Sales'!A395</f>
        <v>394</v>
      </c>
      <c r="B395" s="8">
        <f>IFERROR(__xludf.DUMMYFUNCTION("""COMPUTED_VALUE"""),44191.0)</f>
        <v>44191</v>
      </c>
      <c r="C395" s="6" t="str">
        <f>IFERROR(__xludf.DUMMYFUNCTION("UNIQUE('Raw Data Sales'!H395:H1393 &amp; "" "" &amp; 'Raw Data Sales'!I395:I1393)"),"Myrtice Hawking")</f>
        <v>Myrtice Hawking</v>
      </c>
      <c r="D395" s="6" t="str">
        <f>IFERROR(__xludf.DUMMYFUNCTION("""COMPUTED_VALUE"""),"Warm Wool Sweater")</f>
        <v>Warm Wool Sweater</v>
      </c>
      <c r="E395" s="6" t="str">
        <f>'Raw Data Sales'!F395</f>
        <v>Home</v>
      </c>
      <c r="F395" s="6">
        <f>'Raw Data Sales'!M395</f>
        <v>35</v>
      </c>
      <c r="G395" s="6">
        <f>'Raw Data Sales'!N395</f>
        <v>4051.6</v>
      </c>
      <c r="H395" s="6" t="str">
        <f>'Raw Data Sales'!O395</f>
        <v>Credit Card</v>
      </c>
    </row>
    <row r="396">
      <c r="A396" s="6">
        <f>'Raw Data Sales'!A396</f>
        <v>395</v>
      </c>
      <c r="B396" s="8">
        <f>IFERROR(__xludf.DUMMYFUNCTION("""COMPUTED_VALUE"""),43946.0)</f>
        <v>43946</v>
      </c>
      <c r="C396" s="6" t="str">
        <f>IFERROR(__xludf.DUMMYFUNCTION("UNIQUE('Raw Data Sales'!H396:H1394 &amp; "" "" &amp; 'Raw Data Sales'!I396:I1394)"),"Jenda Veness")</f>
        <v>Jenda Veness</v>
      </c>
      <c r="D396" s="6" t="str">
        <f>IFERROR(__xludf.DUMMYFUNCTION("""COMPUTED_VALUE"""),"Magnetic Whiteboard")</f>
        <v>Magnetic Whiteboard</v>
      </c>
      <c r="E396" s="6" t="str">
        <f>'Raw Data Sales'!F396</f>
        <v>Food - Frozen Foods</v>
      </c>
      <c r="F396" s="6">
        <f>'Raw Data Sales'!M396</f>
        <v>33</v>
      </c>
      <c r="G396" s="6">
        <f>'Raw Data Sales'!N396</f>
        <v>9224.07</v>
      </c>
      <c r="H396" s="6" t="str">
        <f>'Raw Data Sales'!O396</f>
        <v>PayPal</v>
      </c>
    </row>
    <row r="397">
      <c r="A397" s="6">
        <f>'Raw Data Sales'!A397</f>
        <v>396</v>
      </c>
      <c r="B397" s="8">
        <f>IFERROR(__xludf.DUMMYFUNCTION("""COMPUTED_VALUE"""),44353.0)</f>
        <v>44353</v>
      </c>
      <c r="C397" s="6" t="str">
        <f>IFERROR(__xludf.DUMMYFUNCTION("UNIQUE('Raw Data Sales'!H397:H1395 &amp; "" "" &amp; 'Raw Data Sales'!I397:I1395)"),"Elayne Barizeret")</f>
        <v>Elayne Barizeret</v>
      </c>
      <c r="D397" s="6" t="str">
        <f>IFERROR(__xludf.DUMMYFUNCTION("""COMPUTED_VALUE"""),"Herb Drying Rack")</f>
        <v>Herb Drying Rack</v>
      </c>
      <c r="E397" s="6" t="str">
        <f>'Raw Data Sales'!F397</f>
        <v>Food - Meat Substitutes</v>
      </c>
      <c r="F397" s="6">
        <f>'Raw Data Sales'!M397</f>
        <v>39</v>
      </c>
      <c r="G397" s="6">
        <f>'Raw Data Sales'!N397</f>
        <v>2616.86</v>
      </c>
      <c r="H397" s="6" t="str">
        <f>'Raw Data Sales'!O397</f>
        <v>PayPal</v>
      </c>
    </row>
    <row r="398">
      <c r="A398" s="6">
        <f>'Raw Data Sales'!A398</f>
        <v>397</v>
      </c>
      <c r="B398" s="8">
        <f>IFERROR(__xludf.DUMMYFUNCTION("""COMPUTED_VALUE"""),43843.0)</f>
        <v>43843</v>
      </c>
      <c r="C398" s="6" t="str">
        <f>IFERROR(__xludf.DUMMYFUNCTION("UNIQUE('Raw Data Sales'!H398:H1396 &amp; "" "" &amp; 'Raw Data Sales'!I398:I1396)"),"Barbie Brugman")</f>
        <v>Barbie Brugman</v>
      </c>
      <c r="D398" s="6" t="str">
        <f>IFERROR(__xludf.DUMMYFUNCTION("""COMPUTED_VALUE"""),"Tomato Paste")</f>
        <v>Tomato Paste</v>
      </c>
      <c r="E398" s="6" t="str">
        <f>'Raw Data Sales'!F398</f>
        <v>Health</v>
      </c>
      <c r="F398" s="6">
        <f>'Raw Data Sales'!M398</f>
        <v>91</v>
      </c>
      <c r="G398" s="6">
        <f>'Raw Data Sales'!N398</f>
        <v>3894.5</v>
      </c>
      <c r="H398" s="6" t="str">
        <f>'Raw Data Sales'!O398</f>
        <v>PayPal</v>
      </c>
    </row>
    <row r="399">
      <c r="A399" s="6">
        <f>'Raw Data Sales'!A399</f>
        <v>398</v>
      </c>
      <c r="B399" s="8">
        <f>IFERROR(__xludf.DUMMYFUNCTION("""COMPUTED_VALUE"""),44506.0)</f>
        <v>44506</v>
      </c>
      <c r="C399" s="6" t="str">
        <f>IFERROR(__xludf.DUMMYFUNCTION("UNIQUE('Raw Data Sales'!H399:H1397 &amp; "" "" &amp; 'Raw Data Sales'!I399:I1397)"),"Cory D'Aeth")</f>
        <v>Cory D'Aeth</v>
      </c>
      <c r="D399" s="6" t="str">
        <f>IFERROR(__xludf.DUMMYFUNCTION("""COMPUTED_VALUE"""),"Digital Bullet Journal")</f>
        <v>Digital Bullet Journal</v>
      </c>
      <c r="E399" s="6" t="str">
        <f>'Raw Data Sales'!F399</f>
        <v>Home</v>
      </c>
      <c r="F399" s="6">
        <f>'Raw Data Sales'!M399</f>
        <v>98</v>
      </c>
      <c r="G399" s="6">
        <f>'Raw Data Sales'!N399</f>
        <v>5550.27</v>
      </c>
      <c r="H399" s="6" t="str">
        <f>'Raw Data Sales'!O399</f>
        <v>Credit Card</v>
      </c>
    </row>
    <row r="400">
      <c r="A400" s="6">
        <f>'Raw Data Sales'!A400</f>
        <v>399</v>
      </c>
      <c r="B400" s="8">
        <f>IFERROR(__xludf.DUMMYFUNCTION("""COMPUTED_VALUE"""),43927.0)</f>
        <v>43927</v>
      </c>
      <c r="C400" s="6" t="str">
        <f>IFERROR(__xludf.DUMMYFUNCTION("UNIQUE('Raw Data Sales'!H400:H1398 &amp; "" "" &amp; 'Raw Data Sales'!I400:I1398)"),"Willdon Aiken")</f>
        <v>Willdon Aiken</v>
      </c>
      <c r="D400" s="6" t="str">
        <f>IFERROR(__xludf.DUMMYFUNCTION("""COMPUTED_VALUE"""),"Folding Exercise Bike")</f>
        <v>Folding Exercise Bike</v>
      </c>
      <c r="E400" s="6" t="str">
        <f>'Raw Data Sales'!F400</f>
        <v>Food - Baking</v>
      </c>
      <c r="F400" s="6">
        <f>'Raw Data Sales'!M400</f>
        <v>14</v>
      </c>
      <c r="G400" s="6">
        <f>'Raw Data Sales'!N400</f>
        <v>2873.48</v>
      </c>
      <c r="H400" s="6" t="str">
        <f>'Raw Data Sales'!O400</f>
        <v>Cash</v>
      </c>
    </row>
    <row r="401">
      <c r="A401" s="6">
        <f>'Raw Data Sales'!A401</f>
        <v>400</v>
      </c>
      <c r="B401" s="8">
        <f>IFERROR(__xludf.DUMMYFUNCTION("""COMPUTED_VALUE"""),44097.0)</f>
        <v>44097</v>
      </c>
      <c r="C401" s="6" t="str">
        <f>IFERROR(__xludf.DUMMYFUNCTION("UNIQUE('Raw Data Sales'!H401:H1399 &amp; "" "" &amp; 'Raw Data Sales'!I401:I1399)"),"Arch Caverhill")</f>
        <v>Arch Caverhill</v>
      </c>
      <c r="D401" s="6" t="str">
        <f>IFERROR(__xludf.DUMMYFUNCTION("""COMPUTED_VALUE"""),"Dog Walking Waist Pack")</f>
        <v>Dog Walking Waist Pack</v>
      </c>
      <c r="E401" s="6" t="str">
        <f>'Raw Data Sales'!F401</f>
        <v>Tools</v>
      </c>
      <c r="F401" s="6">
        <f>'Raw Data Sales'!M401</f>
        <v>17</v>
      </c>
      <c r="G401" s="6">
        <f>'Raw Data Sales'!N401</f>
        <v>8745.68</v>
      </c>
      <c r="H401" s="6" t="str">
        <f>'Raw Data Sales'!O401</f>
        <v>PayPal</v>
      </c>
    </row>
    <row r="402">
      <c r="A402" s="6">
        <f>'Raw Data Sales'!A402</f>
        <v>401</v>
      </c>
      <c r="B402" s="8">
        <f>IFERROR(__xludf.DUMMYFUNCTION("""COMPUTED_VALUE"""),44396.0)</f>
        <v>44396</v>
      </c>
      <c r="C402" s="6" t="str">
        <f>IFERROR(__xludf.DUMMYFUNCTION("UNIQUE('Raw Data Sales'!H402:H1400 &amp; "" "" &amp; 'Raw Data Sales'!I402:I1400)"),"Barnabe Orteu")</f>
        <v>Barnabe Orteu</v>
      </c>
      <c r="D402" s="6" t="str">
        <f>IFERROR(__xludf.DUMMYFUNCTION("""COMPUTED_VALUE"""),"Dual Function Electric Skillet")</f>
        <v>Dual Function Electric Skillet</v>
      </c>
      <c r="E402" s="6" t="str">
        <f>'Raw Data Sales'!F402</f>
        <v>Food - Snacks</v>
      </c>
      <c r="F402" s="6">
        <f>'Raw Data Sales'!M402</f>
        <v>9</v>
      </c>
      <c r="G402" s="6">
        <f>'Raw Data Sales'!N402</f>
        <v>3265.34</v>
      </c>
      <c r="H402" s="6" t="str">
        <f>'Raw Data Sales'!O402</f>
        <v>Cash</v>
      </c>
    </row>
    <row r="403">
      <c r="A403" s="6">
        <f>'Raw Data Sales'!A403</f>
        <v>402</v>
      </c>
      <c r="B403" s="8">
        <f>IFERROR(__xludf.DUMMYFUNCTION("""COMPUTED_VALUE"""),44168.0)</f>
        <v>44168</v>
      </c>
      <c r="C403" s="6" t="str">
        <f>IFERROR(__xludf.DUMMYFUNCTION("UNIQUE('Raw Data Sales'!H403:H1401 &amp; "" "" &amp; 'Raw Data Sales'!I403:I1401)"),"Tull Webb-Bowen")</f>
        <v>Tull Webb-Bowen</v>
      </c>
      <c r="D403" s="6" t="str">
        <f>IFERROR(__xludf.DUMMYFUNCTION("""COMPUTED_VALUE"""),"Pork Chops")</f>
        <v>Pork Chops</v>
      </c>
      <c r="E403" s="6" t="str">
        <f>'Raw Data Sales'!F403</f>
        <v>Toys</v>
      </c>
      <c r="F403" s="6">
        <f>'Raw Data Sales'!M403</f>
        <v>48</v>
      </c>
      <c r="G403" s="6">
        <f>'Raw Data Sales'!N403</f>
        <v>8314.4</v>
      </c>
      <c r="H403" s="6" t="str">
        <f>'Raw Data Sales'!O403</f>
        <v>PayPal</v>
      </c>
    </row>
    <row r="404">
      <c r="A404" s="6">
        <f>'Raw Data Sales'!A404</f>
        <v>403</v>
      </c>
      <c r="B404" s="8">
        <f>IFERROR(__xludf.DUMMYFUNCTION("""COMPUTED_VALUE"""),44138.0)</f>
        <v>44138</v>
      </c>
      <c r="C404" s="6" t="str">
        <f>IFERROR(__xludf.DUMMYFUNCTION("UNIQUE('Raw Data Sales'!H404:H1402 &amp; "" "" &amp; 'Raw Data Sales'!I404:I1402)"),"Ami Darlaston")</f>
        <v>Ami Darlaston</v>
      </c>
      <c r="D404" s="6" t="str">
        <f>IFERROR(__xludf.DUMMYFUNCTION("""COMPUTED_VALUE"""),"Wireless Charger Stand")</f>
        <v>Wireless Charger Stand</v>
      </c>
      <c r="E404" s="6" t="str">
        <f>'Raw Data Sales'!F404</f>
        <v>Electronics</v>
      </c>
      <c r="F404" s="6">
        <f>'Raw Data Sales'!M404</f>
        <v>93</v>
      </c>
      <c r="G404" s="6">
        <f>'Raw Data Sales'!N404</f>
        <v>9057.15</v>
      </c>
      <c r="H404" s="6" t="str">
        <f>'Raw Data Sales'!O404</f>
        <v>PayPal</v>
      </c>
    </row>
    <row r="405">
      <c r="A405" s="6">
        <f>'Raw Data Sales'!A405</f>
        <v>404</v>
      </c>
      <c r="B405" s="8">
        <f>IFERROR(__xludf.DUMMYFUNCTION("""COMPUTED_VALUE"""),44053.0)</f>
        <v>44053</v>
      </c>
      <c r="C405" s="6" t="str">
        <f>IFERROR(__xludf.DUMMYFUNCTION("UNIQUE('Raw Data Sales'!H405:H1403 &amp; "" "" &amp; 'Raw Data Sales'!I405:I1403)"),"Nananne Demangel")</f>
        <v>Nananne Demangel</v>
      </c>
      <c r="D405" s="6" t="str">
        <f>IFERROR(__xludf.DUMMYFUNCTION("""COMPUTED_VALUE"""),"Puff Pastry")</f>
        <v>Puff Pastry</v>
      </c>
      <c r="E405" s="6" t="str">
        <f>'Raw Data Sales'!F405</f>
        <v>Pets</v>
      </c>
      <c r="F405" s="6">
        <f>'Raw Data Sales'!M405</f>
        <v>75</v>
      </c>
      <c r="G405" s="6">
        <f>'Raw Data Sales'!N405</f>
        <v>4921.06</v>
      </c>
      <c r="H405" s="6" t="str">
        <f>'Raw Data Sales'!O405</f>
        <v>PayPal</v>
      </c>
    </row>
    <row r="406">
      <c r="A406" s="6">
        <f>'Raw Data Sales'!A406</f>
        <v>405</v>
      </c>
      <c r="B406" s="8">
        <f>IFERROR(__xludf.DUMMYFUNCTION("""COMPUTED_VALUE"""),44151.0)</f>
        <v>44151</v>
      </c>
      <c r="C406" s="6" t="str">
        <f>IFERROR(__xludf.DUMMYFUNCTION("UNIQUE('Raw Data Sales'!H406:H1404 &amp; "" "" &amp; 'Raw Data Sales'!I406:I1404)"),"Bellanca Whickman")</f>
        <v>Bellanca Whickman</v>
      </c>
      <c r="D406" s="6" t="str">
        <f>IFERROR(__xludf.DUMMYFUNCTION("""COMPUTED_VALUE"""),"Trainers with Mesh Inserts")</f>
        <v>Trainers with Mesh Inserts</v>
      </c>
      <c r="E406" s="6" t="str">
        <f>'Raw Data Sales'!F406</f>
        <v>Garden</v>
      </c>
      <c r="F406" s="6">
        <f>'Raw Data Sales'!M406</f>
        <v>99</v>
      </c>
      <c r="G406" s="6">
        <f>'Raw Data Sales'!N406</f>
        <v>2651.04</v>
      </c>
      <c r="H406" s="6" t="str">
        <f>'Raw Data Sales'!O406</f>
        <v>Credit Card</v>
      </c>
    </row>
    <row r="407">
      <c r="A407" s="6">
        <f>'Raw Data Sales'!A407</f>
        <v>406</v>
      </c>
      <c r="B407" s="8">
        <f>IFERROR(__xludf.DUMMYFUNCTION("""COMPUTED_VALUE"""),44114.0)</f>
        <v>44114</v>
      </c>
      <c r="C407" s="6" t="str">
        <f>IFERROR(__xludf.DUMMYFUNCTION("UNIQUE('Raw Data Sales'!H407:H1405 &amp; "" "" &amp; 'Raw Data Sales'!I407:I1405)"),"Merissa Polini")</f>
        <v>Merissa Polini</v>
      </c>
      <c r="D407" s="6" t="str">
        <f>IFERROR(__xludf.DUMMYFUNCTION("""COMPUTED_VALUE"""),"Mini Electric Kettle")</f>
        <v>Mini Electric Kettle</v>
      </c>
      <c r="E407" s="6" t="str">
        <f>'Raw Data Sales'!F407</f>
        <v>Food - Dairy</v>
      </c>
      <c r="F407" s="6">
        <f>'Raw Data Sales'!M407</f>
        <v>27</v>
      </c>
      <c r="G407" s="6">
        <f>'Raw Data Sales'!N407</f>
        <v>6475</v>
      </c>
      <c r="H407" s="6" t="str">
        <f>'Raw Data Sales'!O407</f>
        <v>Cash</v>
      </c>
    </row>
    <row r="408">
      <c r="A408" s="6">
        <f>'Raw Data Sales'!A408</f>
        <v>407</v>
      </c>
      <c r="B408" s="8">
        <f>IFERROR(__xludf.DUMMYFUNCTION("""COMPUTED_VALUE"""),44164.0)</f>
        <v>44164</v>
      </c>
      <c r="C408" s="6" t="str">
        <f>IFERROR(__xludf.DUMMYFUNCTION("UNIQUE('Raw Data Sales'!H408:H1406 &amp; "" "" &amp; 'Raw Data Sales'!I408:I1406)"),"Brenden Abley")</f>
        <v>Brenden Abley</v>
      </c>
      <c r="D408" s="6" t="str">
        <f>IFERROR(__xludf.DUMMYFUNCTION("""COMPUTED_VALUE"""),"Portable Bluetooth Headphones")</f>
        <v>Portable Bluetooth Headphones</v>
      </c>
      <c r="E408" s="6" t="str">
        <f>'Raw Data Sales'!F408</f>
        <v>Clothing</v>
      </c>
      <c r="F408" s="6">
        <f>'Raw Data Sales'!M408</f>
        <v>76</v>
      </c>
      <c r="G408" s="6">
        <f>'Raw Data Sales'!N408</f>
        <v>6927.83</v>
      </c>
      <c r="H408" s="6" t="str">
        <f>'Raw Data Sales'!O408</f>
        <v>Cash</v>
      </c>
    </row>
    <row r="409">
      <c r="A409" s="6">
        <f>'Raw Data Sales'!A409</f>
        <v>408</v>
      </c>
      <c r="B409" s="8">
        <f>IFERROR(__xludf.DUMMYFUNCTION("""COMPUTED_VALUE"""),44541.0)</f>
        <v>44541</v>
      </c>
      <c r="C409" s="6" t="str">
        <f>IFERROR(__xludf.DUMMYFUNCTION("UNIQUE('Raw Data Sales'!H409:H1407 &amp; "" "" &amp; 'Raw Data Sales'!I409:I1407)"),"Jervis Chrismas")</f>
        <v>Jervis Chrismas</v>
      </c>
      <c r="D409" s="6" t="str">
        <f>IFERROR(__xludf.DUMMYFUNCTION("""COMPUTED_VALUE"""),"Bluetooth Car Adapter")</f>
        <v>Bluetooth Car Adapter</v>
      </c>
      <c r="E409" s="6" t="str">
        <f>'Raw Data Sales'!F409</f>
        <v>Home Appliances</v>
      </c>
      <c r="F409" s="6">
        <f>'Raw Data Sales'!M409</f>
        <v>24</v>
      </c>
      <c r="G409" s="6">
        <f>'Raw Data Sales'!N409</f>
        <v>4519.62</v>
      </c>
      <c r="H409" s="6" t="str">
        <f>'Raw Data Sales'!O409</f>
        <v>Credit Card</v>
      </c>
    </row>
    <row r="410">
      <c r="A410" s="6">
        <f>'Raw Data Sales'!A410</f>
        <v>409</v>
      </c>
      <c r="B410" s="8">
        <f>IFERROR(__xludf.DUMMYFUNCTION("""COMPUTED_VALUE"""),44357.0)</f>
        <v>44357</v>
      </c>
      <c r="C410" s="6" t="str">
        <f>IFERROR(__xludf.DUMMYFUNCTION("UNIQUE('Raw Data Sales'!H410:H1408 &amp; "" "" &amp; 'Raw Data Sales'!I410:I1408)"),"Gaylord Fidele")</f>
        <v>Gaylord Fidele</v>
      </c>
      <c r="D410" s="6" t="str">
        <f>IFERROR(__xludf.DUMMYFUNCTION("""COMPUTED_VALUE"""),"Pet First Aid Kit")</f>
        <v>Pet First Aid Kit</v>
      </c>
      <c r="E410" s="6" t="str">
        <f>'Raw Data Sales'!F410</f>
        <v>Outdoor</v>
      </c>
      <c r="F410" s="6">
        <f>'Raw Data Sales'!M410</f>
        <v>59</v>
      </c>
      <c r="G410" s="6">
        <f>'Raw Data Sales'!N410</f>
        <v>1040.67</v>
      </c>
      <c r="H410" s="6" t="str">
        <f>'Raw Data Sales'!O410</f>
        <v>Cash</v>
      </c>
    </row>
    <row r="411">
      <c r="A411" s="6">
        <f>'Raw Data Sales'!A411</f>
        <v>410</v>
      </c>
      <c r="B411" s="8">
        <f>IFERROR(__xludf.DUMMYFUNCTION("""COMPUTED_VALUE"""),44295.0)</f>
        <v>44295</v>
      </c>
      <c r="C411" s="6" t="str">
        <f>IFERROR(__xludf.DUMMYFUNCTION("UNIQUE('Raw Data Sales'!H411:H1409 &amp; "" "" &amp; 'Raw Data Sales'!I411:I1409)"),"Orion Abba")</f>
        <v>Orion Abba</v>
      </c>
      <c r="D411" s="6" t="str">
        <f>IFERROR(__xludf.DUMMYFUNCTION("""COMPUTED_VALUE"""),"Caramel Apple Taffy")</f>
        <v>Caramel Apple Taffy</v>
      </c>
      <c r="E411" s="6" t="str">
        <f>'Raw Data Sales'!F411</f>
        <v>Kitchen</v>
      </c>
      <c r="F411" s="6">
        <f>'Raw Data Sales'!M411</f>
        <v>24</v>
      </c>
      <c r="G411" s="6">
        <f>'Raw Data Sales'!N411</f>
        <v>9599.95</v>
      </c>
      <c r="H411" s="6" t="str">
        <f>'Raw Data Sales'!O411</f>
        <v>Cash</v>
      </c>
    </row>
    <row r="412">
      <c r="A412" s="6">
        <f>'Raw Data Sales'!A412</f>
        <v>411</v>
      </c>
      <c r="B412" s="8">
        <f>IFERROR(__xludf.DUMMYFUNCTION("""COMPUTED_VALUE"""),44087.0)</f>
        <v>44087</v>
      </c>
      <c r="C412" s="6" t="str">
        <f>IFERROR(__xludf.DUMMYFUNCTION("UNIQUE('Raw Data Sales'!H412:H1410 &amp; "" "" &amp; 'Raw Data Sales'!I412:I1410)"),"Deidre Haresnape")</f>
        <v>Deidre Haresnape</v>
      </c>
      <c r="D412" s="6" t="str">
        <f>IFERROR(__xludf.DUMMYFUNCTION("""COMPUTED_VALUE"""),"Marinara Sauce")</f>
        <v>Marinara Sauce</v>
      </c>
      <c r="E412" s="6" t="str">
        <f>'Raw Data Sales'!F412</f>
        <v>Food - Beverages</v>
      </c>
      <c r="F412" s="6">
        <f>'Raw Data Sales'!M412</f>
        <v>56</v>
      </c>
      <c r="G412" s="6">
        <f>'Raw Data Sales'!N412</f>
        <v>5580.39</v>
      </c>
      <c r="H412" s="6" t="str">
        <f>'Raw Data Sales'!O412</f>
        <v>PayPal</v>
      </c>
    </row>
    <row r="413">
      <c r="A413" s="6">
        <f>'Raw Data Sales'!A413</f>
        <v>412</v>
      </c>
      <c r="B413" s="8">
        <f>IFERROR(__xludf.DUMMYFUNCTION("""COMPUTED_VALUE"""),44112.0)</f>
        <v>44112</v>
      </c>
      <c r="C413" s="6" t="str">
        <f>IFERROR(__xludf.DUMMYFUNCTION("UNIQUE('Raw Data Sales'!H413:H1411 &amp; "" "" &amp; 'Raw Data Sales'!I413:I1411)"),"Irina Wisniowski")</f>
        <v>Irina Wisniowski</v>
      </c>
      <c r="D413" s="6" t="str">
        <f>IFERROR(__xludf.DUMMYFUNCTION("""COMPUTED_VALUE"""),"Fitness Mat")</f>
        <v>Fitness Mat</v>
      </c>
      <c r="E413" s="6" t="str">
        <f>'Raw Data Sales'!F413</f>
        <v>Food - Beverages</v>
      </c>
      <c r="F413" s="6">
        <f>'Raw Data Sales'!M413</f>
        <v>71</v>
      </c>
      <c r="G413" s="6">
        <f>'Raw Data Sales'!N413</f>
        <v>4564.71</v>
      </c>
      <c r="H413" s="6" t="str">
        <f>'Raw Data Sales'!O413</f>
        <v>Credit Card</v>
      </c>
    </row>
    <row r="414">
      <c r="A414" s="6">
        <f>'Raw Data Sales'!A414</f>
        <v>413</v>
      </c>
      <c r="B414" s="8">
        <f>IFERROR(__xludf.DUMMYFUNCTION("""COMPUTED_VALUE"""),44517.0)</f>
        <v>44517</v>
      </c>
      <c r="C414" s="6" t="str">
        <f>IFERROR(__xludf.DUMMYFUNCTION("UNIQUE('Raw Data Sales'!H414:H1412 &amp; "" "" &amp; 'Raw Data Sales'!I414:I1412)"),"Arther Jarrold")</f>
        <v>Arther Jarrold</v>
      </c>
      <c r="D414" s="6" t="str">
        <f>IFERROR(__xludf.DUMMYFUNCTION("""COMPUTED_VALUE"""),"Almond Joy Snack Bars")</f>
        <v>Almond Joy Snack Bars</v>
      </c>
      <c r="E414" s="6" t="str">
        <f>'Raw Data Sales'!F414</f>
        <v>Garden</v>
      </c>
      <c r="F414" s="6">
        <f>'Raw Data Sales'!M414</f>
        <v>62</v>
      </c>
      <c r="G414" s="6">
        <f>'Raw Data Sales'!N414</f>
        <v>8867.45</v>
      </c>
      <c r="H414" s="6" t="str">
        <f>'Raw Data Sales'!O414</f>
        <v>Credit Card</v>
      </c>
    </row>
    <row r="415">
      <c r="A415" s="6">
        <f>'Raw Data Sales'!A415</f>
        <v>414</v>
      </c>
      <c r="B415" s="8">
        <f>IFERROR(__xludf.DUMMYFUNCTION("""COMPUTED_VALUE"""),44508.0)</f>
        <v>44508</v>
      </c>
      <c r="C415" s="6" t="str">
        <f>IFERROR(__xludf.DUMMYFUNCTION("UNIQUE('Raw Data Sales'!H415:H1413 &amp; "" "" &amp; 'Raw Data Sales'!I415:I1413)"),"Fanechka Brownsall")</f>
        <v>Fanechka Brownsall</v>
      </c>
      <c r="D415" s="6" t="str">
        <f>IFERROR(__xludf.DUMMYFUNCTION("""COMPUTED_VALUE"""),"Vegetable Pizza Rolls")</f>
        <v>Vegetable Pizza Rolls</v>
      </c>
      <c r="E415" s="6" t="str">
        <f>'Raw Data Sales'!F415</f>
        <v>Food - Pasta</v>
      </c>
      <c r="F415" s="6">
        <f>'Raw Data Sales'!M415</f>
        <v>57</v>
      </c>
      <c r="G415" s="6">
        <f>'Raw Data Sales'!N415</f>
        <v>1623.13</v>
      </c>
      <c r="H415" s="6" t="str">
        <f>'Raw Data Sales'!O415</f>
        <v>PayPal</v>
      </c>
    </row>
    <row r="416">
      <c r="A416" s="6">
        <f>'Raw Data Sales'!A416</f>
        <v>415</v>
      </c>
      <c r="B416" s="8">
        <f>IFERROR(__xludf.DUMMYFUNCTION("""COMPUTED_VALUE"""),44273.0)</f>
        <v>44273</v>
      </c>
      <c r="C416" s="6" t="str">
        <f>IFERROR(__xludf.DUMMYFUNCTION("UNIQUE('Raw Data Sales'!H416:H1414 &amp; "" "" &amp; 'Raw Data Sales'!I416:I1414)"),"Malissia Baribal")</f>
        <v>Malissia Baribal</v>
      </c>
      <c r="D416" s="6" t="str">
        <f>IFERROR(__xludf.DUMMYFUNCTION("""COMPUTED_VALUE"""),"Chili Lime Seasoning")</f>
        <v>Chili Lime Seasoning</v>
      </c>
      <c r="E416" s="6" t="str">
        <f>'Raw Data Sales'!F416</f>
        <v>Food - Frozen Foods</v>
      </c>
      <c r="F416" s="6">
        <f>'Raw Data Sales'!M416</f>
        <v>45</v>
      </c>
      <c r="G416" s="6">
        <f>'Raw Data Sales'!N416</f>
        <v>8655.67</v>
      </c>
      <c r="H416" s="6" t="str">
        <f>'Raw Data Sales'!O416</f>
        <v>PayPal</v>
      </c>
    </row>
    <row r="417">
      <c r="A417" s="6">
        <f>'Raw Data Sales'!A417</f>
        <v>416</v>
      </c>
      <c r="B417" s="8">
        <f>IFERROR(__xludf.DUMMYFUNCTION("""COMPUTED_VALUE"""),43977.0)</f>
        <v>43977</v>
      </c>
      <c r="C417" s="6" t="str">
        <f>IFERROR(__xludf.DUMMYFUNCTION("UNIQUE('Raw Data Sales'!H417:H1415 &amp; "" "" &amp; 'Raw Data Sales'!I417:I1415)"),"Kendall Dilrew")</f>
        <v>Kendall Dilrew</v>
      </c>
      <c r="D417" s="6" t="str">
        <f>IFERROR(__xludf.DUMMYFUNCTION("""COMPUTED_VALUE"""),"Peach Mango Smoothie")</f>
        <v>Peach Mango Smoothie</v>
      </c>
      <c r="E417" s="6" t="str">
        <f>'Raw Data Sales'!F417</f>
        <v>Food - Bakery</v>
      </c>
      <c r="F417" s="6">
        <f>'Raw Data Sales'!M417</f>
        <v>63</v>
      </c>
      <c r="G417" s="6">
        <f>'Raw Data Sales'!N417</f>
        <v>256.45</v>
      </c>
      <c r="H417" s="6" t="str">
        <f>'Raw Data Sales'!O417</f>
        <v>Credit Card</v>
      </c>
    </row>
    <row r="418">
      <c r="A418" s="6">
        <f>'Raw Data Sales'!A418</f>
        <v>417</v>
      </c>
      <c r="B418" s="8">
        <f>IFERROR(__xludf.DUMMYFUNCTION("""COMPUTED_VALUE"""),44450.0)</f>
        <v>44450</v>
      </c>
      <c r="C418" s="6" t="str">
        <f>IFERROR(__xludf.DUMMYFUNCTION("UNIQUE('Raw Data Sales'!H418:H1416 &amp; "" "" &amp; 'Raw Data Sales'!I418:I1416)"),"Elfrieda Goldsworthy")</f>
        <v>Elfrieda Goldsworthy</v>
      </c>
      <c r="D418" s="6" t="str">
        <f>IFERROR(__xludf.DUMMYFUNCTION("""COMPUTED_VALUE"""),"Kids' Activity Book")</f>
        <v>Kids' Activity Book</v>
      </c>
      <c r="E418" s="6" t="str">
        <f>'Raw Data Sales'!F418</f>
        <v>Kitchen</v>
      </c>
      <c r="F418" s="6">
        <f>'Raw Data Sales'!M418</f>
        <v>28</v>
      </c>
      <c r="G418" s="6">
        <f>'Raw Data Sales'!N418</f>
        <v>6029.79</v>
      </c>
      <c r="H418" s="6" t="str">
        <f>'Raw Data Sales'!O418</f>
        <v>Cash</v>
      </c>
    </row>
    <row r="419">
      <c r="A419" s="6">
        <f>'Raw Data Sales'!A419</f>
        <v>418</v>
      </c>
      <c r="B419" s="8">
        <f>IFERROR(__xludf.DUMMYFUNCTION("""COMPUTED_VALUE"""),44460.0)</f>
        <v>44460</v>
      </c>
      <c r="C419" s="6" t="str">
        <f>IFERROR(__xludf.DUMMYFUNCTION("UNIQUE('Raw Data Sales'!H419:H1417 &amp; "" "" &amp; 'Raw Data Sales'!I419:I1417)"),"Adrienne Hannent")</f>
        <v>Adrienne Hannent</v>
      </c>
      <c r="D419" s="6" t="str">
        <f>IFERROR(__xludf.DUMMYFUNCTION("""COMPUTED_VALUE"""),"High-Pressure Handheld Shower Head")</f>
        <v>High-Pressure Handheld Shower Head</v>
      </c>
      <c r="E419" s="6" t="str">
        <f>'Raw Data Sales'!F419</f>
        <v>Food - Baking Goods</v>
      </c>
      <c r="F419" s="6">
        <f>'Raw Data Sales'!M419</f>
        <v>85</v>
      </c>
      <c r="G419" s="6">
        <f>'Raw Data Sales'!N419</f>
        <v>7450.59</v>
      </c>
      <c r="H419" s="6" t="str">
        <f>'Raw Data Sales'!O419</f>
        <v>Credit Card</v>
      </c>
    </row>
    <row r="420">
      <c r="A420" s="6">
        <f>'Raw Data Sales'!A420</f>
        <v>419</v>
      </c>
      <c r="B420" s="8">
        <f>IFERROR(__xludf.DUMMYFUNCTION("""COMPUTED_VALUE"""),43878.0)</f>
        <v>43878</v>
      </c>
      <c r="C420" s="6" t="str">
        <f>IFERROR(__xludf.DUMMYFUNCTION("UNIQUE('Raw Data Sales'!H420:H1418 &amp; "" "" &amp; 'Raw Data Sales'!I420:I1418)"),"Maudie Gorvette")</f>
        <v>Maudie Gorvette</v>
      </c>
      <c r="D420" s="6" t="str">
        <f>IFERROR(__xludf.DUMMYFUNCTION("""COMPUTED_VALUE"""),"Interactive Plush Toy")</f>
        <v>Interactive Plush Toy</v>
      </c>
      <c r="E420" s="6" t="str">
        <f>'Raw Data Sales'!F420</f>
        <v>Fitness</v>
      </c>
      <c r="F420" s="6">
        <f>'Raw Data Sales'!M420</f>
        <v>32</v>
      </c>
      <c r="G420" s="6">
        <f>'Raw Data Sales'!N420</f>
        <v>9436.32</v>
      </c>
      <c r="H420" s="6" t="str">
        <f>'Raw Data Sales'!O420</f>
        <v>Credit Card</v>
      </c>
    </row>
    <row r="421">
      <c r="A421" s="6">
        <f>'Raw Data Sales'!A421</f>
        <v>420</v>
      </c>
      <c r="B421" s="8">
        <f>IFERROR(__xludf.DUMMYFUNCTION("""COMPUTED_VALUE"""),44059.0)</f>
        <v>44059</v>
      </c>
      <c r="C421" s="6" t="str">
        <f>IFERROR(__xludf.DUMMYFUNCTION("UNIQUE('Raw Data Sales'!H421:H1419 &amp; "" "" &amp; 'Raw Data Sales'!I421:I1419)"),"Hersch Wildblood")</f>
        <v>Hersch Wildblood</v>
      </c>
      <c r="D421" s="6" t="str">
        <f>IFERROR(__xludf.DUMMYFUNCTION("""COMPUTED_VALUE"""),"Terry Cloth Robe")</f>
        <v>Terry Cloth Robe</v>
      </c>
      <c r="E421" s="6" t="str">
        <f>'Raw Data Sales'!F421</f>
        <v>Food - Salads</v>
      </c>
      <c r="F421" s="6">
        <f>'Raw Data Sales'!M421</f>
        <v>73</v>
      </c>
      <c r="G421" s="6">
        <f>'Raw Data Sales'!N421</f>
        <v>9808.28</v>
      </c>
      <c r="H421" s="6" t="str">
        <f>'Raw Data Sales'!O421</f>
        <v>Cash</v>
      </c>
    </row>
    <row r="422">
      <c r="A422" s="6">
        <f>'Raw Data Sales'!A422</f>
        <v>421</v>
      </c>
      <c r="B422" s="8">
        <f>IFERROR(__xludf.DUMMYFUNCTION("""COMPUTED_VALUE"""),44361.0)</f>
        <v>44361</v>
      </c>
      <c r="C422" s="6" t="str">
        <f>IFERROR(__xludf.DUMMYFUNCTION("UNIQUE('Raw Data Sales'!H422:H1420 &amp; "" "" &amp; 'Raw Data Sales'!I422:I1420)"),"Winfield McAree")</f>
        <v>Winfield McAree</v>
      </c>
      <c r="D422" s="6" t="str">
        <f>IFERROR(__xludf.DUMMYFUNCTION("""COMPUTED_VALUE"""),"Herb Seasoned Rice")</f>
        <v>Herb Seasoned Rice</v>
      </c>
      <c r="E422" s="6" t="str">
        <f>'Raw Data Sales'!F422</f>
        <v>Food - Snacks</v>
      </c>
      <c r="F422" s="6">
        <f>'Raw Data Sales'!M422</f>
        <v>54</v>
      </c>
      <c r="G422" s="6">
        <f>'Raw Data Sales'!N422</f>
        <v>846.46</v>
      </c>
      <c r="H422" s="6" t="str">
        <f>'Raw Data Sales'!O422</f>
        <v>Credit Card</v>
      </c>
    </row>
    <row r="423">
      <c r="A423" s="6">
        <f>'Raw Data Sales'!A423</f>
        <v>422</v>
      </c>
      <c r="B423" s="8">
        <f>IFERROR(__xludf.DUMMYFUNCTION("""COMPUTED_VALUE"""),44157.0)</f>
        <v>44157</v>
      </c>
      <c r="C423" s="6" t="str">
        <f>IFERROR(__xludf.DUMMYFUNCTION("UNIQUE('Raw Data Sales'!H423:H1421 &amp; "" "" &amp; 'Raw Data Sales'!I423:I1421)"),"Ramona Spieght")</f>
        <v>Ramona Spieght</v>
      </c>
      <c r="D423" s="6" t="str">
        <f>IFERROR(__xludf.DUMMYFUNCTION("""COMPUTED_VALUE"""),"Rice Pudding")</f>
        <v>Rice Pudding</v>
      </c>
      <c r="E423" s="6" t="str">
        <f>'Raw Data Sales'!F423</f>
        <v>Food - Prepared Meals</v>
      </c>
      <c r="F423" s="6">
        <f>'Raw Data Sales'!M423</f>
        <v>74</v>
      </c>
      <c r="G423" s="6">
        <f>'Raw Data Sales'!N423</f>
        <v>6704.76</v>
      </c>
      <c r="H423" s="6" t="str">
        <f>'Raw Data Sales'!O423</f>
        <v>Cash</v>
      </c>
    </row>
    <row r="424">
      <c r="A424" s="6">
        <f>'Raw Data Sales'!A424</f>
        <v>423</v>
      </c>
      <c r="B424" s="8">
        <f>IFERROR(__xludf.DUMMYFUNCTION("""COMPUTED_VALUE"""),43866.0)</f>
        <v>43866</v>
      </c>
      <c r="C424" s="6" t="str">
        <f>IFERROR(__xludf.DUMMYFUNCTION("UNIQUE('Raw Data Sales'!H424:H1422 &amp; "" "" &amp; 'Raw Data Sales'!I424:I1422)"),"Ada Andersen")</f>
        <v>Ada Andersen</v>
      </c>
      <c r="D424" s="6" t="str">
        <f>IFERROR(__xludf.DUMMYFUNCTION("""COMPUTED_VALUE"""),"Portable Solar Generator")</f>
        <v>Portable Solar Generator</v>
      </c>
      <c r="E424" s="6" t="str">
        <f>'Raw Data Sales'!F424</f>
        <v>Clothing - Tops</v>
      </c>
      <c r="F424" s="6">
        <f>'Raw Data Sales'!M424</f>
        <v>83</v>
      </c>
      <c r="G424" s="6">
        <f>'Raw Data Sales'!N424</f>
        <v>6147.31</v>
      </c>
      <c r="H424" s="6" t="str">
        <f>'Raw Data Sales'!O424</f>
        <v>Credit Card</v>
      </c>
    </row>
    <row r="425">
      <c r="A425" s="6">
        <f>'Raw Data Sales'!A425</f>
        <v>424</v>
      </c>
      <c r="B425" s="8">
        <f>IFERROR(__xludf.DUMMYFUNCTION("""COMPUTED_VALUE"""),44402.0)</f>
        <v>44402</v>
      </c>
      <c r="C425" s="6" t="str">
        <f>IFERROR(__xludf.DUMMYFUNCTION("UNIQUE('Raw Data Sales'!H425:H1423 &amp; "" "" &amp; 'Raw Data Sales'!I425:I1423)"),"Boigie Clover")</f>
        <v>Boigie Clover</v>
      </c>
      <c r="D425" s="6" t="str">
        <f>IFERROR(__xludf.DUMMYFUNCTION("""COMPUTED_VALUE"""),"Durable Hiking Boots")</f>
        <v>Durable Hiking Boots</v>
      </c>
      <c r="E425" s="6" t="str">
        <f>'Raw Data Sales'!F425</f>
        <v>Beauty</v>
      </c>
      <c r="F425" s="6">
        <f>'Raw Data Sales'!M425</f>
        <v>90</v>
      </c>
      <c r="G425" s="6">
        <f>'Raw Data Sales'!N425</f>
        <v>6587.34</v>
      </c>
      <c r="H425" s="6" t="str">
        <f>'Raw Data Sales'!O425</f>
        <v>Cash</v>
      </c>
    </row>
    <row r="426">
      <c r="A426" s="6">
        <f>'Raw Data Sales'!A426</f>
        <v>425</v>
      </c>
      <c r="B426" s="8">
        <f>IFERROR(__xludf.DUMMYFUNCTION("""COMPUTED_VALUE"""),44092.0)</f>
        <v>44092</v>
      </c>
      <c r="C426" s="6" t="str">
        <f>IFERROR(__xludf.DUMMYFUNCTION("UNIQUE('Raw Data Sales'!H426:H1424 &amp; "" "" &amp; 'Raw Data Sales'!I426:I1424)"),"Licha Glassford")</f>
        <v>Licha Glassford</v>
      </c>
      <c r="D426" s="6" t="str">
        <f>IFERROR(__xludf.DUMMYFUNCTION("""COMPUTED_VALUE"""),"Smartphone Tripod")</f>
        <v>Smartphone Tripod</v>
      </c>
      <c r="E426" s="6" t="str">
        <f>'Raw Data Sales'!F426</f>
        <v>Food - Sauces</v>
      </c>
      <c r="F426" s="6">
        <f>'Raw Data Sales'!M426</f>
        <v>63</v>
      </c>
      <c r="G426" s="6">
        <f>'Raw Data Sales'!N426</f>
        <v>2479.6</v>
      </c>
      <c r="H426" s="6" t="str">
        <f>'Raw Data Sales'!O426</f>
        <v>Credit Card</v>
      </c>
    </row>
    <row r="427">
      <c r="A427" s="6">
        <f>'Raw Data Sales'!A427</f>
        <v>426</v>
      </c>
      <c r="B427" s="8">
        <f>IFERROR(__xludf.DUMMYFUNCTION("""COMPUTED_VALUE"""),44281.0)</f>
        <v>44281</v>
      </c>
      <c r="C427" s="6" t="str">
        <f>IFERROR(__xludf.DUMMYFUNCTION("UNIQUE('Raw Data Sales'!H427:H1425 &amp; "" "" &amp; 'Raw Data Sales'!I427:I1425)"),"Jerrilyn Kosiada")</f>
        <v>Jerrilyn Kosiada</v>
      </c>
      <c r="D427" s="6" t="str">
        <f>IFERROR(__xludf.DUMMYFUNCTION("""COMPUTED_VALUE"""),"Fire Roasted Salsa")</f>
        <v>Fire Roasted Salsa</v>
      </c>
      <c r="E427" s="6" t="str">
        <f>'Raw Data Sales'!F427</f>
        <v>Clothing - Accessories</v>
      </c>
      <c r="F427" s="6">
        <f>'Raw Data Sales'!M427</f>
        <v>96</v>
      </c>
      <c r="G427" s="6">
        <f>'Raw Data Sales'!N427</f>
        <v>2368.6</v>
      </c>
      <c r="H427" s="6" t="str">
        <f>'Raw Data Sales'!O427</f>
        <v>Credit Card</v>
      </c>
    </row>
    <row r="428">
      <c r="A428" s="6">
        <f>'Raw Data Sales'!A428</f>
        <v>427</v>
      </c>
      <c r="B428" s="8">
        <f>IFERROR(__xludf.DUMMYFUNCTION("""COMPUTED_VALUE"""),43835.0)</f>
        <v>43835</v>
      </c>
      <c r="C428" s="6" t="str">
        <f>IFERROR(__xludf.DUMMYFUNCTION("UNIQUE('Raw Data Sales'!H428:H1426 &amp; "" "" &amp; 'Raw Data Sales'!I428:I1426)"),"Lowe Juschka")</f>
        <v>Lowe Juschka</v>
      </c>
      <c r="D428" s="6" t="str">
        <f>IFERROR(__xludf.DUMMYFUNCTION("""COMPUTED_VALUE"""),"Fitness Balance Ball")</f>
        <v>Fitness Balance Ball</v>
      </c>
      <c r="E428" s="6" t="str">
        <f>'Raw Data Sales'!F428</f>
        <v>Food - Sides</v>
      </c>
      <c r="F428" s="6">
        <f>'Raw Data Sales'!M428</f>
        <v>8</v>
      </c>
      <c r="G428" s="6">
        <f>'Raw Data Sales'!N428</f>
        <v>4271.63</v>
      </c>
      <c r="H428" s="6" t="str">
        <f>'Raw Data Sales'!O428</f>
        <v>PayPal</v>
      </c>
    </row>
    <row r="429">
      <c r="A429" s="6">
        <f>'Raw Data Sales'!A429</f>
        <v>428</v>
      </c>
      <c r="B429" s="8">
        <f>IFERROR(__xludf.DUMMYFUNCTION("""COMPUTED_VALUE"""),44486.0)</f>
        <v>44486</v>
      </c>
      <c r="C429" s="6" t="str">
        <f>IFERROR(__xludf.DUMMYFUNCTION("UNIQUE('Raw Data Sales'!H429:H1427 &amp; "" "" &amp; 'Raw Data Sales'!I429:I1427)"),"Rivi McCall")</f>
        <v>Rivi McCall</v>
      </c>
      <c r="D429" s="6" t="str">
        <f>IFERROR(__xludf.DUMMYFUNCTION("""COMPUTED_VALUE"""),"Baby Monitor")</f>
        <v>Baby Monitor</v>
      </c>
      <c r="E429" s="6" t="str">
        <f>'Raw Data Sales'!F429</f>
        <v>Food - Frozen Food</v>
      </c>
      <c r="F429" s="6">
        <f>'Raw Data Sales'!M429</f>
        <v>7</v>
      </c>
      <c r="G429" s="6">
        <f>'Raw Data Sales'!N429</f>
        <v>1542.19</v>
      </c>
      <c r="H429" s="6" t="str">
        <f>'Raw Data Sales'!O429</f>
        <v>Credit Card</v>
      </c>
    </row>
    <row r="430">
      <c r="A430" s="6">
        <f>'Raw Data Sales'!A430</f>
        <v>429</v>
      </c>
      <c r="B430" s="8">
        <f>IFERROR(__xludf.DUMMYFUNCTION("""COMPUTED_VALUE"""),44219.0)</f>
        <v>44219</v>
      </c>
      <c r="C430" s="6" t="str">
        <f>IFERROR(__xludf.DUMMYFUNCTION("UNIQUE('Raw Data Sales'!H430:H1428 &amp; "" "" &amp; 'Raw Data Sales'!I430:I1428)"),"Cheri Alsina")</f>
        <v>Cheri Alsina</v>
      </c>
      <c r="D430" s="6" t="str">
        <f>IFERROR(__xludf.DUMMYFUNCTION("""COMPUTED_VALUE"""),"LED Strip Light Kit")</f>
        <v>LED Strip Light Kit</v>
      </c>
      <c r="E430" s="6" t="str">
        <f>'Raw Data Sales'!F430</f>
        <v>Kitchen</v>
      </c>
      <c r="F430" s="6">
        <f>'Raw Data Sales'!M430</f>
        <v>64</v>
      </c>
      <c r="G430" s="6">
        <f>'Raw Data Sales'!N430</f>
        <v>4108.93</v>
      </c>
      <c r="H430" s="6" t="str">
        <f>'Raw Data Sales'!O430</f>
        <v>PayPal</v>
      </c>
    </row>
    <row r="431">
      <c r="A431" s="6">
        <f>'Raw Data Sales'!A431</f>
        <v>430</v>
      </c>
      <c r="B431" s="8">
        <f>IFERROR(__xludf.DUMMYFUNCTION("""COMPUTED_VALUE"""),44451.0)</f>
        <v>44451</v>
      </c>
      <c r="C431" s="6" t="str">
        <f>IFERROR(__xludf.DUMMYFUNCTION("UNIQUE('Raw Data Sales'!H431:H1429 &amp; "" "" &amp; 'Raw Data Sales'!I431:I1429)"),"Lucille Yole")</f>
        <v>Lucille Yole</v>
      </c>
      <c r="D431" s="6" t="str">
        <f>IFERROR(__xludf.DUMMYFUNCTION("""COMPUTED_VALUE"""),"Wireless Car Charger")</f>
        <v>Wireless Car Charger</v>
      </c>
      <c r="E431" s="6" t="str">
        <f>'Raw Data Sales'!F431</f>
        <v>Food - Frozen Foods</v>
      </c>
      <c r="F431" s="6">
        <f>'Raw Data Sales'!M431</f>
        <v>96</v>
      </c>
      <c r="G431" s="6">
        <f>'Raw Data Sales'!N431</f>
        <v>4760.96</v>
      </c>
      <c r="H431" s="6" t="str">
        <f>'Raw Data Sales'!O431</f>
        <v>Cash</v>
      </c>
    </row>
    <row r="432">
      <c r="A432" s="6">
        <f>'Raw Data Sales'!A432</f>
        <v>431</v>
      </c>
      <c r="B432" s="8">
        <f>IFERROR(__xludf.DUMMYFUNCTION("""COMPUTED_VALUE"""),44005.0)</f>
        <v>44005</v>
      </c>
      <c r="C432" s="6" t="str">
        <f>IFERROR(__xludf.DUMMYFUNCTION("UNIQUE('Raw Data Sales'!H432:H1430 &amp; "" "" &amp; 'Raw Data Sales'!I432:I1430)"),"Bogey Caudrelier")</f>
        <v>Bogey Caudrelier</v>
      </c>
      <c r="D432" s="6" t="str">
        <f>IFERROR(__xludf.DUMMYFUNCTION("""COMPUTED_VALUE"""),"Magnetic Curtain Tiebacks")</f>
        <v>Magnetic Curtain Tiebacks</v>
      </c>
      <c r="E432" s="6" t="str">
        <f>'Raw Data Sales'!F432</f>
        <v>Outdoor</v>
      </c>
      <c r="F432" s="6">
        <f>'Raw Data Sales'!M432</f>
        <v>87</v>
      </c>
      <c r="G432" s="6">
        <f>'Raw Data Sales'!N432</f>
        <v>9990.5</v>
      </c>
      <c r="H432" s="6" t="str">
        <f>'Raw Data Sales'!O432</f>
        <v>Cash</v>
      </c>
    </row>
    <row r="433">
      <c r="A433" s="6">
        <f>'Raw Data Sales'!A433</f>
        <v>432</v>
      </c>
      <c r="B433" s="8">
        <f>IFERROR(__xludf.DUMMYFUNCTION("""COMPUTED_VALUE"""),44335.0)</f>
        <v>44335</v>
      </c>
      <c r="C433" s="6" t="str">
        <f>IFERROR(__xludf.DUMMYFUNCTION("UNIQUE('Raw Data Sales'!H433:H1431 &amp; "" "" &amp; 'Raw Data Sales'!I433:I1431)"),"Norrie Bodker")</f>
        <v>Norrie Bodker</v>
      </c>
      <c r="D433" s="6" t="str">
        <f>IFERROR(__xludf.DUMMYFUNCTION("""COMPUTED_VALUE"""),"Peanut Butter")</f>
        <v>Peanut Butter</v>
      </c>
      <c r="E433" s="6" t="str">
        <f>'Raw Data Sales'!F433</f>
        <v>Outdoor</v>
      </c>
      <c r="F433" s="6">
        <f>'Raw Data Sales'!M433</f>
        <v>58</v>
      </c>
      <c r="G433" s="6">
        <f>'Raw Data Sales'!N433</f>
        <v>4494.12</v>
      </c>
      <c r="H433" s="6" t="str">
        <f>'Raw Data Sales'!O433</f>
        <v>Cash</v>
      </c>
    </row>
    <row r="434">
      <c r="A434" s="6">
        <f>'Raw Data Sales'!A434</f>
        <v>433</v>
      </c>
      <c r="B434" s="8">
        <f>IFERROR(__xludf.DUMMYFUNCTION("""COMPUTED_VALUE"""),44476.0)</f>
        <v>44476</v>
      </c>
      <c r="C434" s="6" t="str">
        <f>IFERROR(__xludf.DUMMYFUNCTION("UNIQUE('Raw Data Sales'!H434:H1432 &amp; "" "" &amp; 'Raw Data Sales'!I434:I1432)"),"Vladamir McQuorkell")</f>
        <v>Vladamir McQuorkell</v>
      </c>
      <c r="D434" s="6" t="str">
        <f>IFERROR(__xludf.DUMMYFUNCTION("""COMPUTED_VALUE"""),"Maple Oatmeal")</f>
        <v>Maple Oatmeal</v>
      </c>
      <c r="E434" s="6" t="str">
        <f>'Raw Data Sales'!F434</f>
        <v>Food - Snacks</v>
      </c>
      <c r="F434" s="6">
        <f>'Raw Data Sales'!M434</f>
        <v>86</v>
      </c>
      <c r="G434" s="6">
        <f>'Raw Data Sales'!N434</f>
        <v>3613.78</v>
      </c>
      <c r="H434" s="6" t="str">
        <f>'Raw Data Sales'!O434</f>
        <v>PayPal</v>
      </c>
    </row>
    <row r="435">
      <c r="A435" s="6">
        <f>'Raw Data Sales'!A435</f>
        <v>434</v>
      </c>
      <c r="B435" s="8">
        <f>IFERROR(__xludf.DUMMYFUNCTION("""COMPUTED_VALUE"""),44308.0)</f>
        <v>44308</v>
      </c>
      <c r="C435" s="6" t="str">
        <f>IFERROR(__xludf.DUMMYFUNCTION("UNIQUE('Raw Data Sales'!H435:H1433 &amp; "" "" &amp; 'Raw Data Sales'!I435:I1433)"),"Abra Massen")</f>
        <v>Abra Massen</v>
      </c>
      <c r="D435" s="6" t="str">
        <f>IFERROR(__xludf.DUMMYFUNCTION("""COMPUTED_VALUE"""),"Caribbean Jerk Marinade")</f>
        <v>Caribbean Jerk Marinade</v>
      </c>
      <c r="E435" s="6" t="str">
        <f>'Raw Data Sales'!F435</f>
        <v>Food - Canned Goods</v>
      </c>
      <c r="F435" s="6">
        <f>'Raw Data Sales'!M435</f>
        <v>8</v>
      </c>
      <c r="G435" s="6">
        <f>'Raw Data Sales'!N435</f>
        <v>142.21</v>
      </c>
      <c r="H435" s="6" t="str">
        <f>'Raw Data Sales'!O435</f>
        <v>Credit Card</v>
      </c>
    </row>
    <row r="436">
      <c r="A436" s="6">
        <f>'Raw Data Sales'!A436</f>
        <v>435</v>
      </c>
      <c r="B436" s="8">
        <f>IFERROR(__xludf.DUMMYFUNCTION("""COMPUTED_VALUE"""),44188.0)</f>
        <v>44188</v>
      </c>
      <c r="C436" s="6" t="str">
        <f>IFERROR(__xludf.DUMMYFUNCTION("UNIQUE('Raw Data Sales'!H436:H1434 &amp; "" "" &amp; 'Raw Data Sales'!I436:I1434)"),"Mariejeanne Stonebanks")</f>
        <v>Mariejeanne Stonebanks</v>
      </c>
      <c r="D436" s="6" t="str">
        <f>IFERROR(__xludf.DUMMYFUNCTION("""COMPUTED_VALUE"""),"Basmati Rice")</f>
        <v>Basmati Rice</v>
      </c>
      <c r="E436" s="6" t="str">
        <f>'Raw Data Sales'!F436</f>
        <v>Clothing - Tops</v>
      </c>
      <c r="F436" s="6">
        <f>'Raw Data Sales'!M436</f>
        <v>38</v>
      </c>
      <c r="G436" s="6">
        <f>'Raw Data Sales'!N436</f>
        <v>9748.73</v>
      </c>
      <c r="H436" s="6" t="str">
        <f>'Raw Data Sales'!O436</f>
        <v>Credit Card</v>
      </c>
    </row>
    <row r="437">
      <c r="A437" s="6">
        <f>'Raw Data Sales'!A437</f>
        <v>436</v>
      </c>
      <c r="B437" s="8">
        <f>IFERROR(__xludf.DUMMYFUNCTION("""COMPUTED_VALUE"""),44325.0)</f>
        <v>44325</v>
      </c>
      <c r="C437" s="6" t="str">
        <f>IFERROR(__xludf.DUMMYFUNCTION("UNIQUE('Raw Data Sales'!H437:H1435 &amp; "" "" &amp; 'Raw Data Sales'!I437:I1435)"),"Yelena Shelborne")</f>
        <v>Yelena Shelborne</v>
      </c>
      <c r="D437" s="6" t="str">
        <f>IFERROR(__xludf.DUMMYFUNCTION("""COMPUTED_VALUE"""),"Travel Yoga Mat")</f>
        <v>Travel Yoga Mat</v>
      </c>
      <c r="E437" s="6" t="str">
        <f>'Raw Data Sales'!F437</f>
        <v>Office</v>
      </c>
      <c r="F437" s="6">
        <f>'Raw Data Sales'!M437</f>
        <v>41</v>
      </c>
      <c r="G437" s="6">
        <f>'Raw Data Sales'!N437</f>
        <v>7217.83</v>
      </c>
      <c r="H437" s="6" t="str">
        <f>'Raw Data Sales'!O437</f>
        <v>Credit Card</v>
      </c>
    </row>
    <row r="438">
      <c r="A438" s="6">
        <f>'Raw Data Sales'!A438</f>
        <v>437</v>
      </c>
      <c r="B438" s="8">
        <f>IFERROR(__xludf.DUMMYFUNCTION("""COMPUTED_VALUE"""),44291.0)</f>
        <v>44291</v>
      </c>
      <c r="C438" s="6" t="str">
        <f>IFERROR(__xludf.DUMMYFUNCTION("UNIQUE('Raw Data Sales'!H438:H1436 &amp; "" "" &amp; 'Raw Data Sales'!I438:I1436)"),"Adda Esmonde")</f>
        <v>Adda Esmonde</v>
      </c>
      <c r="D438" s="6" t="str">
        <f>IFERROR(__xludf.DUMMYFUNCTION("""COMPUTED_VALUE"""),"Balsamic Salad Dressing")</f>
        <v>Balsamic Salad Dressing</v>
      </c>
      <c r="E438" s="6" t="str">
        <f>'Raw Data Sales'!F438</f>
        <v>Garden</v>
      </c>
      <c r="F438" s="6">
        <f>'Raw Data Sales'!M438</f>
        <v>81</v>
      </c>
      <c r="G438" s="6">
        <f>'Raw Data Sales'!N438</f>
        <v>1534.58</v>
      </c>
      <c r="H438" s="6" t="str">
        <f>'Raw Data Sales'!O438</f>
        <v>Credit Card</v>
      </c>
    </row>
    <row r="439">
      <c r="A439" s="6">
        <f>'Raw Data Sales'!A439</f>
        <v>438</v>
      </c>
      <c r="B439" s="8">
        <f>IFERROR(__xludf.DUMMYFUNCTION("""COMPUTED_VALUE"""),44472.0)</f>
        <v>44472</v>
      </c>
      <c r="C439" s="6" t="str">
        <f>IFERROR(__xludf.DUMMYFUNCTION("UNIQUE('Raw Data Sales'!H439:H1437 &amp; "" "" &amp; 'Raw Data Sales'!I439:I1437)"),"Waneta Cunney")</f>
        <v>Waneta Cunney</v>
      </c>
      <c r="D439" s="6" t="str">
        <f>IFERROR(__xludf.DUMMYFUNCTION("""COMPUTED_VALUE"""),"Gardening Gloves with Claws")</f>
        <v>Gardening Gloves with Claws</v>
      </c>
      <c r="E439" s="6" t="str">
        <f>'Raw Data Sales'!F439</f>
        <v>Kitchen</v>
      </c>
      <c r="F439" s="6">
        <f>'Raw Data Sales'!M439</f>
        <v>3</v>
      </c>
      <c r="G439" s="6">
        <f>'Raw Data Sales'!N439</f>
        <v>3063.33</v>
      </c>
      <c r="H439" s="6" t="str">
        <f>'Raw Data Sales'!O439</f>
        <v>Credit Card</v>
      </c>
    </row>
    <row r="440">
      <c r="A440" s="6">
        <f>'Raw Data Sales'!A440</f>
        <v>439</v>
      </c>
      <c r="B440" s="8">
        <f>IFERROR(__xludf.DUMMYFUNCTION("""COMPUTED_VALUE"""),44367.0)</f>
        <v>44367</v>
      </c>
      <c r="C440" s="6" t="str">
        <f>IFERROR(__xludf.DUMMYFUNCTION("UNIQUE('Raw Data Sales'!H440:H1438 &amp; "" "" &amp; 'Raw Data Sales'!I440:I1438)"),"Rafaelita Brownfield")</f>
        <v>Rafaelita Brownfield</v>
      </c>
      <c r="D440" s="6" t="str">
        <f>IFERROR(__xludf.DUMMYFUNCTION("""COMPUTED_VALUE"""),"Handcrafted Wooden Coasters")</f>
        <v>Handcrafted Wooden Coasters</v>
      </c>
      <c r="E440" s="6" t="str">
        <f>'Raw Data Sales'!F440</f>
        <v>Food - Canned Goods</v>
      </c>
      <c r="F440" s="6">
        <f>'Raw Data Sales'!M440</f>
        <v>77</v>
      </c>
      <c r="G440" s="6">
        <f>'Raw Data Sales'!N440</f>
        <v>8578.82</v>
      </c>
      <c r="H440" s="6" t="str">
        <f>'Raw Data Sales'!O440</f>
        <v>Credit Card</v>
      </c>
    </row>
    <row r="441">
      <c r="A441" s="6">
        <f>'Raw Data Sales'!A441</f>
        <v>440</v>
      </c>
      <c r="B441" s="8">
        <f>IFERROR(__xludf.DUMMYFUNCTION("""COMPUTED_VALUE"""),43888.0)</f>
        <v>43888</v>
      </c>
      <c r="C441" s="6" t="str">
        <f>IFERROR(__xludf.DUMMYFUNCTION("UNIQUE('Raw Data Sales'!H441:H1439 &amp; "" "" &amp; 'Raw Data Sales'!I441:I1439)"),"Fae Croft")</f>
        <v>Fae Croft</v>
      </c>
      <c r="D441" s="6" t="str">
        <f>IFERROR(__xludf.DUMMYFUNCTION("""COMPUTED_VALUE"""),"Chia Seed Pudding Mix")</f>
        <v>Chia Seed Pudding Mix</v>
      </c>
      <c r="E441" s="6" t="str">
        <f>'Raw Data Sales'!F441</f>
        <v>Apps</v>
      </c>
      <c r="F441" s="6">
        <f>'Raw Data Sales'!M441</f>
        <v>56</v>
      </c>
      <c r="G441" s="6">
        <f>'Raw Data Sales'!N441</f>
        <v>5812.56</v>
      </c>
      <c r="H441" s="6" t="str">
        <f>'Raw Data Sales'!O441</f>
        <v>Cash</v>
      </c>
    </row>
    <row r="442">
      <c r="A442" s="6">
        <f>'Raw Data Sales'!A442</f>
        <v>441</v>
      </c>
      <c r="B442" s="8">
        <f>IFERROR(__xludf.DUMMYFUNCTION("""COMPUTED_VALUE"""),44388.0)</f>
        <v>44388</v>
      </c>
      <c r="C442" s="6" t="str">
        <f>IFERROR(__xludf.DUMMYFUNCTION("UNIQUE('Raw Data Sales'!H442:H1440 &amp; "" "" &amp; 'Raw Data Sales'!I442:I1440)"),"Tobie Martschik")</f>
        <v>Tobie Martschik</v>
      </c>
      <c r="D442" s="6" t="str">
        <f>IFERROR(__xludf.DUMMYFUNCTION("""COMPUTED_VALUE"""),"Coconut Milk Yogurt")</f>
        <v>Coconut Milk Yogurt</v>
      </c>
      <c r="E442" s="6" t="str">
        <f>'Raw Data Sales'!F442</f>
        <v>Fitness</v>
      </c>
      <c r="F442" s="6">
        <f>'Raw Data Sales'!M442</f>
        <v>8</v>
      </c>
      <c r="G442" s="6">
        <f>'Raw Data Sales'!N442</f>
        <v>2874.93</v>
      </c>
      <c r="H442" s="6" t="str">
        <f>'Raw Data Sales'!O442</f>
        <v>Cash</v>
      </c>
    </row>
    <row r="443">
      <c r="A443" s="6">
        <f>'Raw Data Sales'!A443</f>
        <v>442</v>
      </c>
      <c r="B443" s="8">
        <f>IFERROR(__xludf.DUMMYFUNCTION("""COMPUTED_VALUE"""),44048.0)</f>
        <v>44048</v>
      </c>
      <c r="C443" s="6" t="str">
        <f>IFERROR(__xludf.DUMMYFUNCTION("UNIQUE('Raw Data Sales'!H443:H1441 &amp; "" "" &amp; 'Raw Data Sales'!I443:I1441)"),"Marj Smales")</f>
        <v>Marj Smales</v>
      </c>
      <c r="D443" s="6" t="str">
        <f>IFERROR(__xludf.DUMMYFUNCTION("""COMPUTED_VALUE"""),"Mini Fondue Set")</f>
        <v>Mini Fondue Set</v>
      </c>
      <c r="E443" s="6" t="str">
        <f>'Raw Data Sales'!F443</f>
        <v>Pets</v>
      </c>
      <c r="F443" s="6">
        <f>'Raw Data Sales'!M443</f>
        <v>24</v>
      </c>
      <c r="G443" s="6">
        <f>'Raw Data Sales'!N443</f>
        <v>6552.88</v>
      </c>
      <c r="H443" s="6" t="str">
        <f>'Raw Data Sales'!O443</f>
        <v>PayPal</v>
      </c>
    </row>
    <row r="444">
      <c r="A444" s="6">
        <f>'Raw Data Sales'!A444</f>
        <v>443</v>
      </c>
      <c r="B444" s="8">
        <f>IFERROR(__xludf.DUMMYFUNCTION("""COMPUTED_VALUE"""),44560.0)</f>
        <v>44560</v>
      </c>
      <c r="C444" s="6" t="str">
        <f>IFERROR(__xludf.DUMMYFUNCTION("UNIQUE('Raw Data Sales'!H444:H1442 &amp; "" "" &amp; 'Raw Data Sales'!I444:I1442)"),"Bailie Edgin")</f>
        <v>Bailie Edgin</v>
      </c>
      <c r="D444" s="6" t="str">
        <f>IFERROR(__xludf.DUMMYFUNCTION("""COMPUTED_VALUE"""),"Cinnamon Sugar Tortilla Chips")</f>
        <v>Cinnamon Sugar Tortilla Chips</v>
      </c>
      <c r="E444" s="6" t="str">
        <f>'Raw Data Sales'!F444</f>
        <v>Kitchen</v>
      </c>
      <c r="F444" s="6">
        <f>'Raw Data Sales'!M444</f>
        <v>46</v>
      </c>
      <c r="G444" s="6">
        <f>'Raw Data Sales'!N444</f>
        <v>1658.1</v>
      </c>
      <c r="H444" s="6" t="str">
        <f>'Raw Data Sales'!O444</f>
        <v>Cash</v>
      </c>
    </row>
    <row r="445">
      <c r="A445" s="6">
        <f>'Raw Data Sales'!A445</f>
        <v>444</v>
      </c>
      <c r="B445" s="8">
        <f>IFERROR(__xludf.DUMMYFUNCTION("""COMPUTED_VALUE"""),44498.0)</f>
        <v>44498</v>
      </c>
      <c r="C445" s="6" t="str">
        <f>IFERROR(__xludf.DUMMYFUNCTION("UNIQUE('Raw Data Sales'!H445:H1443 &amp; "" "" &amp; 'Raw Data Sales'!I445:I1443)"),"Hope Togwell")</f>
        <v>Hope Togwell</v>
      </c>
      <c r="D445" s="6" t="str">
        <f>IFERROR(__xludf.DUMMYFUNCTION("""COMPUTED_VALUE"""),"Honey Ginger Tea")</f>
        <v>Honey Ginger Tea</v>
      </c>
      <c r="E445" s="6" t="str">
        <f>'Raw Data Sales'!F445</f>
        <v>Food - Meat</v>
      </c>
      <c r="F445" s="6">
        <f>'Raw Data Sales'!M445</f>
        <v>52</v>
      </c>
      <c r="G445" s="6">
        <f>'Raw Data Sales'!N445</f>
        <v>7896.73</v>
      </c>
      <c r="H445" s="6" t="str">
        <f>'Raw Data Sales'!O445</f>
        <v>PayPal</v>
      </c>
    </row>
    <row r="446">
      <c r="A446" s="6">
        <f>'Raw Data Sales'!A446</f>
        <v>445</v>
      </c>
      <c r="B446" s="8">
        <f>IFERROR(__xludf.DUMMYFUNCTION("""COMPUTED_VALUE"""),44534.0)</f>
        <v>44534</v>
      </c>
      <c r="C446" s="6" t="str">
        <f>IFERROR(__xludf.DUMMYFUNCTION("UNIQUE('Raw Data Sales'!H446:H1444 &amp; "" "" &amp; 'Raw Data Sales'!I446:I1444)"),"Tommy Haith")</f>
        <v>Tommy Haith</v>
      </c>
      <c r="D446" s="6" t="str">
        <f>IFERROR(__xludf.DUMMYFUNCTION("""COMPUTED_VALUE"""),"Garlic Parmesan Roasted Potatoes")</f>
        <v>Garlic Parmesan Roasted Potatoes</v>
      </c>
      <c r="E446" s="6" t="str">
        <f>'Raw Data Sales'!F446</f>
        <v>Electronics</v>
      </c>
      <c r="F446" s="6">
        <f>'Raw Data Sales'!M446</f>
        <v>83</v>
      </c>
      <c r="G446" s="6">
        <f>'Raw Data Sales'!N446</f>
        <v>4940.81</v>
      </c>
      <c r="H446" s="6" t="str">
        <f>'Raw Data Sales'!O446</f>
        <v>Cash</v>
      </c>
    </row>
    <row r="447">
      <c r="A447" s="6">
        <f>'Raw Data Sales'!A447</f>
        <v>446</v>
      </c>
      <c r="B447" s="8">
        <f>IFERROR(__xludf.DUMMYFUNCTION("""COMPUTED_VALUE"""),44262.0)</f>
        <v>44262</v>
      </c>
      <c r="C447" s="6" t="str">
        <f>IFERROR(__xludf.DUMMYFUNCTION("UNIQUE('Raw Data Sales'!H447:H1445 &amp; "" "" &amp; 'Raw Data Sales'!I447:I1445)"),"Erwin Dowtry")</f>
        <v>Erwin Dowtry</v>
      </c>
      <c r="D447" s="6" t="str">
        <f>IFERROR(__xludf.DUMMYFUNCTION("""COMPUTED_VALUE"""),"Blueberry Chia Jam")</f>
        <v>Blueberry Chia Jam</v>
      </c>
      <c r="E447" s="6" t="str">
        <f>'Raw Data Sales'!F447</f>
        <v>Food - Bakery</v>
      </c>
      <c r="F447" s="6">
        <f>'Raw Data Sales'!M447</f>
        <v>18</v>
      </c>
      <c r="G447" s="6">
        <f>'Raw Data Sales'!N447</f>
        <v>4684.6</v>
      </c>
      <c r="H447" s="6" t="str">
        <f>'Raw Data Sales'!O447</f>
        <v>Credit Card</v>
      </c>
    </row>
    <row r="448">
      <c r="A448" s="6">
        <f>'Raw Data Sales'!A448</f>
        <v>447</v>
      </c>
      <c r="B448" s="8">
        <f>IFERROR(__xludf.DUMMYFUNCTION("""COMPUTED_VALUE"""),44015.0)</f>
        <v>44015</v>
      </c>
      <c r="C448" s="6" t="str">
        <f>IFERROR(__xludf.DUMMYFUNCTION("UNIQUE('Raw Data Sales'!H448:H1446 &amp; "" "" &amp; 'Raw Data Sales'!I448:I1446)"),"Salomi Stammers")</f>
        <v>Salomi Stammers</v>
      </c>
      <c r="D448" s="6" t="str">
        <f>IFERROR(__xludf.DUMMYFUNCTION("""COMPUTED_VALUE"""),"Multi-Port USB Hub")</f>
        <v>Multi-Port USB Hub</v>
      </c>
      <c r="E448" s="6" t="str">
        <f>'Raw Data Sales'!F448</f>
        <v>Food - Condiments</v>
      </c>
      <c r="F448" s="6">
        <f>'Raw Data Sales'!M448</f>
        <v>85</v>
      </c>
      <c r="G448" s="6">
        <f>'Raw Data Sales'!N448</f>
        <v>5596.89</v>
      </c>
      <c r="H448" s="6" t="str">
        <f>'Raw Data Sales'!O448</f>
        <v>PayPal</v>
      </c>
    </row>
    <row r="449">
      <c r="A449" s="6">
        <f>'Raw Data Sales'!A449</f>
        <v>448</v>
      </c>
      <c r="B449" s="8">
        <f>IFERROR(__xludf.DUMMYFUNCTION("""COMPUTED_VALUE"""),43924.0)</f>
        <v>43924</v>
      </c>
      <c r="C449" s="6" t="str">
        <f>IFERROR(__xludf.DUMMYFUNCTION("UNIQUE('Raw Data Sales'!H449:H1447 &amp; "" "" &amp; 'Raw Data Sales'!I449:I1447)"),"Lynda Starcks")</f>
        <v>Lynda Starcks</v>
      </c>
      <c r="D449" s="6" t="str">
        <f>IFERROR(__xludf.DUMMYFUNCTION("""COMPUTED_VALUE"""),"Mixed Berry Smoothie Pack")</f>
        <v>Mixed Berry Smoothie Pack</v>
      </c>
      <c r="E449" s="6" t="str">
        <f>'Raw Data Sales'!F449</f>
        <v>Food - Prepared Foods</v>
      </c>
      <c r="F449" s="6">
        <f>'Raw Data Sales'!M449</f>
        <v>53</v>
      </c>
      <c r="G449" s="6">
        <f>'Raw Data Sales'!N449</f>
        <v>5025.03</v>
      </c>
      <c r="H449" s="6" t="str">
        <f>'Raw Data Sales'!O449</f>
        <v>PayPal</v>
      </c>
    </row>
    <row r="450">
      <c r="A450" s="6">
        <f>'Raw Data Sales'!A450</f>
        <v>449</v>
      </c>
      <c r="B450" s="8">
        <f>IFERROR(__xludf.DUMMYFUNCTION("""COMPUTED_VALUE"""),44067.0)</f>
        <v>44067</v>
      </c>
      <c r="C450" s="6" t="str">
        <f>IFERROR(__xludf.DUMMYFUNCTION("UNIQUE('Raw Data Sales'!H450:H1448 &amp; "" "" &amp; 'Raw Data Sales'!I450:I1448)"),"Ailis Ibbott")</f>
        <v>Ailis Ibbott</v>
      </c>
      <c r="D450" s="6" t="str">
        <f>IFERROR(__xludf.DUMMYFUNCTION("""COMPUTED_VALUE"""),"Veggie Chips Variety Pack")</f>
        <v>Veggie Chips Variety Pack</v>
      </c>
      <c r="E450" s="6" t="str">
        <f>'Raw Data Sales'!F450</f>
        <v>Clothing - Footwear</v>
      </c>
      <c r="F450" s="6">
        <f>'Raw Data Sales'!M450</f>
        <v>84</v>
      </c>
      <c r="G450" s="6">
        <f>'Raw Data Sales'!N450</f>
        <v>641.61</v>
      </c>
      <c r="H450" s="6" t="str">
        <f>'Raw Data Sales'!O450</f>
        <v>Credit Card</v>
      </c>
    </row>
    <row r="451">
      <c r="A451" s="6">
        <f>'Raw Data Sales'!A451</f>
        <v>450</v>
      </c>
      <c r="B451" s="8">
        <f>IFERROR(__xludf.DUMMYFUNCTION("""COMPUTED_VALUE"""),43962.0)</f>
        <v>43962</v>
      </c>
      <c r="C451" s="6" t="str">
        <f>IFERROR(__xludf.DUMMYFUNCTION("UNIQUE('Raw Data Sales'!H451:H1449 &amp; "" "" &amp; 'Raw Data Sales'!I451:I1449)"),"Abbye Labbati")</f>
        <v>Abbye Labbati</v>
      </c>
      <c r="D451" s="6" t="str">
        <f>IFERROR(__xludf.DUMMYFUNCTION("""COMPUTED_VALUE"""),"DIY Lip Balm Making Kit")</f>
        <v>DIY Lip Balm Making Kit</v>
      </c>
      <c r="E451" s="6" t="str">
        <f>'Raw Data Sales'!F451</f>
        <v>Kitchen</v>
      </c>
      <c r="F451" s="6">
        <f>'Raw Data Sales'!M451</f>
        <v>5</v>
      </c>
      <c r="G451" s="6">
        <f>'Raw Data Sales'!N451</f>
        <v>3002.4</v>
      </c>
      <c r="H451" s="6" t="str">
        <f>'Raw Data Sales'!O451</f>
        <v>PayPal</v>
      </c>
    </row>
    <row r="452">
      <c r="A452" s="6">
        <f>'Raw Data Sales'!A452</f>
        <v>451</v>
      </c>
      <c r="B452" s="8">
        <f>IFERROR(__xludf.DUMMYFUNCTION("""COMPUTED_VALUE"""),43852.0)</f>
        <v>43852</v>
      </c>
      <c r="C452" s="6" t="str">
        <f>IFERROR(__xludf.DUMMYFUNCTION("UNIQUE('Raw Data Sales'!H452:H1450 &amp; "" "" &amp; 'Raw Data Sales'!I452:I1450)"),"Natividad Ible")</f>
        <v>Natividad Ible</v>
      </c>
      <c r="D452" s="6" t="str">
        <f>IFERROR(__xludf.DUMMYFUNCTION("""COMPUTED_VALUE"""),"Handheld Shower Head")</f>
        <v>Handheld Shower Head</v>
      </c>
      <c r="E452" s="6" t="str">
        <f>'Raw Data Sales'!F452</f>
        <v>Audio</v>
      </c>
      <c r="F452" s="6">
        <f>'Raw Data Sales'!M452</f>
        <v>57</v>
      </c>
      <c r="G452" s="6">
        <f>'Raw Data Sales'!N452</f>
        <v>5911.63</v>
      </c>
      <c r="H452" s="6" t="str">
        <f>'Raw Data Sales'!O452</f>
        <v>PayPal</v>
      </c>
    </row>
    <row r="453">
      <c r="A453" s="6">
        <f>'Raw Data Sales'!A453</f>
        <v>452</v>
      </c>
      <c r="B453" s="8">
        <f>IFERROR(__xludf.DUMMYFUNCTION("""COMPUTED_VALUE"""),43978.0)</f>
        <v>43978</v>
      </c>
      <c r="C453" s="6" t="str">
        <f>IFERROR(__xludf.DUMMYFUNCTION("UNIQUE('Raw Data Sales'!H453:H1451 &amp; "" "" &amp; 'Raw Data Sales'!I453:I1451)"),"Natal Loding")</f>
        <v>Natal Loding</v>
      </c>
      <c r="D453" s="6" t="str">
        <f>IFERROR(__xludf.DUMMYFUNCTION("""COMPUTED_VALUE"""),"Organic Lentil Soup")</f>
        <v>Organic Lentil Soup</v>
      </c>
      <c r="E453" s="6" t="str">
        <f>'Raw Data Sales'!F453</f>
        <v>Automotive</v>
      </c>
      <c r="F453" s="6">
        <f>'Raw Data Sales'!M453</f>
        <v>68</v>
      </c>
      <c r="G453" s="6">
        <f>'Raw Data Sales'!N453</f>
        <v>4424.3</v>
      </c>
      <c r="H453" s="6" t="str">
        <f>'Raw Data Sales'!O453</f>
        <v>Cash</v>
      </c>
    </row>
    <row r="454">
      <c r="A454" s="6">
        <f>'Raw Data Sales'!A454</f>
        <v>453</v>
      </c>
      <c r="B454" s="8">
        <f>IFERROR(__xludf.DUMMYFUNCTION("""COMPUTED_VALUE"""),43874.0)</f>
        <v>43874</v>
      </c>
      <c r="C454" s="6" t="str">
        <f>IFERROR(__xludf.DUMMYFUNCTION("UNIQUE('Raw Data Sales'!H454:H1452 &amp; "" "" &amp; 'Raw Data Sales'!I454:I1452)"),"Ephrayim Sapena")</f>
        <v>Ephrayim Sapena</v>
      </c>
      <c r="D454" s="6" t="str">
        <f>IFERROR(__xludf.DUMMYFUNCTION("""COMPUTED_VALUE"""),"Cocoa Powder")</f>
        <v>Cocoa Powder</v>
      </c>
      <c r="E454" s="6" t="str">
        <f>'Raw Data Sales'!F454</f>
        <v>Food - Salads</v>
      </c>
      <c r="F454" s="6">
        <f>'Raw Data Sales'!M454</f>
        <v>80</v>
      </c>
      <c r="G454" s="6">
        <f>'Raw Data Sales'!N454</f>
        <v>9582.89</v>
      </c>
      <c r="H454" s="6" t="str">
        <f>'Raw Data Sales'!O454</f>
        <v>Credit Card</v>
      </c>
    </row>
    <row r="455">
      <c r="A455" s="6">
        <f>'Raw Data Sales'!A455</f>
        <v>454</v>
      </c>
      <c r="B455" s="8">
        <f>IFERROR(__xludf.DUMMYFUNCTION("""COMPUTED_VALUE"""),44319.0)</f>
        <v>44319</v>
      </c>
      <c r="C455" s="6" t="str">
        <f>IFERROR(__xludf.DUMMYFUNCTION("UNIQUE('Raw Data Sales'!H455:H1453 &amp; "" "" &amp; 'Raw Data Sales'!I455:I1453)"),"Madison Gazzard")</f>
        <v>Madison Gazzard</v>
      </c>
      <c r="D455" s="6" t="str">
        <f>IFERROR(__xludf.DUMMYFUNCTION("""COMPUTED_VALUE"""),"Pet Food Storage Container")</f>
        <v>Pet Food Storage Container</v>
      </c>
      <c r="E455" s="6" t="str">
        <f>'Raw Data Sales'!F455</f>
        <v>Pets</v>
      </c>
      <c r="F455" s="6">
        <f>'Raw Data Sales'!M455</f>
        <v>91</v>
      </c>
      <c r="G455" s="6">
        <f>'Raw Data Sales'!N455</f>
        <v>4341.91</v>
      </c>
      <c r="H455" s="6" t="str">
        <f>'Raw Data Sales'!O455</f>
        <v>PayPal</v>
      </c>
    </row>
    <row r="456">
      <c r="A456" s="6">
        <f>'Raw Data Sales'!A456</f>
        <v>455</v>
      </c>
      <c r="B456" s="8">
        <f>IFERROR(__xludf.DUMMYFUNCTION("""COMPUTED_VALUE"""),44475.0)</f>
        <v>44475</v>
      </c>
      <c r="C456" s="6" t="str">
        <f>IFERROR(__xludf.DUMMYFUNCTION("UNIQUE('Raw Data Sales'!H456:H1454 &amp; "" "" &amp; 'Raw Data Sales'!I456:I1454)"),"Belvia Dussy")</f>
        <v>Belvia Dussy</v>
      </c>
      <c r="D456" s="6" t="str">
        <f>IFERROR(__xludf.DUMMYFUNCTION("""COMPUTED_VALUE"""),"Sweet Cherry Tomatoes")</f>
        <v>Sweet Cherry Tomatoes</v>
      </c>
      <c r="E456" s="6" t="str">
        <f>'Raw Data Sales'!F456</f>
        <v>Food - Confectionery</v>
      </c>
      <c r="F456" s="6">
        <f>'Raw Data Sales'!M456</f>
        <v>93</v>
      </c>
      <c r="G456" s="6">
        <f>'Raw Data Sales'!N456</f>
        <v>1368.94</v>
      </c>
      <c r="H456" s="6" t="str">
        <f>'Raw Data Sales'!O456</f>
        <v>Credit Card</v>
      </c>
    </row>
    <row r="457">
      <c r="A457" s="6">
        <f>'Raw Data Sales'!A457</f>
        <v>456</v>
      </c>
      <c r="B457" s="8">
        <f>IFERROR(__xludf.DUMMYFUNCTION("""COMPUTED_VALUE"""),44334.0)</f>
        <v>44334</v>
      </c>
      <c r="C457" s="6" t="str">
        <f>IFERROR(__xludf.DUMMYFUNCTION("UNIQUE('Raw Data Sales'!H457:H1455 &amp; "" "" &amp; 'Raw Data Sales'!I457:I1455)"),"Tonye Roydon")</f>
        <v>Tonye Roydon</v>
      </c>
      <c r="D457" s="6" t="str">
        <f>IFERROR(__xludf.DUMMYFUNCTION("""COMPUTED_VALUE"""),"Cranberry Pecan Granola")</f>
        <v>Cranberry Pecan Granola</v>
      </c>
      <c r="E457" s="6" t="str">
        <f>'Raw Data Sales'!F457</f>
        <v>Food - Condiments</v>
      </c>
      <c r="F457" s="6">
        <f>'Raw Data Sales'!M457</f>
        <v>42</v>
      </c>
      <c r="G457" s="6">
        <f>'Raw Data Sales'!N457</f>
        <v>5096.17</v>
      </c>
      <c r="H457" s="6" t="str">
        <f>'Raw Data Sales'!O457</f>
        <v>Cash</v>
      </c>
    </row>
    <row r="458">
      <c r="A458" s="6">
        <f>'Raw Data Sales'!A458</f>
        <v>457</v>
      </c>
      <c r="B458" s="8">
        <f>IFERROR(__xludf.DUMMYFUNCTION("""COMPUTED_VALUE"""),44464.0)</f>
        <v>44464</v>
      </c>
      <c r="C458" s="6" t="str">
        <f>IFERROR(__xludf.DUMMYFUNCTION("UNIQUE('Raw Data Sales'!H458:H1456 &amp; "" "" &amp; 'Raw Data Sales'!I458:I1456)"),"Twila Purcell")</f>
        <v>Twila Purcell</v>
      </c>
      <c r="D458" s="6" t="str">
        <f>IFERROR(__xludf.DUMMYFUNCTION("""COMPUTED_VALUE"""),"Instant Read Meat Thermometer")</f>
        <v>Instant Read Meat Thermometer</v>
      </c>
      <c r="E458" s="6" t="str">
        <f>'Raw Data Sales'!F458</f>
        <v>Fitness</v>
      </c>
      <c r="F458" s="6">
        <f>'Raw Data Sales'!M458</f>
        <v>27</v>
      </c>
      <c r="G458" s="6">
        <f>'Raw Data Sales'!N458</f>
        <v>5861.37</v>
      </c>
      <c r="H458" s="6" t="str">
        <f>'Raw Data Sales'!O458</f>
        <v>Credit Card</v>
      </c>
    </row>
    <row r="459">
      <c r="A459" s="6">
        <f>'Raw Data Sales'!A459</f>
        <v>458</v>
      </c>
      <c r="B459" s="8">
        <f>IFERROR(__xludf.DUMMYFUNCTION("""COMPUTED_VALUE"""),44003.0)</f>
        <v>44003</v>
      </c>
      <c r="C459" s="6" t="str">
        <f>IFERROR(__xludf.DUMMYFUNCTION("UNIQUE('Raw Data Sales'!H459:H1457 &amp; "" "" &amp; 'Raw Data Sales'!I459:I1457)"),"Farlee McGeechan")</f>
        <v>Farlee McGeechan</v>
      </c>
      <c r="D459" s="6" t="str">
        <f>IFERROR(__xludf.DUMMYFUNCTION("""COMPUTED_VALUE"""),"Adjustable Window Blind")</f>
        <v>Adjustable Window Blind</v>
      </c>
      <c r="E459" s="6" t="str">
        <f>'Raw Data Sales'!F459</f>
        <v>Food - Snacks</v>
      </c>
      <c r="F459" s="6">
        <f>'Raw Data Sales'!M459</f>
        <v>77</v>
      </c>
      <c r="G459" s="6">
        <f>'Raw Data Sales'!N459</f>
        <v>8582.82</v>
      </c>
      <c r="H459" s="6" t="str">
        <f>'Raw Data Sales'!O459</f>
        <v>Credit Card</v>
      </c>
    </row>
    <row r="460">
      <c r="A460" s="6">
        <f>'Raw Data Sales'!A460</f>
        <v>459</v>
      </c>
      <c r="B460" s="8">
        <f>IFERROR(__xludf.DUMMYFUNCTION("""COMPUTED_VALUE"""),43992.0)</f>
        <v>43992</v>
      </c>
      <c r="C460" s="6" t="str">
        <f>IFERROR(__xludf.DUMMYFUNCTION("UNIQUE('Raw Data Sales'!H460:H1458 &amp; "" "" &amp; 'Raw Data Sales'!I460:I1458)"),"Rowland Rennie")</f>
        <v>Rowland Rennie</v>
      </c>
      <c r="D460" s="6" t="str">
        <f>IFERROR(__xludf.DUMMYFUNCTION("""COMPUTED_VALUE"""),"Garlic Breadsticks")</f>
        <v>Garlic Breadsticks</v>
      </c>
      <c r="E460" s="6" t="str">
        <f>'Raw Data Sales'!F460</f>
        <v>Health</v>
      </c>
      <c r="F460" s="6">
        <f>'Raw Data Sales'!M460</f>
        <v>49</v>
      </c>
      <c r="G460" s="6">
        <f>'Raw Data Sales'!N460</f>
        <v>2382.15</v>
      </c>
      <c r="H460" s="6" t="str">
        <f>'Raw Data Sales'!O460</f>
        <v>Credit Card</v>
      </c>
    </row>
    <row r="461">
      <c r="A461" s="6">
        <f>'Raw Data Sales'!A461</f>
        <v>460</v>
      </c>
      <c r="B461" s="8">
        <f>IFERROR(__xludf.DUMMYFUNCTION("""COMPUTED_VALUE"""),44483.0)</f>
        <v>44483</v>
      </c>
      <c r="C461" s="6" t="str">
        <f>IFERROR(__xludf.DUMMYFUNCTION("UNIQUE('Raw Data Sales'!H461:H1459 &amp; "" "" &amp; 'Raw Data Sales'!I461:I1459)"),"Davon Beards")</f>
        <v>Davon Beards</v>
      </c>
      <c r="D461" s="6" t="str">
        <f>IFERROR(__xludf.DUMMYFUNCTION("""COMPUTED_VALUE"""),"Maple Cinnamon Granola")</f>
        <v>Maple Cinnamon Granola</v>
      </c>
      <c r="E461" s="6" t="str">
        <f>'Raw Data Sales'!F461</f>
        <v>Food - Frozen Foods</v>
      </c>
      <c r="F461" s="6">
        <f>'Raw Data Sales'!M461</f>
        <v>37</v>
      </c>
      <c r="G461" s="6">
        <f>'Raw Data Sales'!N461</f>
        <v>1714.33</v>
      </c>
      <c r="H461" s="6" t="str">
        <f>'Raw Data Sales'!O461</f>
        <v>PayPal</v>
      </c>
    </row>
    <row r="462">
      <c r="A462" s="6">
        <f>'Raw Data Sales'!A462</f>
        <v>461</v>
      </c>
      <c r="B462" s="8">
        <f>IFERROR(__xludf.DUMMYFUNCTION("""COMPUTED_VALUE"""),44485.0)</f>
        <v>44485</v>
      </c>
      <c r="C462" s="6" t="str">
        <f>IFERROR(__xludf.DUMMYFUNCTION("UNIQUE('Raw Data Sales'!H462:H1460 &amp; "" "" &amp; 'Raw Data Sales'!I462:I1460)"),"Esme Petrovsky")</f>
        <v>Esme Petrovsky</v>
      </c>
      <c r="D462" s="6" t="str">
        <f>IFERROR(__xludf.DUMMYFUNCTION("""COMPUTED_VALUE"""),"Almond Joy Protein Bars")</f>
        <v>Almond Joy Protein Bars</v>
      </c>
      <c r="E462" s="6" t="str">
        <f>'Raw Data Sales'!F462</f>
        <v>Home Appliances</v>
      </c>
      <c r="F462" s="6">
        <f>'Raw Data Sales'!M462</f>
        <v>94</v>
      </c>
      <c r="G462" s="6">
        <f>'Raw Data Sales'!N462</f>
        <v>8674.65</v>
      </c>
      <c r="H462" s="6" t="str">
        <f>'Raw Data Sales'!O462</f>
        <v>Credit Card</v>
      </c>
    </row>
    <row r="463">
      <c r="A463" s="6">
        <f>'Raw Data Sales'!A463</f>
        <v>462</v>
      </c>
      <c r="B463" s="8">
        <f>IFERROR(__xludf.DUMMYFUNCTION("""COMPUTED_VALUE"""),44301.0)</f>
        <v>44301</v>
      </c>
      <c r="C463" s="6" t="str">
        <f>IFERROR(__xludf.DUMMYFUNCTION("UNIQUE('Raw Data Sales'!H463:H1461 &amp; "" "" &amp; 'Raw Data Sales'!I463:I1461)"),"Bernard Rolinson")</f>
        <v>Bernard Rolinson</v>
      </c>
      <c r="D463" s="6" t="str">
        <f>IFERROR(__xludf.DUMMYFUNCTION("""COMPUTED_VALUE"""),"Yoga Wheel")</f>
        <v>Yoga Wheel</v>
      </c>
      <c r="E463" s="6" t="str">
        <f>'Raw Data Sales'!F463</f>
        <v>Food - Spices</v>
      </c>
      <c r="F463" s="6">
        <f>'Raw Data Sales'!M463</f>
        <v>67</v>
      </c>
      <c r="G463" s="6">
        <f>'Raw Data Sales'!N463</f>
        <v>8069.09</v>
      </c>
      <c r="H463" s="6" t="str">
        <f>'Raw Data Sales'!O463</f>
        <v>Credit Card</v>
      </c>
    </row>
    <row r="464">
      <c r="A464" s="6">
        <f>'Raw Data Sales'!A464</f>
        <v>463</v>
      </c>
      <c r="B464" s="8">
        <f>IFERROR(__xludf.DUMMYFUNCTION("""COMPUTED_VALUE"""),44489.0)</f>
        <v>44489</v>
      </c>
      <c r="C464" s="6" t="str">
        <f>IFERROR(__xludf.DUMMYFUNCTION("UNIQUE('Raw Data Sales'!H464:H1462 &amp; "" "" &amp; 'Raw Data Sales'!I464:I1462)"),"Fifi Mehew")</f>
        <v>Fifi Mehew</v>
      </c>
      <c r="D464" s="6" t="str">
        <f>IFERROR(__xludf.DUMMYFUNCTION("""COMPUTED_VALUE"""),"Cheesy Cauliflower Bake")</f>
        <v>Cheesy Cauliflower Bake</v>
      </c>
      <c r="E464" s="6" t="str">
        <f>'Raw Data Sales'!F464</f>
        <v>Food - Condiments</v>
      </c>
      <c r="F464" s="6">
        <f>'Raw Data Sales'!M464</f>
        <v>36</v>
      </c>
      <c r="G464" s="6">
        <f>'Raw Data Sales'!N464</f>
        <v>9444.99</v>
      </c>
      <c r="H464" s="6" t="str">
        <f>'Raw Data Sales'!O464</f>
        <v>Credit Card</v>
      </c>
    </row>
    <row r="465">
      <c r="A465" s="6">
        <f>'Raw Data Sales'!A465</f>
        <v>464</v>
      </c>
      <c r="B465" s="8">
        <f>IFERROR(__xludf.DUMMYFUNCTION("""COMPUTED_VALUE"""),44040.0)</f>
        <v>44040</v>
      </c>
      <c r="C465" s="6" t="str">
        <f>IFERROR(__xludf.DUMMYFUNCTION("UNIQUE('Raw Data Sales'!H465:H1463 &amp; "" "" &amp; 'Raw Data Sales'!I465:I1463)"),"Dickie MacCoveney")</f>
        <v>Dickie MacCoveney</v>
      </c>
      <c r="D465" s="6" t="str">
        <f>IFERROR(__xludf.DUMMYFUNCTION("""COMPUTED_VALUE"""),"Noise-Canceling Earbuds")</f>
        <v>Noise-Canceling Earbuds</v>
      </c>
      <c r="E465" s="6" t="str">
        <f>'Raw Data Sales'!F465</f>
        <v>Home</v>
      </c>
      <c r="F465" s="6">
        <f>'Raw Data Sales'!M465</f>
        <v>95</v>
      </c>
      <c r="G465" s="6">
        <f>'Raw Data Sales'!N465</f>
        <v>3756.99</v>
      </c>
      <c r="H465" s="6" t="str">
        <f>'Raw Data Sales'!O465</f>
        <v>PayPal</v>
      </c>
    </row>
    <row r="466">
      <c r="A466" s="6">
        <f>'Raw Data Sales'!A466</f>
        <v>465</v>
      </c>
      <c r="B466" s="8">
        <f>IFERROR(__xludf.DUMMYFUNCTION("""COMPUTED_VALUE"""),43880.0)</f>
        <v>43880</v>
      </c>
      <c r="C466" s="6" t="str">
        <f>IFERROR(__xludf.DUMMYFUNCTION("UNIQUE('Raw Data Sales'!H466:H1464 &amp; "" "" &amp; 'Raw Data Sales'!I466:I1464)"),"Gabriel Siaspinski")</f>
        <v>Gabriel Siaspinski</v>
      </c>
      <c r="D466" s="6" t="str">
        <f>IFERROR(__xludf.DUMMYFUNCTION("""COMPUTED_VALUE"""),"Miso Dressing")</f>
        <v>Miso Dressing</v>
      </c>
      <c r="E466" s="6" t="str">
        <f>'Raw Data Sales'!F466</f>
        <v>Food - Beverages</v>
      </c>
      <c r="F466" s="6">
        <f>'Raw Data Sales'!M466</f>
        <v>53</v>
      </c>
      <c r="G466" s="6">
        <f>'Raw Data Sales'!N466</f>
        <v>2300.08</v>
      </c>
      <c r="H466" s="6" t="str">
        <f>'Raw Data Sales'!O466</f>
        <v>PayPal</v>
      </c>
    </row>
    <row r="467">
      <c r="A467" s="6">
        <f>'Raw Data Sales'!A467</f>
        <v>466</v>
      </c>
      <c r="B467" s="8">
        <f>IFERROR(__xludf.DUMMYFUNCTION("""COMPUTED_VALUE"""),44369.0)</f>
        <v>44369</v>
      </c>
      <c r="C467" s="6" t="str">
        <f>IFERROR(__xludf.DUMMYFUNCTION("UNIQUE('Raw Data Sales'!H467:H1465 &amp; "" "" &amp; 'Raw Data Sales'!I467:I1465)"),"Harald Rotham")</f>
        <v>Harald Rotham</v>
      </c>
      <c r="D467" s="6" t="str">
        <f>IFERROR(__xludf.DUMMYFUNCTION("""COMPUTED_VALUE"""),"Stainless Steel Cutlery Set")</f>
        <v>Stainless Steel Cutlery Set</v>
      </c>
      <c r="E467" s="6" t="str">
        <f>'Raw Data Sales'!F467</f>
        <v>Books</v>
      </c>
      <c r="F467" s="6">
        <f>'Raw Data Sales'!M467</f>
        <v>19</v>
      </c>
      <c r="G467" s="6">
        <f>'Raw Data Sales'!N467</f>
        <v>3262.65</v>
      </c>
      <c r="H467" s="6" t="str">
        <f>'Raw Data Sales'!O467</f>
        <v>Credit Card</v>
      </c>
    </row>
    <row r="468">
      <c r="A468" s="6">
        <f>'Raw Data Sales'!A468</f>
        <v>467</v>
      </c>
      <c r="B468" s="8">
        <f>IFERROR(__xludf.DUMMYFUNCTION("""COMPUTED_VALUE"""),44289.0)</f>
        <v>44289</v>
      </c>
      <c r="C468" s="6" t="str">
        <f>IFERROR(__xludf.DUMMYFUNCTION("UNIQUE('Raw Data Sales'!H468:H1466 &amp; "" "" &amp; 'Raw Data Sales'!I468:I1466)"),"Shepherd Vampouille")</f>
        <v>Shepherd Vampouille</v>
      </c>
      <c r="D468" s="6" t="str">
        <f>IFERROR(__xludf.DUMMYFUNCTION("""COMPUTED_VALUE"""),"Satin Slip Dress")</f>
        <v>Satin Slip Dress</v>
      </c>
      <c r="E468" s="6" t="str">
        <f>'Raw Data Sales'!F468</f>
        <v>Outdoor</v>
      </c>
      <c r="F468" s="6">
        <f>'Raw Data Sales'!M468</f>
        <v>65</v>
      </c>
      <c r="G468" s="6">
        <f>'Raw Data Sales'!N468</f>
        <v>5874.4</v>
      </c>
      <c r="H468" s="6" t="str">
        <f>'Raw Data Sales'!O468</f>
        <v>Credit Card</v>
      </c>
    </row>
    <row r="469">
      <c r="A469" s="6">
        <f>'Raw Data Sales'!A469</f>
        <v>468</v>
      </c>
      <c r="B469" s="8">
        <f>IFERROR(__xludf.DUMMYFUNCTION("""COMPUTED_VALUE"""),44344.0)</f>
        <v>44344</v>
      </c>
      <c r="C469" s="6" t="str">
        <f>IFERROR(__xludf.DUMMYFUNCTION("UNIQUE('Raw Data Sales'!H469:H1467 &amp; "" "" &amp; 'Raw Data Sales'!I469:I1467)"),"Daune Tassel")</f>
        <v>Daune Tassel</v>
      </c>
      <c r="D469" s="6" t="str">
        <f>IFERROR(__xludf.DUMMYFUNCTION("""COMPUTED_VALUE"""),"Bock Beer Mustard")</f>
        <v>Bock Beer Mustard</v>
      </c>
      <c r="E469" s="6" t="str">
        <f>'Raw Data Sales'!F469</f>
        <v>Bathroom</v>
      </c>
      <c r="F469" s="6">
        <f>'Raw Data Sales'!M469</f>
        <v>86</v>
      </c>
      <c r="G469" s="6">
        <f>'Raw Data Sales'!N469</f>
        <v>7092.27</v>
      </c>
      <c r="H469" s="6" t="str">
        <f>'Raw Data Sales'!O469</f>
        <v>Cash</v>
      </c>
    </row>
    <row r="470">
      <c r="A470" s="6">
        <f>'Raw Data Sales'!A470</f>
        <v>469</v>
      </c>
      <c r="B470" s="8">
        <f>IFERROR(__xludf.DUMMYFUNCTION("""COMPUTED_VALUE"""),44453.0)</f>
        <v>44453</v>
      </c>
      <c r="C470" s="6" t="str">
        <f>IFERROR(__xludf.DUMMYFUNCTION("UNIQUE('Raw Data Sales'!H470:H1468 &amp; "" "" &amp; 'Raw Data Sales'!I470:I1468)"),"Sly Di Pietro")</f>
        <v>Sly Di Pietro</v>
      </c>
      <c r="D470" s="6" t="str">
        <f>IFERROR(__xludf.DUMMYFUNCTION("""COMPUTED_VALUE"""),"Mango Chili Salsa")</f>
        <v>Mango Chili Salsa</v>
      </c>
      <c r="E470" s="6" t="str">
        <f>'Raw Data Sales'!F470</f>
        <v>Toys</v>
      </c>
      <c r="F470" s="6">
        <f>'Raw Data Sales'!M470</f>
        <v>18</v>
      </c>
      <c r="G470" s="6">
        <f>'Raw Data Sales'!N470</f>
        <v>7531.36</v>
      </c>
      <c r="H470" s="6" t="str">
        <f>'Raw Data Sales'!O470</f>
        <v>PayPal</v>
      </c>
    </row>
    <row r="471">
      <c r="A471" s="6">
        <f>'Raw Data Sales'!A471</f>
        <v>470</v>
      </c>
      <c r="B471" s="8">
        <f>IFERROR(__xludf.DUMMYFUNCTION("""COMPUTED_VALUE"""),44503.0)</f>
        <v>44503</v>
      </c>
      <c r="C471" s="6" t="str">
        <f>IFERROR(__xludf.DUMMYFUNCTION("UNIQUE('Raw Data Sales'!H471:H1469 &amp; "" "" &amp; 'Raw Data Sales'!I471:I1469)"),"Wendall Twinbrow")</f>
        <v>Wendall Twinbrow</v>
      </c>
      <c r="D471" s="6" t="str">
        <f>IFERROR(__xludf.DUMMYFUNCTION("""COMPUTED_VALUE"""),"Mechanical Keyboard")</f>
        <v>Mechanical Keyboard</v>
      </c>
      <c r="E471" s="6" t="str">
        <f>'Raw Data Sales'!F471</f>
        <v>Clothing - Loungewear</v>
      </c>
      <c r="F471" s="6">
        <f>'Raw Data Sales'!M471</f>
        <v>37</v>
      </c>
      <c r="G471" s="6">
        <f>'Raw Data Sales'!N471</f>
        <v>6037.8</v>
      </c>
      <c r="H471" s="6" t="str">
        <f>'Raw Data Sales'!O471</f>
        <v>PayPal</v>
      </c>
    </row>
    <row r="472">
      <c r="A472" s="6">
        <f>'Raw Data Sales'!A472</f>
        <v>471</v>
      </c>
      <c r="B472" s="8">
        <f>IFERROR(__xludf.DUMMYFUNCTION("""COMPUTED_VALUE"""),44507.0)</f>
        <v>44507</v>
      </c>
      <c r="C472" s="6" t="str">
        <f>IFERROR(__xludf.DUMMYFUNCTION("UNIQUE('Raw Data Sales'!H472:H1470 &amp; "" "" &amp; 'Raw Data Sales'!I472:I1470)"),"Collen Totton")</f>
        <v>Collen Totton</v>
      </c>
      <c r="D472" s="6" t="str">
        <f>IFERROR(__xludf.DUMMYFUNCTION("""COMPUTED_VALUE"""),"Portable Folding Picnic Table")</f>
        <v>Portable Folding Picnic Table</v>
      </c>
      <c r="E472" s="6" t="str">
        <f>'Raw Data Sales'!F472</f>
        <v>Food - Sides</v>
      </c>
      <c r="F472" s="6">
        <f>'Raw Data Sales'!M472</f>
        <v>70</v>
      </c>
      <c r="G472" s="6">
        <f>'Raw Data Sales'!N472</f>
        <v>8894.3</v>
      </c>
      <c r="H472" s="6" t="str">
        <f>'Raw Data Sales'!O472</f>
        <v>Cash</v>
      </c>
    </row>
    <row r="473">
      <c r="A473" s="6">
        <f>'Raw Data Sales'!A473</f>
        <v>472</v>
      </c>
      <c r="B473" s="8">
        <f>IFERROR(__xludf.DUMMYFUNCTION("""COMPUTED_VALUE"""),43873.0)</f>
        <v>43873</v>
      </c>
      <c r="C473" s="6" t="str">
        <f>IFERROR(__xludf.DUMMYFUNCTION("UNIQUE('Raw Data Sales'!H473:H1471 &amp; "" "" &amp; 'Raw Data Sales'!I473:I1471)"),"Chandra Mariolle")</f>
        <v>Chandra Mariolle</v>
      </c>
      <c r="D473" s="6" t="str">
        <f>IFERROR(__xludf.DUMMYFUNCTION("""COMPUTED_VALUE"""),"Ergonomic Gaming Chair")</f>
        <v>Ergonomic Gaming Chair</v>
      </c>
      <c r="E473" s="6" t="str">
        <f>'Raw Data Sales'!F473</f>
        <v>Food - Desserts</v>
      </c>
      <c r="F473" s="6">
        <f>'Raw Data Sales'!M473</f>
        <v>78</v>
      </c>
      <c r="G473" s="6">
        <f>'Raw Data Sales'!N473</f>
        <v>614.94</v>
      </c>
      <c r="H473" s="6" t="str">
        <f>'Raw Data Sales'!O473</f>
        <v>PayPal</v>
      </c>
    </row>
    <row r="474">
      <c r="A474" s="6">
        <f>'Raw Data Sales'!A474</f>
        <v>473</v>
      </c>
      <c r="B474" s="8">
        <f>IFERROR(__xludf.DUMMYFUNCTION("""COMPUTED_VALUE"""),44022.0)</f>
        <v>44022</v>
      </c>
      <c r="C474" s="6" t="str">
        <f>IFERROR(__xludf.DUMMYFUNCTION("UNIQUE('Raw Data Sales'!H474:H1472 &amp; "" "" &amp; 'Raw Data Sales'!I474:I1472)"),"Eldridge Searchwell")</f>
        <v>Eldridge Searchwell</v>
      </c>
      <c r="D474" s="6" t="str">
        <f>IFERROR(__xludf.DUMMYFUNCTION("""COMPUTED_VALUE"""),"Water Bottle")</f>
        <v>Water Bottle</v>
      </c>
      <c r="E474" s="6" t="str">
        <f>'Raw Data Sales'!F474</f>
        <v>Outdoor</v>
      </c>
      <c r="F474" s="6">
        <f>'Raw Data Sales'!M474</f>
        <v>45</v>
      </c>
      <c r="G474" s="6">
        <f>'Raw Data Sales'!N474</f>
        <v>9881.61</v>
      </c>
      <c r="H474" s="6" t="str">
        <f>'Raw Data Sales'!O474</f>
        <v>Cash</v>
      </c>
    </row>
    <row r="475">
      <c r="A475" s="6">
        <f>'Raw Data Sales'!A475</f>
        <v>474</v>
      </c>
      <c r="B475" s="8">
        <f>IFERROR(__xludf.DUMMYFUNCTION("""COMPUTED_VALUE"""),44148.0)</f>
        <v>44148</v>
      </c>
      <c r="C475" s="6" t="str">
        <f>IFERROR(__xludf.DUMMYFUNCTION("UNIQUE('Raw Data Sales'!H475:H1473 &amp; "" "" &amp; 'Raw Data Sales'!I475:I1473)"),"Iain Kenion")</f>
        <v>Iain Kenion</v>
      </c>
      <c r="D475" s="6" t="str">
        <f>IFERROR(__xludf.DUMMYFUNCTION("""COMPUTED_VALUE"""),"Coffee Subscription Service")</f>
        <v>Coffee Subscription Service</v>
      </c>
      <c r="E475" s="6" t="str">
        <f>'Raw Data Sales'!F475</f>
        <v>Footwear</v>
      </c>
      <c r="F475" s="6">
        <f>'Raw Data Sales'!M475</f>
        <v>76</v>
      </c>
      <c r="G475" s="6">
        <f>'Raw Data Sales'!N475</f>
        <v>3976.62</v>
      </c>
      <c r="H475" s="6" t="str">
        <f>'Raw Data Sales'!O475</f>
        <v>PayPal</v>
      </c>
    </row>
    <row r="476">
      <c r="A476" s="6">
        <f>'Raw Data Sales'!A476</f>
        <v>475</v>
      </c>
      <c r="B476" s="8">
        <f>IFERROR(__xludf.DUMMYFUNCTION("""COMPUTED_VALUE"""),44120.0)</f>
        <v>44120</v>
      </c>
      <c r="C476" s="6" t="str">
        <f>IFERROR(__xludf.DUMMYFUNCTION("UNIQUE('Raw Data Sales'!H476:H1474 &amp; "" "" &amp; 'Raw Data Sales'!I476:I1474)"),"Darryl Newlove")</f>
        <v>Darryl Newlove</v>
      </c>
      <c r="D476" s="6" t="str">
        <f>IFERROR(__xludf.DUMMYFUNCTION("""COMPUTED_VALUE"""),"Banana Peanut Butter Smoothie")</f>
        <v>Banana Peanut Butter Smoothie</v>
      </c>
      <c r="E476" s="6" t="str">
        <f>'Raw Data Sales'!F476</f>
        <v>Photography</v>
      </c>
      <c r="F476" s="6">
        <f>'Raw Data Sales'!M476</f>
        <v>58</v>
      </c>
      <c r="G476" s="6">
        <f>'Raw Data Sales'!N476</f>
        <v>6771.16</v>
      </c>
      <c r="H476" s="6" t="str">
        <f>'Raw Data Sales'!O476</f>
        <v>PayPal</v>
      </c>
    </row>
    <row r="477">
      <c r="A477" s="6">
        <f>'Raw Data Sales'!A477</f>
        <v>476</v>
      </c>
      <c r="B477" s="8">
        <f>IFERROR(__xludf.DUMMYFUNCTION("""COMPUTED_VALUE"""),44330.0)</f>
        <v>44330</v>
      </c>
      <c r="C477" s="6" t="str">
        <f>IFERROR(__xludf.DUMMYFUNCTION("UNIQUE('Raw Data Sales'!H477:H1475 &amp; "" "" &amp; 'Raw Data Sales'!I477:I1475)"),"Raina MacCosty")</f>
        <v>Raina MacCosty</v>
      </c>
      <c r="D477" s="6" t="str">
        <f>IFERROR(__xludf.DUMMYFUNCTION("""COMPUTED_VALUE"""),"Insulated Coffee Mug")</f>
        <v>Insulated Coffee Mug</v>
      </c>
      <c r="E477" s="6" t="str">
        <f>'Raw Data Sales'!F477</f>
        <v>Food - Condiments</v>
      </c>
      <c r="F477" s="6">
        <f>'Raw Data Sales'!M477</f>
        <v>23</v>
      </c>
      <c r="G477" s="6">
        <f>'Raw Data Sales'!N477</f>
        <v>7915.93</v>
      </c>
      <c r="H477" s="6" t="str">
        <f>'Raw Data Sales'!O477</f>
        <v>Credit Card</v>
      </c>
    </row>
    <row r="478">
      <c r="A478" s="6">
        <f>'Raw Data Sales'!A478</f>
        <v>477</v>
      </c>
      <c r="B478" s="8">
        <f>IFERROR(__xludf.DUMMYFUNCTION("""COMPUTED_VALUE"""),43980.0)</f>
        <v>43980</v>
      </c>
      <c r="C478" s="6" t="str">
        <f>IFERROR(__xludf.DUMMYFUNCTION("UNIQUE('Raw Data Sales'!H478:H1476 &amp; "" "" &amp; 'Raw Data Sales'!I478:I1476)"),"Catha Murden")</f>
        <v>Catha Murden</v>
      </c>
      <c r="D478" s="6" t="str">
        <f>IFERROR(__xludf.DUMMYFUNCTION("""COMPUTED_VALUE"""),"Toy Building Set")</f>
        <v>Toy Building Set</v>
      </c>
      <c r="E478" s="6" t="str">
        <f>'Raw Data Sales'!F478</f>
        <v>Fitness</v>
      </c>
      <c r="F478" s="6">
        <f>'Raw Data Sales'!M478</f>
        <v>54</v>
      </c>
      <c r="G478" s="6">
        <f>'Raw Data Sales'!N478</f>
        <v>6720.67</v>
      </c>
      <c r="H478" s="6" t="str">
        <f>'Raw Data Sales'!O478</f>
        <v>PayPal</v>
      </c>
    </row>
    <row r="479">
      <c r="A479" s="6">
        <f>'Raw Data Sales'!A479</f>
        <v>478</v>
      </c>
      <c r="B479" s="8">
        <f>IFERROR(__xludf.DUMMYFUNCTION("""COMPUTED_VALUE"""),44417.0)</f>
        <v>44417</v>
      </c>
      <c r="C479" s="6" t="str">
        <f>IFERROR(__xludf.DUMMYFUNCTION("UNIQUE('Raw Data Sales'!H479:H1477 &amp; "" "" &amp; 'Raw Data Sales'!I479:I1477)"),"Ted Broseman")</f>
        <v>Ted Broseman</v>
      </c>
      <c r="D479" s="6" t="str">
        <f>IFERROR(__xludf.DUMMYFUNCTION("""COMPUTED_VALUE"""),"Smart Scale")</f>
        <v>Smart Scale</v>
      </c>
      <c r="E479" s="6" t="str">
        <f>'Raw Data Sales'!F479</f>
        <v>Baby</v>
      </c>
      <c r="F479" s="6">
        <f>'Raw Data Sales'!M479</f>
        <v>23</v>
      </c>
      <c r="G479" s="6">
        <f>'Raw Data Sales'!N479</f>
        <v>6162.78</v>
      </c>
      <c r="H479" s="6" t="str">
        <f>'Raw Data Sales'!O479</f>
        <v>PayPal</v>
      </c>
    </row>
    <row r="480">
      <c r="A480" s="6">
        <f>'Raw Data Sales'!A480</f>
        <v>479</v>
      </c>
      <c r="B480" s="8">
        <f>IFERROR(__xludf.DUMMYFUNCTION("""COMPUTED_VALUE"""),43984.0)</f>
        <v>43984</v>
      </c>
      <c r="C480" s="6" t="str">
        <f>IFERROR(__xludf.DUMMYFUNCTION("UNIQUE('Raw Data Sales'!H480:H1478 &amp; "" "" &amp; 'Raw Data Sales'!I480:I1478)"),"Shanda Gerson")</f>
        <v>Shanda Gerson</v>
      </c>
      <c r="D480" s="6" t="str">
        <f>IFERROR(__xludf.DUMMYFUNCTION("""COMPUTED_VALUE"""),"Coconut Milk Ice Cream")</f>
        <v>Coconut Milk Ice Cream</v>
      </c>
      <c r="E480" s="6" t="str">
        <f>'Raw Data Sales'!F480</f>
        <v>Health</v>
      </c>
      <c r="F480" s="6">
        <f>'Raw Data Sales'!M480</f>
        <v>13</v>
      </c>
      <c r="G480" s="6">
        <f>'Raw Data Sales'!N480</f>
        <v>6587.86</v>
      </c>
      <c r="H480" s="6" t="str">
        <f>'Raw Data Sales'!O480</f>
        <v>Credit Card</v>
      </c>
    </row>
    <row r="481">
      <c r="A481" s="6">
        <f>'Raw Data Sales'!A481</f>
        <v>480</v>
      </c>
      <c r="B481" s="8">
        <f>IFERROR(__xludf.DUMMYFUNCTION("""COMPUTED_VALUE"""),43932.0)</f>
        <v>43932</v>
      </c>
      <c r="C481" s="6" t="str">
        <f>IFERROR(__xludf.DUMMYFUNCTION("UNIQUE('Raw Data Sales'!H481:H1479 &amp; "" "" &amp; 'Raw Data Sales'!I481:I1479)"),"Ozzy Normanville")</f>
        <v>Ozzy Normanville</v>
      </c>
      <c r="D481" s="6" t="str">
        <f>IFERROR(__xludf.DUMMYFUNCTION("""COMPUTED_VALUE"""),"Digital Wireless Camera")</f>
        <v>Digital Wireless Camera</v>
      </c>
      <c r="E481" s="6" t="str">
        <f>'Raw Data Sales'!F481</f>
        <v>Home</v>
      </c>
      <c r="F481" s="6">
        <f>'Raw Data Sales'!M481</f>
        <v>93</v>
      </c>
      <c r="G481" s="6">
        <f>'Raw Data Sales'!N481</f>
        <v>5311.46</v>
      </c>
      <c r="H481" s="6" t="str">
        <f>'Raw Data Sales'!O481</f>
        <v>Credit Card</v>
      </c>
    </row>
    <row r="482">
      <c r="A482" s="6">
        <f>'Raw Data Sales'!A482</f>
        <v>481</v>
      </c>
      <c r="B482" s="8">
        <f>IFERROR(__xludf.DUMMYFUNCTION("""COMPUTED_VALUE"""),43925.0)</f>
        <v>43925</v>
      </c>
      <c r="C482" s="6" t="str">
        <f>IFERROR(__xludf.DUMMYFUNCTION("UNIQUE('Raw Data Sales'!H482:H1480 &amp; "" "" &amp; 'Raw Data Sales'!I482:I1480)"),"Jourdan Marriot")</f>
        <v>Jourdan Marriot</v>
      </c>
      <c r="D482" s="6" t="str">
        <f>IFERROR(__xludf.DUMMYFUNCTION("""COMPUTED_VALUE"""),"Classic Leather Wallet")</f>
        <v>Classic Leather Wallet</v>
      </c>
      <c r="E482" s="6" t="str">
        <f>'Raw Data Sales'!F482</f>
        <v>Automotive</v>
      </c>
      <c r="F482" s="6">
        <f>'Raw Data Sales'!M482</f>
        <v>44</v>
      </c>
      <c r="G482" s="6">
        <f>'Raw Data Sales'!N482</f>
        <v>2455.42</v>
      </c>
      <c r="H482" s="6" t="str">
        <f>'Raw Data Sales'!O482</f>
        <v>Credit Card</v>
      </c>
    </row>
    <row r="483">
      <c r="A483" s="6">
        <f>'Raw Data Sales'!A483</f>
        <v>482</v>
      </c>
      <c r="B483" s="8">
        <f>IFERROR(__xludf.DUMMYFUNCTION("""COMPUTED_VALUE"""),43918.0)</f>
        <v>43918</v>
      </c>
      <c r="C483" s="6" t="str">
        <f>IFERROR(__xludf.DUMMYFUNCTION("UNIQUE('Raw Data Sales'!H483:H1481 &amp; "" "" &amp; 'Raw Data Sales'!I483:I1481)"),"Nedi Yeskin")</f>
        <v>Nedi Yeskin</v>
      </c>
      <c r="D483" s="6" t="str">
        <f>IFERROR(__xludf.DUMMYFUNCTION("""COMPUTED_VALUE"""),"Organic Coconut Flakes")</f>
        <v>Organic Coconut Flakes</v>
      </c>
      <c r="E483" s="6" t="str">
        <f>'Raw Data Sales'!F483</f>
        <v>Home</v>
      </c>
      <c r="F483" s="6">
        <f>'Raw Data Sales'!M483</f>
        <v>10</v>
      </c>
      <c r="G483" s="6">
        <f>'Raw Data Sales'!N483</f>
        <v>4616.71</v>
      </c>
      <c r="H483" s="6" t="str">
        <f>'Raw Data Sales'!O483</f>
        <v>PayPal</v>
      </c>
    </row>
    <row r="484">
      <c r="A484" s="6">
        <f>'Raw Data Sales'!A484</f>
        <v>483</v>
      </c>
      <c r="B484" s="8">
        <f>IFERROR(__xludf.DUMMYFUNCTION("""COMPUTED_VALUE"""),43894.0)</f>
        <v>43894</v>
      </c>
      <c r="C484" s="6" t="str">
        <f>IFERROR(__xludf.DUMMYFUNCTION("UNIQUE('Raw Data Sales'!H484:H1482 &amp; "" "" &amp; 'Raw Data Sales'!I484:I1482)"),"Arlen Girke")</f>
        <v>Arlen Girke</v>
      </c>
      <c r="D484" s="6" t="str">
        <f>IFERROR(__xludf.DUMMYFUNCTION("""COMPUTED_VALUE"""),"Reusable Food Storage Bags")</f>
        <v>Reusable Food Storage Bags</v>
      </c>
      <c r="E484" s="6" t="str">
        <f>'Raw Data Sales'!F484</f>
        <v>Food - Condiments</v>
      </c>
      <c r="F484" s="6">
        <f>'Raw Data Sales'!M484</f>
        <v>82</v>
      </c>
      <c r="G484" s="6">
        <f>'Raw Data Sales'!N484</f>
        <v>1608.36</v>
      </c>
      <c r="H484" s="6" t="str">
        <f>'Raw Data Sales'!O484</f>
        <v>Cash</v>
      </c>
    </row>
    <row r="485">
      <c r="A485" s="6">
        <f>'Raw Data Sales'!A485</f>
        <v>484</v>
      </c>
      <c r="B485" s="8">
        <f>IFERROR(__xludf.DUMMYFUNCTION("""COMPUTED_VALUE"""),44121.0)</f>
        <v>44121</v>
      </c>
      <c r="C485" s="6" t="str">
        <f>IFERROR(__xludf.DUMMYFUNCTION("UNIQUE('Raw Data Sales'!H485:H1483 &amp; "" "" &amp; 'Raw Data Sales'!I485:I1483)"),"Giralda Grevile")</f>
        <v>Giralda Grevile</v>
      </c>
      <c r="D485" s="6" t="str">
        <f>IFERROR(__xludf.DUMMYFUNCTION("""COMPUTED_VALUE"""),"Slim Fit Chinos")</f>
        <v>Slim Fit Chinos</v>
      </c>
      <c r="E485" s="6" t="str">
        <f>'Raw Data Sales'!F485</f>
        <v>Food - Breakfast</v>
      </c>
      <c r="F485" s="6">
        <f>'Raw Data Sales'!M485</f>
        <v>51</v>
      </c>
      <c r="G485" s="6">
        <f>'Raw Data Sales'!N485</f>
        <v>5412.12</v>
      </c>
      <c r="H485" s="6" t="str">
        <f>'Raw Data Sales'!O485</f>
        <v>PayPal</v>
      </c>
    </row>
    <row r="486">
      <c r="A486" s="6">
        <f>'Raw Data Sales'!A486</f>
        <v>485</v>
      </c>
      <c r="B486" s="8">
        <f>IFERROR(__xludf.DUMMYFUNCTION("""COMPUTED_VALUE"""),43947.0)</f>
        <v>43947</v>
      </c>
      <c r="C486" s="6" t="str">
        <f>IFERROR(__xludf.DUMMYFUNCTION("UNIQUE('Raw Data Sales'!H486:H1484 &amp; "" "" &amp; 'Raw Data Sales'!I486:I1484)"),"Marina Meeny")</f>
        <v>Marina Meeny</v>
      </c>
      <c r="D486" s="6" t="str">
        <f>IFERROR(__xludf.DUMMYFUNCTION("""COMPUTED_VALUE"""),"Magic Color-Changing Mug")</f>
        <v>Magic Color-Changing Mug</v>
      </c>
      <c r="E486" s="6" t="str">
        <f>'Raw Data Sales'!F486</f>
        <v>Food - Marinades</v>
      </c>
      <c r="F486" s="6">
        <f>'Raw Data Sales'!M486</f>
        <v>42</v>
      </c>
      <c r="G486" s="6">
        <f>'Raw Data Sales'!N486</f>
        <v>945.21</v>
      </c>
      <c r="H486" s="6" t="str">
        <f>'Raw Data Sales'!O486</f>
        <v>Credit Card</v>
      </c>
    </row>
    <row r="487">
      <c r="A487" s="6">
        <f>'Raw Data Sales'!A487</f>
        <v>486</v>
      </c>
      <c r="B487" s="8">
        <f>IFERROR(__xludf.DUMMYFUNCTION("""COMPUTED_VALUE"""),44210.0)</f>
        <v>44210</v>
      </c>
      <c r="C487" s="6" t="str">
        <f>IFERROR(__xludf.DUMMYFUNCTION("UNIQUE('Raw Data Sales'!H487:H1485 &amp; "" "" &amp; 'Raw Data Sales'!I487:I1485)"),"Bram Hrinchenko")</f>
        <v>Bram Hrinchenko</v>
      </c>
      <c r="D487" s="6" t="str">
        <f>IFERROR(__xludf.DUMMYFUNCTION("""COMPUTED_VALUE"""),"Vegetable Broth")</f>
        <v>Vegetable Broth</v>
      </c>
      <c r="E487" s="6" t="str">
        <f>'Raw Data Sales'!F487</f>
        <v>Food - Grains</v>
      </c>
      <c r="F487" s="6">
        <f>'Raw Data Sales'!M487</f>
        <v>91</v>
      </c>
      <c r="G487" s="6">
        <f>'Raw Data Sales'!N487</f>
        <v>8100.07</v>
      </c>
      <c r="H487" s="6" t="str">
        <f>'Raw Data Sales'!O487</f>
        <v>Credit Card</v>
      </c>
    </row>
    <row r="488">
      <c r="A488" s="6">
        <f>'Raw Data Sales'!A488</f>
        <v>487</v>
      </c>
      <c r="B488" s="8">
        <f>IFERROR(__xludf.DUMMYFUNCTION("""COMPUTED_VALUE"""),44239.0)</f>
        <v>44239</v>
      </c>
      <c r="C488" s="6" t="str">
        <f>IFERROR(__xludf.DUMMYFUNCTION("UNIQUE('Raw Data Sales'!H488:H1486 &amp; "" "" &amp; 'Raw Data Sales'!I488:I1486)"),"Kerry Liddon")</f>
        <v>Kerry Liddon</v>
      </c>
      <c r="D488" s="6" t="str">
        <f>IFERROR(__xludf.DUMMYFUNCTION("""COMPUTED_VALUE"""),"Incense Holder")</f>
        <v>Incense Holder</v>
      </c>
      <c r="E488" s="6" t="str">
        <f>'Raw Data Sales'!F488</f>
        <v>Fitness</v>
      </c>
      <c r="F488" s="6">
        <f>'Raw Data Sales'!M488</f>
        <v>62</v>
      </c>
      <c r="G488" s="6">
        <f>'Raw Data Sales'!N488</f>
        <v>8116.81</v>
      </c>
      <c r="H488" s="6" t="str">
        <f>'Raw Data Sales'!O488</f>
        <v>PayPal</v>
      </c>
    </row>
    <row r="489">
      <c r="A489" s="6">
        <f>'Raw Data Sales'!A489</f>
        <v>488</v>
      </c>
      <c r="B489" s="8">
        <f>IFERROR(__xludf.DUMMYFUNCTION("""COMPUTED_VALUE"""),44314.0)</f>
        <v>44314</v>
      </c>
      <c r="C489" s="6" t="str">
        <f>IFERROR(__xludf.DUMMYFUNCTION("UNIQUE('Raw Data Sales'!H489:H1487 &amp; "" "" &amp; 'Raw Data Sales'!I489:I1487)"),"Elmo Bromet")</f>
        <v>Elmo Bromet</v>
      </c>
      <c r="D489" s="6" t="str">
        <f>IFERROR(__xludf.DUMMYFUNCTION("""COMPUTED_VALUE"""),"Homestyle Beef Stew")</f>
        <v>Homestyle Beef Stew</v>
      </c>
      <c r="E489" s="6" t="str">
        <f>'Raw Data Sales'!F489</f>
        <v>Food - Deli</v>
      </c>
      <c r="F489" s="6">
        <f>'Raw Data Sales'!M489</f>
        <v>25</v>
      </c>
      <c r="G489" s="6">
        <f>'Raw Data Sales'!N489</f>
        <v>6386.09</v>
      </c>
      <c r="H489" s="6" t="str">
        <f>'Raw Data Sales'!O489</f>
        <v>Credit Card</v>
      </c>
    </row>
    <row r="490">
      <c r="A490" s="6">
        <f>'Raw Data Sales'!A490</f>
        <v>489</v>
      </c>
      <c r="B490" s="8">
        <f>IFERROR(__xludf.DUMMYFUNCTION("""COMPUTED_VALUE"""),44461.0)</f>
        <v>44461</v>
      </c>
      <c r="C490" s="6" t="str">
        <f>IFERROR(__xludf.DUMMYFUNCTION("UNIQUE('Raw Data Sales'!H490:H1488 &amp; "" "" &amp; 'Raw Data Sales'!I490:I1488)"),"Sebastiano Juggings")</f>
        <v>Sebastiano Juggings</v>
      </c>
      <c r="D490" s="6" t="str">
        <f>IFERROR(__xludf.DUMMYFUNCTION("""COMPUTED_VALUE"""),"Spicy Chicken Wings")</f>
        <v>Spicy Chicken Wings</v>
      </c>
      <c r="E490" s="6" t="str">
        <f>'Raw Data Sales'!F490</f>
        <v>Office</v>
      </c>
      <c r="F490" s="6">
        <f>'Raw Data Sales'!M490</f>
        <v>60</v>
      </c>
      <c r="G490" s="6">
        <f>'Raw Data Sales'!N490</f>
        <v>3188.26</v>
      </c>
      <c r="H490" s="6" t="str">
        <f>'Raw Data Sales'!O490</f>
        <v>PayPal</v>
      </c>
    </row>
    <row r="491">
      <c r="A491" s="6">
        <f>'Raw Data Sales'!A491</f>
        <v>490</v>
      </c>
      <c r="B491" s="8">
        <f>IFERROR(__xludf.DUMMYFUNCTION("""COMPUTED_VALUE"""),44348.0)</f>
        <v>44348</v>
      </c>
      <c r="C491" s="6" t="str">
        <f>IFERROR(__xludf.DUMMYFUNCTION("UNIQUE('Raw Data Sales'!H491:H1489 &amp; "" "" &amp; 'Raw Data Sales'!I491:I1489)"),"Jeanie Ridolfi")</f>
        <v>Jeanie Ridolfi</v>
      </c>
      <c r="D491" s="6" t="str">
        <f>IFERROR(__xludf.DUMMYFUNCTION("""COMPUTED_VALUE"""),"Pet Bed with Removable Cover")</f>
        <v>Pet Bed with Removable Cover</v>
      </c>
      <c r="E491" s="6" t="str">
        <f>'Raw Data Sales'!F491</f>
        <v>Food - Baking</v>
      </c>
      <c r="F491" s="6">
        <f>'Raw Data Sales'!M491</f>
        <v>7</v>
      </c>
      <c r="G491" s="6">
        <f>'Raw Data Sales'!N491</f>
        <v>6152.96</v>
      </c>
      <c r="H491" s="6" t="str">
        <f>'Raw Data Sales'!O491</f>
        <v>Cash</v>
      </c>
    </row>
    <row r="492">
      <c r="A492" s="6">
        <f>'Raw Data Sales'!A492</f>
        <v>491</v>
      </c>
      <c r="B492" s="8">
        <f>IFERROR(__xludf.DUMMYFUNCTION("""COMPUTED_VALUE"""),44194.0)</f>
        <v>44194</v>
      </c>
      <c r="C492" s="6" t="str">
        <f>IFERROR(__xludf.DUMMYFUNCTION("UNIQUE('Raw Data Sales'!H492:H1490 &amp; "" "" &amp; 'Raw Data Sales'!I492:I1490)"),"Batholomew Whytock")</f>
        <v>Batholomew Whytock</v>
      </c>
      <c r="D492" s="6" t="str">
        <f>IFERROR(__xludf.DUMMYFUNCTION("""COMPUTED_VALUE"""),"Ceramic Cookware Set")</f>
        <v>Ceramic Cookware Set</v>
      </c>
      <c r="E492" s="6" t="str">
        <f>'Raw Data Sales'!F492</f>
        <v>Food - Condiments</v>
      </c>
      <c r="F492" s="6">
        <f>'Raw Data Sales'!M492</f>
        <v>43</v>
      </c>
      <c r="G492" s="6">
        <f>'Raw Data Sales'!N492</f>
        <v>1367.95</v>
      </c>
      <c r="H492" s="6" t="str">
        <f>'Raw Data Sales'!O492</f>
        <v>PayPal</v>
      </c>
    </row>
    <row r="493">
      <c r="A493" s="6">
        <f>'Raw Data Sales'!A493</f>
        <v>492</v>
      </c>
      <c r="B493" s="8">
        <f>IFERROR(__xludf.DUMMYFUNCTION("""COMPUTED_VALUE"""),44391.0)</f>
        <v>44391</v>
      </c>
      <c r="C493" s="6" t="str">
        <f>IFERROR(__xludf.DUMMYFUNCTION("UNIQUE('Raw Data Sales'!H493:H1491 &amp; "" "" &amp; 'Raw Data Sales'!I493:I1491)"),"Maurizia Cheson")</f>
        <v>Maurizia Cheson</v>
      </c>
      <c r="D493" s="6" t="str">
        <f>IFERROR(__xludf.DUMMYFUNCTION("""COMPUTED_VALUE"""),"Maple Almond Butter")</f>
        <v>Maple Almond Butter</v>
      </c>
      <c r="E493" s="6" t="str">
        <f>'Raw Data Sales'!F493</f>
        <v>Outdoor</v>
      </c>
      <c r="F493" s="6">
        <f>'Raw Data Sales'!M493</f>
        <v>66</v>
      </c>
      <c r="G493" s="6">
        <f>'Raw Data Sales'!N493</f>
        <v>5950.65</v>
      </c>
      <c r="H493" s="6" t="str">
        <f>'Raw Data Sales'!O493</f>
        <v>PayPal</v>
      </c>
    </row>
    <row r="494">
      <c r="A494" s="6">
        <f>'Raw Data Sales'!A494</f>
        <v>493</v>
      </c>
      <c r="B494" s="8">
        <f>IFERROR(__xludf.DUMMYFUNCTION("""COMPUTED_VALUE"""),43960.0)</f>
        <v>43960</v>
      </c>
      <c r="C494" s="6" t="str">
        <f>IFERROR(__xludf.DUMMYFUNCTION("UNIQUE('Raw Data Sales'!H494:H1492 &amp; "" "" &amp; 'Raw Data Sales'!I494:I1492)"),"Ernaline Priddey")</f>
        <v>Ernaline Priddey</v>
      </c>
      <c r="D494" s="6" t="str">
        <f>IFERROR(__xludf.DUMMYFUNCTION("""COMPUTED_VALUE"""),"Honey Almond Granola Bars")</f>
        <v>Honey Almond Granola Bars</v>
      </c>
      <c r="E494" s="6" t="str">
        <f>'Raw Data Sales'!F494</f>
        <v>Garden</v>
      </c>
      <c r="F494" s="6">
        <f>'Raw Data Sales'!M494</f>
        <v>29</v>
      </c>
      <c r="G494" s="6">
        <f>'Raw Data Sales'!N494</f>
        <v>9605.63</v>
      </c>
      <c r="H494" s="6" t="str">
        <f>'Raw Data Sales'!O494</f>
        <v>PayPal</v>
      </c>
    </row>
    <row r="495">
      <c r="A495" s="6">
        <f>'Raw Data Sales'!A495</f>
        <v>494</v>
      </c>
      <c r="B495" s="8">
        <f>IFERROR(__xludf.DUMMYFUNCTION("""COMPUTED_VALUE"""),43848.0)</f>
        <v>43848</v>
      </c>
      <c r="C495" s="6" t="str">
        <f>IFERROR(__xludf.DUMMYFUNCTION("UNIQUE('Raw Data Sales'!H495:H1493 &amp; "" "" &amp; 'Raw Data Sales'!I495:I1493)"),"Lucius Felkin")</f>
        <v>Lucius Felkin</v>
      </c>
      <c r="D495" s="6" t="str">
        <f>IFERROR(__xludf.DUMMYFUNCTION("""COMPUTED_VALUE"""),"Instant Camera")</f>
        <v>Instant Camera</v>
      </c>
      <c r="E495" s="6" t="str">
        <f>'Raw Data Sales'!F495</f>
        <v>Home</v>
      </c>
      <c r="F495" s="6">
        <f>'Raw Data Sales'!M495</f>
        <v>49</v>
      </c>
      <c r="G495" s="6">
        <f>'Raw Data Sales'!N495</f>
        <v>8913.41</v>
      </c>
      <c r="H495" s="6" t="str">
        <f>'Raw Data Sales'!O495</f>
        <v>PayPal</v>
      </c>
    </row>
    <row r="496">
      <c r="A496" s="6">
        <f>'Raw Data Sales'!A496</f>
        <v>495</v>
      </c>
      <c r="B496" s="8">
        <f>IFERROR(__xludf.DUMMYFUNCTION("""COMPUTED_VALUE"""),43935.0)</f>
        <v>43935</v>
      </c>
      <c r="C496" s="6" t="str">
        <f>IFERROR(__xludf.DUMMYFUNCTION("UNIQUE('Raw Data Sales'!H496:H1494 &amp; "" "" &amp; 'Raw Data Sales'!I496:I1494)"),"Meagan Everit")</f>
        <v>Meagan Everit</v>
      </c>
      <c r="D496" s="6" t="str">
        <f>IFERROR(__xludf.DUMMYFUNCTION("""COMPUTED_VALUE"""),"Chipotle Sauce")</f>
        <v>Chipotle Sauce</v>
      </c>
      <c r="E496" s="6" t="str">
        <f>'Raw Data Sales'!F496</f>
        <v>Food - Breakfast</v>
      </c>
      <c r="F496" s="6">
        <f>'Raw Data Sales'!M496</f>
        <v>62</v>
      </c>
      <c r="G496" s="6">
        <f>'Raw Data Sales'!N496</f>
        <v>3663.15</v>
      </c>
      <c r="H496" s="6" t="str">
        <f>'Raw Data Sales'!O496</f>
        <v>PayPal</v>
      </c>
    </row>
    <row r="497">
      <c r="A497" s="6">
        <f>'Raw Data Sales'!A497</f>
        <v>496</v>
      </c>
      <c r="B497" s="8">
        <f>IFERROR(__xludf.DUMMYFUNCTION("""COMPUTED_VALUE"""),43936.0)</f>
        <v>43936</v>
      </c>
      <c r="C497" s="6" t="str">
        <f>IFERROR(__xludf.DUMMYFUNCTION("UNIQUE('Raw Data Sales'!H497:H1495 &amp; "" "" &amp; 'Raw Data Sales'!I497:I1495)"),"Othilie Savory")</f>
        <v>Othilie Savory</v>
      </c>
      <c r="D497" s="6" t="str">
        <f>IFERROR(__xludf.DUMMYFUNCTION("""COMPUTED_VALUE"""),"Stuffed Bell Peppers")</f>
        <v>Stuffed Bell Peppers</v>
      </c>
      <c r="E497" s="6" t="str">
        <f>'Raw Data Sales'!F497</f>
        <v>Food - Dairy Alternatives</v>
      </c>
      <c r="F497" s="6">
        <f>'Raw Data Sales'!M497</f>
        <v>100</v>
      </c>
      <c r="G497" s="6">
        <f>'Raw Data Sales'!N497</f>
        <v>2033.97</v>
      </c>
      <c r="H497" s="6" t="str">
        <f>'Raw Data Sales'!O497</f>
        <v>PayPal</v>
      </c>
    </row>
    <row r="498">
      <c r="A498" s="6">
        <f>'Raw Data Sales'!A498</f>
        <v>497</v>
      </c>
      <c r="B498" s="8">
        <f>IFERROR(__xludf.DUMMYFUNCTION("""COMPUTED_VALUE"""),44088.0)</f>
        <v>44088</v>
      </c>
      <c r="C498" s="6" t="str">
        <f>IFERROR(__xludf.DUMMYFUNCTION("UNIQUE('Raw Data Sales'!H498:H1496 &amp; "" "" &amp; 'Raw Data Sales'!I498:I1496)"),"Rodney Hancox")</f>
        <v>Rodney Hancox</v>
      </c>
      <c r="D498" s="6" t="str">
        <f>IFERROR(__xludf.DUMMYFUNCTION("""COMPUTED_VALUE"""),"Ground Turkey")</f>
        <v>Ground Turkey</v>
      </c>
      <c r="E498" s="6" t="str">
        <f>'Raw Data Sales'!F498</f>
        <v>Kitchen</v>
      </c>
      <c r="F498" s="6">
        <f>'Raw Data Sales'!M498</f>
        <v>72</v>
      </c>
      <c r="G498" s="6">
        <f>'Raw Data Sales'!N498</f>
        <v>8836.44</v>
      </c>
      <c r="H498" s="6" t="str">
        <f>'Raw Data Sales'!O498</f>
        <v>PayPal</v>
      </c>
    </row>
    <row r="499">
      <c r="A499" s="6">
        <f>'Raw Data Sales'!A499</f>
        <v>498</v>
      </c>
      <c r="B499" s="8">
        <f>IFERROR(__xludf.DUMMYFUNCTION("""COMPUTED_VALUE"""),44404.0)</f>
        <v>44404</v>
      </c>
      <c r="C499" s="6" t="str">
        <f>IFERROR(__xludf.DUMMYFUNCTION("UNIQUE('Raw Data Sales'!H499:H1497 &amp; "" "" &amp; 'Raw Data Sales'!I499:I1497)"),"Siffre Coldman")</f>
        <v>Siffre Coldman</v>
      </c>
      <c r="D499" s="6" t="str">
        <f>IFERROR(__xludf.DUMMYFUNCTION("""COMPUTED_VALUE"""),"Air Fryer Oven")</f>
        <v>Air Fryer Oven</v>
      </c>
      <c r="E499" s="6" t="str">
        <f>'Raw Data Sales'!F499</f>
        <v>Food - Snacks</v>
      </c>
      <c r="F499" s="6">
        <f>'Raw Data Sales'!M499</f>
        <v>87</v>
      </c>
      <c r="G499" s="6">
        <f>'Raw Data Sales'!N499</f>
        <v>6666.96</v>
      </c>
      <c r="H499" s="6" t="str">
        <f>'Raw Data Sales'!O499</f>
        <v>PayPal</v>
      </c>
    </row>
    <row r="500">
      <c r="A500" s="6">
        <f>'Raw Data Sales'!A500</f>
        <v>499</v>
      </c>
      <c r="B500" s="8">
        <f>IFERROR(__xludf.DUMMYFUNCTION("""COMPUTED_VALUE"""),44271.0)</f>
        <v>44271</v>
      </c>
      <c r="C500" s="6" t="str">
        <f>IFERROR(__xludf.DUMMYFUNCTION("UNIQUE('Raw Data Sales'!H500:H1498 &amp; "" "" &amp; 'Raw Data Sales'!I500:I1498)"),"Had Mansel")</f>
        <v>Had Mansel</v>
      </c>
      <c r="D500" s="6" t="str">
        <f>IFERROR(__xludf.DUMMYFUNCTION("""COMPUTED_VALUE"""),"Fruit and Nut Bars")</f>
        <v>Fruit and Nut Bars</v>
      </c>
      <c r="E500" s="6" t="str">
        <f>'Raw Data Sales'!F500</f>
        <v>Food - Beverages</v>
      </c>
      <c r="F500" s="6">
        <f>'Raw Data Sales'!M500</f>
        <v>33</v>
      </c>
      <c r="G500" s="6">
        <f>'Raw Data Sales'!N500</f>
        <v>1771.75</v>
      </c>
      <c r="H500" s="6" t="str">
        <f>'Raw Data Sales'!O500</f>
        <v>Cash</v>
      </c>
    </row>
    <row r="501">
      <c r="A501" s="6">
        <f>'Raw Data Sales'!A501</f>
        <v>500</v>
      </c>
      <c r="B501" s="8">
        <f>IFERROR(__xludf.DUMMYFUNCTION("""COMPUTED_VALUE"""),43902.0)</f>
        <v>43902</v>
      </c>
      <c r="C501" s="6" t="str">
        <f>IFERROR(__xludf.DUMMYFUNCTION("UNIQUE('Raw Data Sales'!H501:H1499 &amp; "" "" &amp; 'Raw Data Sales'!I501:I1499)"),"Mareah Halgarth")</f>
        <v>Mareah Halgarth</v>
      </c>
      <c r="D501" s="6" t="str">
        <f>IFERROR(__xludf.DUMMYFUNCTION("""COMPUTED_VALUE"""),"Italian Breadsticks")</f>
        <v>Italian Breadsticks</v>
      </c>
      <c r="E501" s="6" t="str">
        <f>'Raw Data Sales'!F501</f>
        <v>Automotive</v>
      </c>
      <c r="F501" s="6">
        <f>'Raw Data Sales'!M501</f>
        <v>51</v>
      </c>
      <c r="G501" s="6">
        <f>'Raw Data Sales'!N501</f>
        <v>3359.77</v>
      </c>
      <c r="H501" s="6" t="str">
        <f>'Raw Data Sales'!O501</f>
        <v>Credit Card</v>
      </c>
    </row>
    <row r="502">
      <c r="A502" s="6">
        <f>'Raw Data Sales'!A502</f>
        <v>501</v>
      </c>
      <c r="B502" s="8">
        <f>IFERROR(__xludf.DUMMYFUNCTION("""COMPUTED_VALUE"""),44155.0)</f>
        <v>44155</v>
      </c>
      <c r="C502" s="6" t="str">
        <f>IFERROR(__xludf.DUMMYFUNCTION("UNIQUE('Raw Data Sales'!H502:H1500 &amp; "" "" &amp; 'Raw Data Sales'!I502:I1500)"),"Josefina Pods")</f>
        <v>Josefina Pods</v>
      </c>
      <c r="D502" s="6" t="str">
        <f>IFERROR(__xludf.DUMMYFUNCTION("""COMPUTED_VALUE"""),"Herbal Tea Sampler Box")</f>
        <v>Herbal Tea Sampler Box</v>
      </c>
      <c r="E502" s="6" t="str">
        <f>'Raw Data Sales'!F502</f>
        <v>Food - Sides</v>
      </c>
      <c r="F502" s="6">
        <f>'Raw Data Sales'!M502</f>
        <v>95</v>
      </c>
      <c r="G502" s="6">
        <f>'Raw Data Sales'!N502</f>
        <v>4322.41</v>
      </c>
      <c r="H502" s="6" t="str">
        <f>'Raw Data Sales'!O502</f>
        <v>Cash</v>
      </c>
    </row>
    <row r="503">
      <c r="A503" s="6">
        <f>'Raw Data Sales'!A503</f>
        <v>502</v>
      </c>
      <c r="B503" s="8">
        <f>IFERROR(__xludf.DUMMYFUNCTION("""COMPUTED_VALUE"""),43914.0)</f>
        <v>43914</v>
      </c>
      <c r="C503" s="6" t="str">
        <f>IFERROR(__xludf.DUMMYFUNCTION("UNIQUE('Raw Data Sales'!H503:H1501 &amp; "" "" &amp; 'Raw Data Sales'!I503:I1501)"),"Nick Banasik")</f>
        <v>Nick Banasik</v>
      </c>
      <c r="D503" s="6" t="str">
        <f>IFERROR(__xludf.DUMMYFUNCTION("""COMPUTED_VALUE"""),"Roasted Garlic Butter")</f>
        <v>Roasted Garlic Butter</v>
      </c>
      <c r="E503" s="6" t="str">
        <f>'Raw Data Sales'!F503</f>
        <v>Food - Spreads</v>
      </c>
      <c r="F503" s="6">
        <f>'Raw Data Sales'!M503</f>
        <v>83</v>
      </c>
      <c r="G503" s="6">
        <f>'Raw Data Sales'!N503</f>
        <v>1931.48</v>
      </c>
      <c r="H503" s="6" t="str">
        <f>'Raw Data Sales'!O503</f>
        <v>PayPal</v>
      </c>
    </row>
    <row r="504">
      <c r="A504" s="6">
        <f>'Raw Data Sales'!A504</f>
        <v>503</v>
      </c>
      <c r="B504" s="8">
        <f>IFERROR(__xludf.DUMMYFUNCTION("""COMPUTED_VALUE"""),44012.0)</f>
        <v>44012</v>
      </c>
      <c r="C504" s="6" t="str">
        <f>IFERROR(__xludf.DUMMYFUNCTION("UNIQUE('Raw Data Sales'!H504:H1502 &amp; "" "" &amp; 'Raw Data Sales'!I504:I1502)"),"Liv Milmore")</f>
        <v>Liv Milmore</v>
      </c>
      <c r="D504" s="6" t="str">
        <f>IFERROR(__xludf.DUMMYFUNCTION("""COMPUTED_VALUE"""),"Organic Vanilla Bean Ice Cream")</f>
        <v>Organic Vanilla Bean Ice Cream</v>
      </c>
      <c r="E504" s="6" t="str">
        <f>'Raw Data Sales'!F504</f>
        <v>Electronics</v>
      </c>
      <c r="F504" s="6">
        <f>'Raw Data Sales'!M504</f>
        <v>24</v>
      </c>
      <c r="G504" s="6">
        <f>'Raw Data Sales'!N504</f>
        <v>9654.73</v>
      </c>
      <c r="H504" s="6" t="str">
        <f>'Raw Data Sales'!O504</f>
        <v>PayPal</v>
      </c>
    </row>
    <row r="505">
      <c r="A505" s="6">
        <f>'Raw Data Sales'!A505</f>
        <v>504</v>
      </c>
      <c r="B505" s="8">
        <f>IFERROR(__xludf.DUMMYFUNCTION("""COMPUTED_VALUE"""),44415.0)</f>
        <v>44415</v>
      </c>
      <c r="C505" s="6" t="str">
        <f>IFERROR(__xludf.DUMMYFUNCTION("UNIQUE('Raw Data Sales'!H505:H1503 &amp; "" "" &amp; 'Raw Data Sales'!I505:I1503)"),"Packston Gorringe")</f>
        <v>Packston Gorringe</v>
      </c>
      <c r="D505" s="6" t="str">
        <f>IFERROR(__xludf.DUMMYFUNCTION("""COMPUTED_VALUE"""),"Travel Pillow with Memory Foam")</f>
        <v>Travel Pillow with Memory Foam</v>
      </c>
      <c r="E505" s="6" t="str">
        <f>'Raw Data Sales'!F505</f>
        <v>Food - Frozen Food</v>
      </c>
      <c r="F505" s="6">
        <f>'Raw Data Sales'!M505</f>
        <v>66</v>
      </c>
      <c r="G505" s="6">
        <f>'Raw Data Sales'!N505</f>
        <v>9146.71</v>
      </c>
      <c r="H505" s="6" t="str">
        <f>'Raw Data Sales'!O505</f>
        <v>PayPal</v>
      </c>
    </row>
    <row r="506">
      <c r="A506" s="6">
        <f>'Raw Data Sales'!A506</f>
        <v>505</v>
      </c>
      <c r="B506" s="8">
        <f>IFERROR(__xludf.DUMMYFUNCTION("""COMPUTED_VALUE"""),44468.0)</f>
        <v>44468</v>
      </c>
      <c r="C506" s="6" t="str">
        <f>IFERROR(__xludf.DUMMYFUNCTION("UNIQUE('Raw Data Sales'!H506:H1504 &amp; "" "" &amp; 'Raw Data Sales'!I506:I1504)"),"Loren Form")</f>
        <v>Loren Form</v>
      </c>
      <c r="D506" s="6" t="str">
        <f>IFERROR(__xludf.DUMMYFUNCTION("""COMPUTED_VALUE"""),"Ramen Noodle Soup Cups")</f>
        <v>Ramen Noodle Soup Cups</v>
      </c>
      <c r="E506" s="6" t="str">
        <f>'Raw Data Sales'!F506</f>
        <v>Food - Snacks</v>
      </c>
      <c r="F506" s="6">
        <f>'Raw Data Sales'!M506</f>
        <v>2</v>
      </c>
      <c r="G506" s="6">
        <f>'Raw Data Sales'!N506</f>
        <v>893.11</v>
      </c>
      <c r="H506" s="6" t="str">
        <f>'Raw Data Sales'!O506</f>
        <v>Credit Card</v>
      </c>
    </row>
    <row r="507">
      <c r="A507" s="6">
        <f>'Raw Data Sales'!A507</f>
        <v>506</v>
      </c>
      <c r="B507" s="8">
        <f>IFERROR(__xludf.DUMMYFUNCTION("""COMPUTED_VALUE"""),44290.0)</f>
        <v>44290</v>
      </c>
      <c r="C507" s="6" t="str">
        <f>IFERROR(__xludf.DUMMYFUNCTION("UNIQUE('Raw Data Sales'!H507:H1505 &amp; "" "" &amp; 'Raw Data Sales'!I507:I1505)"),"Rhett Doman")</f>
        <v>Rhett Doman</v>
      </c>
      <c r="D507" s="6" t="str">
        <f>IFERROR(__xludf.DUMMYFUNCTION("""COMPUTED_VALUE"""),"Chili Beans (canned)")</f>
        <v>Chili Beans (canned)</v>
      </c>
      <c r="E507" s="6" t="str">
        <f>'Raw Data Sales'!F507</f>
        <v>Crafts</v>
      </c>
      <c r="F507" s="6">
        <f>'Raw Data Sales'!M507</f>
        <v>5</v>
      </c>
      <c r="G507" s="6">
        <f>'Raw Data Sales'!N507</f>
        <v>3080.63</v>
      </c>
      <c r="H507" s="6" t="str">
        <f>'Raw Data Sales'!O507</f>
        <v>Cash</v>
      </c>
    </row>
    <row r="508">
      <c r="A508" s="6">
        <f>'Raw Data Sales'!A508</f>
        <v>507</v>
      </c>
      <c r="B508" s="8">
        <f>IFERROR(__xludf.DUMMYFUNCTION("""COMPUTED_VALUE"""),43934.0)</f>
        <v>43934</v>
      </c>
      <c r="C508" s="6" t="str">
        <f>IFERROR(__xludf.DUMMYFUNCTION("UNIQUE('Raw Data Sales'!H508:H1506 &amp; "" "" &amp; 'Raw Data Sales'!I508:I1506)"),"Eadith Jackman")</f>
        <v>Eadith Jackman</v>
      </c>
      <c r="D508" s="6" t="str">
        <f>IFERROR(__xludf.DUMMYFUNCTION("""COMPUTED_VALUE"""),"Cinnamon Rolls")</f>
        <v>Cinnamon Rolls</v>
      </c>
      <c r="E508" s="6" t="str">
        <f>'Raw Data Sales'!F508</f>
        <v>Bathroom</v>
      </c>
      <c r="F508" s="6">
        <f>'Raw Data Sales'!M508</f>
        <v>93</v>
      </c>
      <c r="G508" s="6">
        <f>'Raw Data Sales'!N508</f>
        <v>8422.24</v>
      </c>
      <c r="H508" s="6" t="str">
        <f>'Raw Data Sales'!O508</f>
        <v>Credit Card</v>
      </c>
    </row>
    <row r="509">
      <c r="A509" s="6">
        <f>'Raw Data Sales'!A509</f>
        <v>508</v>
      </c>
      <c r="B509" s="8">
        <f>IFERROR(__xludf.DUMMYFUNCTION("""COMPUTED_VALUE"""),44423.0)</f>
        <v>44423</v>
      </c>
      <c r="C509" s="6" t="str">
        <f>IFERROR(__xludf.DUMMYFUNCTION("UNIQUE('Raw Data Sales'!H509:H1507 &amp; "" "" &amp; 'Raw Data Sales'!I509:I1507)"),"Letizia Valerius")</f>
        <v>Letizia Valerius</v>
      </c>
      <c r="D509" s="6" t="str">
        <f>IFERROR(__xludf.DUMMYFUNCTION("""COMPUTED_VALUE"""),"Pet Hair Vacuum Cleaner Attachment")</f>
        <v>Pet Hair Vacuum Cleaner Attachment</v>
      </c>
      <c r="E509" s="6" t="str">
        <f>'Raw Data Sales'!F509</f>
        <v>Office</v>
      </c>
      <c r="F509" s="6">
        <f>'Raw Data Sales'!M509</f>
        <v>81</v>
      </c>
      <c r="G509" s="6">
        <f>'Raw Data Sales'!N509</f>
        <v>5446.05</v>
      </c>
      <c r="H509" s="6" t="str">
        <f>'Raw Data Sales'!O509</f>
        <v>Cash</v>
      </c>
    </row>
    <row r="510">
      <c r="A510" s="6">
        <f>'Raw Data Sales'!A510</f>
        <v>509</v>
      </c>
      <c r="B510" s="8">
        <f>IFERROR(__xludf.DUMMYFUNCTION("""COMPUTED_VALUE"""),44421.0)</f>
        <v>44421</v>
      </c>
      <c r="C510" s="6" t="str">
        <f>IFERROR(__xludf.DUMMYFUNCTION("UNIQUE('Raw Data Sales'!H510:H1508 &amp; "" "" &amp; 'Raw Data Sales'!I510:I1508)"),"Maxy Eakly")</f>
        <v>Maxy Eakly</v>
      </c>
      <c r="D510" s="6" t="str">
        <f>IFERROR(__xludf.DUMMYFUNCTION("""COMPUTED_VALUE"""),"Multi-Layer Food Steamer")</f>
        <v>Multi-Layer Food Steamer</v>
      </c>
      <c r="E510" s="6" t="str">
        <f>'Raw Data Sales'!F510</f>
        <v>Food - Soups</v>
      </c>
      <c r="F510" s="6">
        <f>'Raw Data Sales'!M510</f>
        <v>75</v>
      </c>
      <c r="G510" s="6">
        <f>'Raw Data Sales'!N510</f>
        <v>1446.95</v>
      </c>
      <c r="H510" s="6" t="str">
        <f>'Raw Data Sales'!O510</f>
        <v>Credit Card</v>
      </c>
    </row>
    <row r="511">
      <c r="A511" s="6">
        <f>'Raw Data Sales'!A511</f>
        <v>510</v>
      </c>
      <c r="B511" s="8">
        <f>IFERROR(__xludf.DUMMYFUNCTION("""COMPUTED_VALUE"""),44060.0)</f>
        <v>44060</v>
      </c>
      <c r="C511" s="6" t="str">
        <f>IFERROR(__xludf.DUMMYFUNCTION("UNIQUE('Raw Data Sales'!H511:H1509 &amp; "" "" &amp; 'Raw Data Sales'!I511:I1509)"),"Levy Cowthart")</f>
        <v>Levy Cowthart</v>
      </c>
      <c r="D511" s="6" t="str">
        <f>IFERROR(__xludf.DUMMYFUNCTION("""COMPUTED_VALUE"""),"LED Makeup Mirror")</f>
        <v>LED Makeup Mirror</v>
      </c>
      <c r="E511" s="6" t="str">
        <f>'Raw Data Sales'!F511</f>
        <v>Food - Baking</v>
      </c>
      <c r="F511" s="6">
        <f>'Raw Data Sales'!M511</f>
        <v>89</v>
      </c>
      <c r="G511" s="6">
        <f>'Raw Data Sales'!N511</f>
        <v>6881.97</v>
      </c>
      <c r="H511" s="6" t="str">
        <f>'Raw Data Sales'!O511</f>
        <v>PayPal</v>
      </c>
    </row>
    <row r="512">
      <c r="A512" s="6">
        <f>'Raw Data Sales'!A512</f>
        <v>511</v>
      </c>
      <c r="B512" s="8">
        <f>IFERROR(__xludf.DUMMYFUNCTION("""COMPUTED_VALUE"""),44158.0)</f>
        <v>44158</v>
      </c>
      <c r="C512" s="6" t="str">
        <f>IFERROR(__xludf.DUMMYFUNCTION("UNIQUE('Raw Data Sales'!H512:H1510 &amp; "" "" &amp; 'Raw Data Sales'!I512:I1510)"),"Brittani Erickssen")</f>
        <v>Brittani Erickssen</v>
      </c>
      <c r="D512" s="6" t="str">
        <f>IFERROR(__xludf.DUMMYFUNCTION("""COMPUTED_VALUE"""),"Marinara Parmesan Baked Ziti")</f>
        <v>Marinara Parmesan Baked Ziti</v>
      </c>
      <c r="E512" s="6" t="str">
        <f>'Raw Data Sales'!F512</f>
        <v>Pets</v>
      </c>
      <c r="F512" s="6">
        <f>'Raw Data Sales'!M512</f>
        <v>6</v>
      </c>
      <c r="G512" s="6">
        <f>'Raw Data Sales'!N512</f>
        <v>2827.05</v>
      </c>
      <c r="H512" s="6" t="str">
        <f>'Raw Data Sales'!O512</f>
        <v>PayPal</v>
      </c>
    </row>
    <row r="513">
      <c r="A513" s="6">
        <f>'Raw Data Sales'!A513</f>
        <v>512</v>
      </c>
      <c r="B513" s="8">
        <f>IFERROR(__xludf.DUMMYFUNCTION("""COMPUTED_VALUE"""),44274.0)</f>
        <v>44274</v>
      </c>
      <c r="C513" s="6" t="str">
        <f>IFERROR(__xludf.DUMMYFUNCTION("UNIQUE('Raw Data Sales'!H513:H1511 &amp; "" "" &amp; 'Raw Data Sales'!I513:I1511)"),"Lynne Moring")</f>
        <v>Lynne Moring</v>
      </c>
      <c r="D513" s="6" t="str">
        <f>IFERROR(__xludf.DUMMYFUNCTION("""COMPUTED_VALUE"""),"Protein Powder")</f>
        <v>Protein Powder</v>
      </c>
      <c r="E513" s="6" t="str">
        <f>'Raw Data Sales'!F513</f>
        <v>Food - Breakfast</v>
      </c>
      <c r="F513" s="6">
        <f>'Raw Data Sales'!M513</f>
        <v>10</v>
      </c>
      <c r="G513" s="6">
        <f>'Raw Data Sales'!N513</f>
        <v>2568.94</v>
      </c>
      <c r="H513" s="6" t="str">
        <f>'Raw Data Sales'!O513</f>
        <v>PayPal</v>
      </c>
    </row>
    <row r="514">
      <c r="A514" s="6">
        <f>'Raw Data Sales'!A514</f>
        <v>513</v>
      </c>
      <c r="B514" s="8">
        <f>IFERROR(__xludf.DUMMYFUNCTION("""COMPUTED_VALUE"""),44007.0)</f>
        <v>44007</v>
      </c>
      <c r="C514" s="6" t="str">
        <f>IFERROR(__xludf.DUMMYFUNCTION("UNIQUE('Raw Data Sales'!H514:H1512 &amp; "" "" &amp; 'Raw Data Sales'!I514:I1512)"),"Christal Lorman")</f>
        <v>Christal Lorman</v>
      </c>
      <c r="D514" s="6" t="str">
        <f>IFERROR(__xludf.DUMMYFUNCTION("""COMPUTED_VALUE"""),"Mixed Nuts")</f>
        <v>Mixed Nuts</v>
      </c>
      <c r="E514" s="6" t="str">
        <f>'Raw Data Sales'!F514</f>
        <v>Food - Produce</v>
      </c>
      <c r="F514" s="6">
        <f>'Raw Data Sales'!M514</f>
        <v>25</v>
      </c>
      <c r="G514" s="6">
        <f>'Raw Data Sales'!N514</f>
        <v>6688.85</v>
      </c>
      <c r="H514" s="6" t="str">
        <f>'Raw Data Sales'!O514</f>
        <v>Cash</v>
      </c>
    </row>
    <row r="515">
      <c r="A515" s="6">
        <f>'Raw Data Sales'!A515</f>
        <v>514</v>
      </c>
      <c r="B515" s="8">
        <f>IFERROR(__xludf.DUMMYFUNCTION("""COMPUTED_VALUE"""),44235.0)</f>
        <v>44235</v>
      </c>
      <c r="C515" s="6" t="str">
        <f>IFERROR(__xludf.DUMMYFUNCTION("UNIQUE('Raw Data Sales'!H515:H1513 &amp; "" "" &amp; 'Raw Data Sales'!I515:I1513)"),"Ellynn Staning")</f>
        <v>Ellynn Staning</v>
      </c>
      <c r="D515" s="6" t="str">
        <f>IFERROR(__xludf.DUMMYFUNCTION("""COMPUTED_VALUE"""),"Wild Rice Pilaf")</f>
        <v>Wild Rice Pilaf</v>
      </c>
      <c r="E515" s="6" t="str">
        <f>'Raw Data Sales'!F515</f>
        <v>Food - Breakfast Foods</v>
      </c>
      <c r="F515" s="6">
        <f>'Raw Data Sales'!M515</f>
        <v>79</v>
      </c>
      <c r="G515" s="6">
        <f>'Raw Data Sales'!N515</f>
        <v>29.31</v>
      </c>
      <c r="H515" s="6" t="str">
        <f>'Raw Data Sales'!O515</f>
        <v>Cash</v>
      </c>
    </row>
    <row r="516">
      <c r="A516" s="6">
        <f>'Raw Data Sales'!A516</f>
        <v>515</v>
      </c>
      <c r="B516" s="8">
        <f>IFERROR(__xludf.DUMMYFUNCTION("""COMPUTED_VALUE"""),44370.0)</f>
        <v>44370</v>
      </c>
      <c r="C516" s="6" t="str">
        <f>IFERROR(__xludf.DUMMYFUNCTION("UNIQUE('Raw Data Sales'!H516:H1514 &amp; "" "" &amp; 'Raw Data Sales'!I516:I1514)"),"Timmy Sackey")</f>
        <v>Timmy Sackey</v>
      </c>
      <c r="D516" s="6" t="str">
        <f>IFERROR(__xludf.DUMMYFUNCTION("""COMPUTED_VALUE"""),"Peach Green Tea")</f>
        <v>Peach Green Tea</v>
      </c>
      <c r="E516" s="6" t="str">
        <f>'Raw Data Sales'!F516</f>
        <v>Kitchen</v>
      </c>
      <c r="F516" s="6">
        <f>'Raw Data Sales'!M516</f>
        <v>100</v>
      </c>
      <c r="G516" s="6">
        <f>'Raw Data Sales'!N516</f>
        <v>4720.58</v>
      </c>
      <c r="H516" s="6" t="str">
        <f>'Raw Data Sales'!O516</f>
        <v>PayPal</v>
      </c>
    </row>
    <row r="517">
      <c r="A517" s="6">
        <f>'Raw Data Sales'!A517</f>
        <v>516</v>
      </c>
      <c r="B517" s="8">
        <f>IFERROR(__xludf.DUMMYFUNCTION("""COMPUTED_VALUE"""),44233.0)</f>
        <v>44233</v>
      </c>
      <c r="C517" s="6" t="str">
        <f>IFERROR(__xludf.DUMMYFUNCTION("UNIQUE('Raw Data Sales'!H517:H1515 &amp; "" "" &amp; 'Raw Data Sales'!I517:I1515)"),"Nikita Coghill")</f>
        <v>Nikita Coghill</v>
      </c>
      <c r="D517" s="6" t="str">
        <f>IFERROR(__xludf.DUMMYFUNCTION("""COMPUTED_VALUE"""),"Blender Bottle")</f>
        <v>Blender Bottle</v>
      </c>
      <c r="E517" s="6" t="str">
        <f>'Raw Data Sales'!F517</f>
        <v>Home</v>
      </c>
      <c r="F517" s="6">
        <f>'Raw Data Sales'!M517</f>
        <v>83</v>
      </c>
      <c r="G517" s="6">
        <f>'Raw Data Sales'!N517</f>
        <v>319.62</v>
      </c>
      <c r="H517" s="6" t="str">
        <f>'Raw Data Sales'!O517</f>
        <v>PayPal</v>
      </c>
    </row>
    <row r="518">
      <c r="A518" s="6">
        <f>'Raw Data Sales'!A518</f>
        <v>517</v>
      </c>
      <c r="B518" s="8">
        <f>IFERROR(__xludf.DUMMYFUNCTION("""COMPUTED_VALUE"""),44193.0)</f>
        <v>44193</v>
      </c>
      <c r="C518" s="6" t="str">
        <f>IFERROR(__xludf.DUMMYFUNCTION("UNIQUE('Raw Data Sales'!H518:H1516 &amp; "" "" &amp; 'Raw Data Sales'!I518:I1516)"),"Jefferson Whiskin")</f>
        <v>Jefferson Whiskin</v>
      </c>
      <c r="D518" s="6" t="str">
        <f>IFERROR(__xludf.DUMMYFUNCTION("""COMPUTED_VALUE"""),"Artisan Bread Loaf")</f>
        <v>Artisan Bread Loaf</v>
      </c>
      <c r="E518" s="6" t="str">
        <f>'Raw Data Sales'!F518</f>
        <v>Food - Frozen Foods</v>
      </c>
      <c r="F518" s="6">
        <f>'Raw Data Sales'!M518</f>
        <v>53</v>
      </c>
      <c r="G518" s="6">
        <f>'Raw Data Sales'!N518</f>
        <v>8098</v>
      </c>
      <c r="H518" s="6" t="str">
        <f>'Raw Data Sales'!O518</f>
        <v>PayPal</v>
      </c>
    </row>
    <row r="519">
      <c r="A519" s="6">
        <f>'Raw Data Sales'!A519</f>
        <v>518</v>
      </c>
      <c r="B519" s="8">
        <f>IFERROR(__xludf.DUMMYFUNCTION("""COMPUTED_VALUE"""),44549.0)</f>
        <v>44549</v>
      </c>
      <c r="C519" s="6" t="str">
        <f>IFERROR(__xludf.DUMMYFUNCTION("UNIQUE('Raw Data Sales'!H519:H1517 &amp; "" "" &amp; 'Raw Data Sales'!I519:I1517)"),"Ermanno Bould")</f>
        <v>Ermanno Bould</v>
      </c>
      <c r="D519" s="6" t="str">
        <f>IFERROR(__xludf.DUMMYFUNCTION("""COMPUTED_VALUE"""),"Mango Sticky Rice Dessert")</f>
        <v>Mango Sticky Rice Dessert</v>
      </c>
      <c r="E519" s="6" t="str">
        <f>'Raw Data Sales'!F519</f>
        <v>Food - Snacks</v>
      </c>
      <c r="F519" s="6">
        <f>'Raw Data Sales'!M519</f>
        <v>92</v>
      </c>
      <c r="G519" s="6">
        <f>'Raw Data Sales'!N519</f>
        <v>2868.33</v>
      </c>
      <c r="H519" s="6" t="str">
        <f>'Raw Data Sales'!O519</f>
        <v>Cash</v>
      </c>
    </row>
    <row r="520">
      <c r="A520" s="6">
        <f>'Raw Data Sales'!A520</f>
        <v>519</v>
      </c>
      <c r="B520" s="8">
        <f>IFERROR(__xludf.DUMMYFUNCTION("""COMPUTED_VALUE"""),44529.0)</f>
        <v>44529</v>
      </c>
      <c r="C520" s="6" t="str">
        <f>IFERROR(__xludf.DUMMYFUNCTION("UNIQUE('Raw Data Sales'!H520:H1518 &amp; "" "" &amp; 'Raw Data Sales'!I520:I1518)"),"Jerrie Corde")</f>
        <v>Jerrie Corde</v>
      </c>
      <c r="D520" s="6" t="str">
        <f>IFERROR(__xludf.DUMMYFUNCTION("""COMPUTED_VALUE"""),"Honey Lemon Tea")</f>
        <v>Honey Lemon Tea</v>
      </c>
      <c r="E520" s="6" t="str">
        <f>'Raw Data Sales'!F520</f>
        <v>Food - Sides</v>
      </c>
      <c r="F520" s="6">
        <f>'Raw Data Sales'!M520</f>
        <v>84</v>
      </c>
      <c r="G520" s="6">
        <f>'Raw Data Sales'!N520</f>
        <v>1317.65</v>
      </c>
      <c r="H520" s="6" t="str">
        <f>'Raw Data Sales'!O520</f>
        <v>Cash</v>
      </c>
    </row>
    <row r="521">
      <c r="A521" s="6">
        <f>'Raw Data Sales'!A521</f>
        <v>520</v>
      </c>
      <c r="B521" s="8">
        <f>IFERROR(__xludf.DUMMYFUNCTION("""COMPUTED_VALUE"""),44523.0)</f>
        <v>44523</v>
      </c>
      <c r="C521" s="6" t="str">
        <f>IFERROR(__xludf.DUMMYFUNCTION("UNIQUE('Raw Data Sales'!H521:H1519 &amp; "" "" &amp; 'Raw Data Sales'!I521:I1519)"),"Kelcey Winchurch")</f>
        <v>Kelcey Winchurch</v>
      </c>
      <c r="D521" s="6" t="str">
        <f>IFERROR(__xludf.DUMMYFUNCTION("""COMPUTED_VALUE"""),"Electric Griddle")</f>
        <v>Electric Griddle</v>
      </c>
      <c r="E521" s="6" t="str">
        <f>'Raw Data Sales'!F521</f>
        <v>Food - Cereals</v>
      </c>
      <c r="F521" s="6">
        <f>'Raw Data Sales'!M521</f>
        <v>53</v>
      </c>
      <c r="G521" s="6">
        <f>'Raw Data Sales'!N521</f>
        <v>5476.38</v>
      </c>
      <c r="H521" s="6" t="str">
        <f>'Raw Data Sales'!O521</f>
        <v>Cash</v>
      </c>
    </row>
    <row r="522">
      <c r="A522" s="6">
        <f>'Raw Data Sales'!A522</f>
        <v>521</v>
      </c>
      <c r="B522" s="8">
        <f>IFERROR(__xludf.DUMMYFUNCTION("""COMPUTED_VALUE"""),44428.0)</f>
        <v>44428</v>
      </c>
      <c r="C522" s="6" t="str">
        <f>IFERROR(__xludf.DUMMYFUNCTION("UNIQUE('Raw Data Sales'!H522:H1520 &amp; "" "" &amp; 'Raw Data Sales'!I522:I1520)"),"Janela Tuther")</f>
        <v>Janela Tuther</v>
      </c>
      <c r="D522" s="6" t="str">
        <f>IFERROR(__xludf.DUMMYFUNCTION("""COMPUTED_VALUE"""),"Smartwatch")</f>
        <v>Smartwatch</v>
      </c>
      <c r="E522" s="6" t="str">
        <f>'Raw Data Sales'!F522</f>
        <v>Food - Snacks</v>
      </c>
      <c r="F522" s="6">
        <f>'Raw Data Sales'!M522</f>
        <v>54</v>
      </c>
      <c r="G522" s="6">
        <f>'Raw Data Sales'!N522</f>
        <v>9628.42</v>
      </c>
      <c r="H522" s="6" t="str">
        <f>'Raw Data Sales'!O522</f>
        <v>Cash</v>
      </c>
    </row>
    <row r="523">
      <c r="A523" s="6">
        <f>'Raw Data Sales'!A523</f>
        <v>522</v>
      </c>
      <c r="B523" s="8">
        <f>IFERROR(__xludf.DUMMYFUNCTION("""COMPUTED_VALUE"""),44041.0)</f>
        <v>44041</v>
      </c>
      <c r="C523" s="6" t="str">
        <f>IFERROR(__xludf.DUMMYFUNCTION("UNIQUE('Raw Data Sales'!H523:H1521 &amp; "" "" &amp; 'Raw Data Sales'!I523:I1521)"),"Prescott Counsell")</f>
        <v>Prescott Counsell</v>
      </c>
      <c r="D523" s="6" t="str">
        <f>IFERROR(__xludf.DUMMYFUNCTION("""COMPUTED_VALUE"""),"Almond Butter Cookies")</f>
        <v>Almond Butter Cookies</v>
      </c>
      <c r="E523" s="6" t="str">
        <f>'Raw Data Sales'!F523</f>
        <v>Fitness</v>
      </c>
      <c r="F523" s="6">
        <f>'Raw Data Sales'!M523</f>
        <v>30</v>
      </c>
      <c r="G523" s="6">
        <f>'Raw Data Sales'!N523</f>
        <v>6822.01</v>
      </c>
      <c r="H523" s="6" t="str">
        <f>'Raw Data Sales'!O523</f>
        <v>Credit Card</v>
      </c>
    </row>
    <row r="524">
      <c r="A524" s="6">
        <f>'Raw Data Sales'!A524</f>
        <v>523</v>
      </c>
      <c r="B524" s="8">
        <f>IFERROR(__xludf.DUMMYFUNCTION("""COMPUTED_VALUE"""),43923.0)</f>
        <v>43923</v>
      </c>
      <c r="C524" s="6" t="str">
        <f>IFERROR(__xludf.DUMMYFUNCTION("UNIQUE('Raw Data Sales'!H524:H1522 &amp; "" "" &amp; 'Raw Data Sales'!I524:I1522)"),"Sacha Earie")</f>
        <v>Sacha Earie</v>
      </c>
      <c r="D524" s="6" t="str">
        <f>IFERROR(__xludf.DUMMYFUNCTION("""COMPUTED_VALUE"""),"Kale Chips")</f>
        <v>Kale Chips</v>
      </c>
      <c r="E524" s="6" t="str">
        <f>'Raw Data Sales'!F524</f>
        <v>Food - Frozen Vegetables</v>
      </c>
      <c r="F524" s="6">
        <f>'Raw Data Sales'!M524</f>
        <v>85</v>
      </c>
      <c r="G524" s="6">
        <f>'Raw Data Sales'!N524</f>
        <v>9089.4</v>
      </c>
      <c r="H524" s="6" t="str">
        <f>'Raw Data Sales'!O524</f>
        <v>Credit Card</v>
      </c>
    </row>
    <row r="525">
      <c r="A525" s="6">
        <f>'Raw Data Sales'!A525</f>
        <v>524</v>
      </c>
      <c r="B525" s="8">
        <f>IFERROR(__xludf.DUMMYFUNCTION("""COMPUTED_VALUE"""),44099.0)</f>
        <v>44099</v>
      </c>
      <c r="C525" s="6" t="str">
        <f>IFERROR(__xludf.DUMMYFUNCTION("UNIQUE('Raw Data Sales'!H525:H1523 &amp; "" "" &amp; 'Raw Data Sales'!I525:I1523)"),"Evanne Haddock")</f>
        <v>Evanne Haddock</v>
      </c>
      <c r="D525" s="6" t="str">
        <f>IFERROR(__xludf.DUMMYFUNCTION("""COMPUTED_VALUE"""),"Solar String Lights")</f>
        <v>Solar String Lights</v>
      </c>
      <c r="E525" s="6" t="str">
        <f>'Raw Data Sales'!F525</f>
        <v>Audio</v>
      </c>
      <c r="F525" s="6">
        <f>'Raw Data Sales'!M525</f>
        <v>100</v>
      </c>
      <c r="G525" s="6">
        <f>'Raw Data Sales'!N525</f>
        <v>5270.47</v>
      </c>
      <c r="H525" s="6" t="str">
        <f>'Raw Data Sales'!O525</f>
        <v>PayPal</v>
      </c>
    </row>
    <row r="526">
      <c r="A526" s="6">
        <f>'Raw Data Sales'!A526</f>
        <v>525</v>
      </c>
      <c r="B526" s="8">
        <f>IFERROR(__xludf.DUMMYFUNCTION("""COMPUTED_VALUE"""),44553.0)</f>
        <v>44553</v>
      </c>
      <c r="C526" s="6" t="str">
        <f>IFERROR(__xludf.DUMMYFUNCTION("UNIQUE('Raw Data Sales'!H526:H1524 &amp; "" "" &amp; 'Raw Data Sales'!I526:I1524)"),"Mahmud Ronchi")</f>
        <v>Mahmud Ronchi</v>
      </c>
      <c r="D526" s="6" t="str">
        <f>IFERROR(__xludf.DUMMYFUNCTION("""COMPUTED_VALUE"""),"Lentil Soup")</f>
        <v>Lentil Soup</v>
      </c>
      <c r="E526" s="6" t="str">
        <f>'Raw Data Sales'!F526</f>
        <v>Food - Dressings</v>
      </c>
      <c r="F526" s="6">
        <f>'Raw Data Sales'!M526</f>
        <v>67</v>
      </c>
      <c r="G526" s="6">
        <f>'Raw Data Sales'!N526</f>
        <v>2170.3</v>
      </c>
      <c r="H526" s="6" t="str">
        <f>'Raw Data Sales'!O526</f>
        <v>PayPal</v>
      </c>
    </row>
    <row r="527">
      <c r="A527" s="6">
        <f>'Raw Data Sales'!A527</f>
        <v>526</v>
      </c>
      <c r="B527" s="8">
        <f>IFERROR(__xludf.DUMMYFUNCTION("""COMPUTED_VALUE"""),44025.0)</f>
        <v>44025</v>
      </c>
      <c r="C527" s="6" t="str">
        <f>IFERROR(__xludf.DUMMYFUNCTION("UNIQUE('Raw Data Sales'!H527:H1525 &amp; "" "" &amp; 'Raw Data Sales'!I527:I1525)"),"Inness Middleditch")</f>
        <v>Inness Middleditch</v>
      </c>
      <c r="D527" s="6" t="str">
        <f>IFERROR(__xludf.DUMMYFUNCTION("""COMPUTED_VALUE"""),"Home Cleaning Robot")</f>
        <v>Home Cleaning Robot</v>
      </c>
      <c r="E527" s="6" t="str">
        <f>'Raw Data Sales'!F527</f>
        <v>Pets</v>
      </c>
      <c r="F527" s="6">
        <f>'Raw Data Sales'!M527</f>
        <v>66</v>
      </c>
      <c r="G527" s="6">
        <f>'Raw Data Sales'!N527</f>
        <v>4202.71</v>
      </c>
      <c r="H527" s="6" t="str">
        <f>'Raw Data Sales'!O527</f>
        <v>Credit Card</v>
      </c>
    </row>
    <row r="528">
      <c r="A528" s="6">
        <f>'Raw Data Sales'!A528</f>
        <v>527</v>
      </c>
      <c r="B528" s="8">
        <f>IFERROR(__xludf.DUMMYFUNCTION("""COMPUTED_VALUE"""),44509.0)</f>
        <v>44509</v>
      </c>
      <c r="C528" s="6" t="str">
        <f>IFERROR(__xludf.DUMMYFUNCTION("UNIQUE('Raw Data Sales'!H528:H1526 &amp; "" "" &amp; 'Raw Data Sales'!I528:I1526)"),"Hedvige Daudray")</f>
        <v>Hedvige Daudray</v>
      </c>
      <c r="D528" s="6" t="str">
        <f>IFERROR(__xludf.DUMMYFUNCTION("""COMPUTED_VALUE"""),"Chipotle Lime Salsa")</f>
        <v>Chipotle Lime Salsa</v>
      </c>
      <c r="E528" s="6" t="str">
        <f>'Raw Data Sales'!F528</f>
        <v>Kitchen</v>
      </c>
      <c r="F528" s="6">
        <f>'Raw Data Sales'!M528</f>
        <v>18</v>
      </c>
      <c r="G528" s="6">
        <f>'Raw Data Sales'!N528</f>
        <v>3577.99</v>
      </c>
      <c r="H528" s="6" t="str">
        <f>'Raw Data Sales'!O528</f>
        <v>PayPal</v>
      </c>
    </row>
    <row r="529">
      <c r="A529" s="6">
        <f>'Raw Data Sales'!A529</f>
        <v>528</v>
      </c>
      <c r="B529" s="8">
        <f>IFERROR(__xludf.DUMMYFUNCTION("""COMPUTED_VALUE"""),44324.0)</f>
        <v>44324</v>
      </c>
      <c r="C529" s="6" t="str">
        <f>IFERROR(__xludf.DUMMYFUNCTION("UNIQUE('Raw Data Sales'!H529:H1527 &amp; "" "" &amp; 'Raw Data Sales'!I529:I1527)"),"Cornie Di Filippo")</f>
        <v>Cornie Di Filippo</v>
      </c>
      <c r="D529" s="6" t="str">
        <f>IFERROR(__xludf.DUMMYFUNCTION("""COMPUTED_VALUE"""),"Dark Chocolate Covered Raisins")</f>
        <v>Dark Chocolate Covered Raisins</v>
      </c>
      <c r="E529" s="6" t="str">
        <f>'Raw Data Sales'!F529</f>
        <v>Kitchen</v>
      </c>
      <c r="F529" s="6">
        <f>'Raw Data Sales'!M529</f>
        <v>72</v>
      </c>
      <c r="G529" s="6">
        <f>'Raw Data Sales'!N529</f>
        <v>6762.5</v>
      </c>
      <c r="H529" s="6" t="str">
        <f>'Raw Data Sales'!O529</f>
        <v>Credit Card</v>
      </c>
    </row>
    <row r="530">
      <c r="A530" s="6">
        <f>'Raw Data Sales'!A530</f>
        <v>529</v>
      </c>
      <c r="B530" s="8">
        <f>IFERROR(__xludf.DUMMYFUNCTION("""COMPUTED_VALUE"""),44238.0)</f>
        <v>44238</v>
      </c>
      <c r="C530" s="6" t="str">
        <f>IFERROR(__xludf.DUMMYFUNCTION("UNIQUE('Raw Data Sales'!H530:H1528 &amp; "" "" &amp; 'Raw Data Sales'!I530:I1528)"),"Fredelia Conant")</f>
        <v>Fredelia Conant</v>
      </c>
      <c r="D530" s="6" t="str">
        <f>IFERROR(__xludf.DUMMYFUNCTION("""COMPUTED_VALUE"""),"Cinnamon Spiced Almonds")</f>
        <v>Cinnamon Spiced Almonds</v>
      </c>
      <c r="E530" s="6" t="str">
        <f>'Raw Data Sales'!F530</f>
        <v>Clothing - Dresses</v>
      </c>
      <c r="F530" s="6">
        <f>'Raw Data Sales'!M530</f>
        <v>53</v>
      </c>
      <c r="G530" s="6">
        <f>'Raw Data Sales'!N530</f>
        <v>6300.19</v>
      </c>
      <c r="H530" s="6" t="str">
        <f>'Raw Data Sales'!O530</f>
        <v>Cash</v>
      </c>
    </row>
    <row r="531">
      <c r="A531" s="6">
        <f>'Raw Data Sales'!A531</f>
        <v>530</v>
      </c>
      <c r="B531" s="8">
        <f>IFERROR(__xludf.DUMMYFUNCTION("""COMPUTED_VALUE"""),44207.0)</f>
        <v>44207</v>
      </c>
      <c r="C531" s="6" t="str">
        <f>IFERROR(__xludf.DUMMYFUNCTION("UNIQUE('Raw Data Sales'!H531:H1529 &amp; "" "" &amp; 'Raw Data Sales'!I531:I1529)"),"Maure Cockin")</f>
        <v>Maure Cockin</v>
      </c>
      <c r="D531" s="6" t="str">
        <f>IFERROR(__xludf.DUMMYFUNCTION("""COMPUTED_VALUE"""),"Handmade Soap Making Kit")</f>
        <v>Handmade Soap Making Kit</v>
      </c>
      <c r="E531" s="6" t="str">
        <f>'Raw Data Sales'!F531</f>
        <v>Food - Condiments</v>
      </c>
      <c r="F531" s="6">
        <f>'Raw Data Sales'!M531</f>
        <v>86</v>
      </c>
      <c r="G531" s="6">
        <f>'Raw Data Sales'!N531</f>
        <v>7000.09</v>
      </c>
      <c r="H531" s="6" t="str">
        <f>'Raw Data Sales'!O531</f>
        <v>Credit Card</v>
      </c>
    </row>
    <row r="532">
      <c r="A532" s="6">
        <f>'Raw Data Sales'!A532</f>
        <v>531</v>
      </c>
      <c r="B532" s="8">
        <f>IFERROR(__xludf.DUMMYFUNCTION("""COMPUTED_VALUE"""),44047.0)</f>
        <v>44047</v>
      </c>
      <c r="C532" s="6" t="str">
        <f>IFERROR(__xludf.DUMMYFUNCTION("UNIQUE('Raw Data Sales'!H532:H1530 &amp; "" "" &amp; 'Raw Data Sales'!I532:I1530)"),"Trula Whitwell")</f>
        <v>Trula Whitwell</v>
      </c>
      <c r="D532" s="6" t="str">
        <f>IFERROR(__xludf.DUMMYFUNCTION("""COMPUTED_VALUE"""),"Almond Flour Biscuits")</f>
        <v>Almond Flour Biscuits</v>
      </c>
      <c r="E532" s="6" t="str">
        <f>'Raw Data Sales'!F532</f>
        <v>Home</v>
      </c>
      <c r="F532" s="6">
        <f>'Raw Data Sales'!M532</f>
        <v>63</v>
      </c>
      <c r="G532" s="6">
        <f>'Raw Data Sales'!N532</f>
        <v>751.32</v>
      </c>
      <c r="H532" s="6" t="str">
        <f>'Raw Data Sales'!O532</f>
        <v>PayPal</v>
      </c>
    </row>
    <row r="533">
      <c r="A533" s="6">
        <f>'Raw Data Sales'!A533</f>
        <v>532</v>
      </c>
      <c r="B533" s="8">
        <f>IFERROR(__xludf.DUMMYFUNCTION("""COMPUTED_VALUE"""),43943.0)</f>
        <v>43943</v>
      </c>
      <c r="C533" s="6" t="str">
        <f>IFERROR(__xludf.DUMMYFUNCTION("UNIQUE('Raw Data Sales'!H533:H1531 &amp; "" "" &amp; 'Raw Data Sales'!I533:I1531)"),"Jeni Foskett")</f>
        <v>Jeni Foskett</v>
      </c>
      <c r="D533" s="6" t="str">
        <f>IFERROR(__xludf.DUMMYFUNCTION("""COMPUTED_VALUE"""),"Brussels Sprouts")</f>
        <v>Brussels Sprouts</v>
      </c>
      <c r="E533" s="6" t="str">
        <f>'Raw Data Sales'!F533</f>
        <v>Food - Condiments</v>
      </c>
      <c r="F533" s="6">
        <f>'Raw Data Sales'!M533</f>
        <v>71</v>
      </c>
      <c r="G533" s="6">
        <f>'Raw Data Sales'!N533</f>
        <v>6252.49</v>
      </c>
      <c r="H533" s="6" t="str">
        <f>'Raw Data Sales'!O533</f>
        <v>Cash</v>
      </c>
    </row>
    <row r="534">
      <c r="A534" s="6">
        <f>'Raw Data Sales'!A534</f>
        <v>533</v>
      </c>
      <c r="B534" s="8">
        <f>IFERROR(__xludf.DUMMYFUNCTION("""COMPUTED_VALUE"""),44446.0)</f>
        <v>44446</v>
      </c>
      <c r="C534" s="6" t="str">
        <f>IFERROR(__xludf.DUMMYFUNCTION("UNIQUE('Raw Data Sales'!H534:H1532 &amp; "" "" &amp; 'Raw Data Sales'!I534:I1532)"),"Frederich Juett")</f>
        <v>Frederich Juett</v>
      </c>
      <c r="D534" s="6" t="str">
        <f>IFERROR(__xludf.DUMMYFUNCTION("""COMPUTED_VALUE"""),"Vegetable Spring Rolls")</f>
        <v>Vegetable Spring Rolls</v>
      </c>
      <c r="E534" s="6" t="str">
        <f>'Raw Data Sales'!F534</f>
        <v>Home</v>
      </c>
      <c r="F534" s="6">
        <f>'Raw Data Sales'!M534</f>
        <v>93</v>
      </c>
      <c r="G534" s="6">
        <f>'Raw Data Sales'!N534</f>
        <v>5183.16</v>
      </c>
      <c r="H534" s="6" t="str">
        <f>'Raw Data Sales'!O534</f>
        <v>Credit Card</v>
      </c>
    </row>
    <row r="535">
      <c r="A535" s="6">
        <f>'Raw Data Sales'!A535</f>
        <v>534</v>
      </c>
      <c r="B535" s="8">
        <f>IFERROR(__xludf.DUMMYFUNCTION("""COMPUTED_VALUE"""),44085.0)</f>
        <v>44085</v>
      </c>
      <c r="C535" s="6" t="str">
        <f>IFERROR(__xludf.DUMMYFUNCTION("UNIQUE('Raw Data Sales'!H535:H1533 &amp; "" "" &amp; 'Raw Data Sales'!I535:I1533)"),"Waite Blakeney")</f>
        <v>Waite Blakeney</v>
      </c>
      <c r="D535" s="6" t="str">
        <f>IFERROR(__xludf.DUMMYFUNCTION("""COMPUTED_VALUE"""),"Bike Helmet")</f>
        <v>Bike Helmet</v>
      </c>
      <c r="E535" s="6" t="str">
        <f>'Raw Data Sales'!F535</f>
        <v>Computers</v>
      </c>
      <c r="F535" s="6">
        <f>'Raw Data Sales'!M535</f>
        <v>25</v>
      </c>
      <c r="G535" s="6">
        <f>'Raw Data Sales'!N535</f>
        <v>7020.26</v>
      </c>
      <c r="H535" s="6" t="str">
        <f>'Raw Data Sales'!O535</f>
        <v>Cash</v>
      </c>
    </row>
    <row r="536">
      <c r="A536" s="6">
        <f>'Raw Data Sales'!A536</f>
        <v>535</v>
      </c>
      <c r="B536" s="8">
        <f>IFERROR(__xludf.DUMMYFUNCTION("""COMPUTED_VALUE"""),44006.0)</f>
        <v>44006</v>
      </c>
      <c r="C536" s="6" t="str">
        <f>IFERROR(__xludf.DUMMYFUNCTION("UNIQUE('Raw Data Sales'!H536:H1534 &amp; "" "" &amp; 'Raw Data Sales'!I536:I1534)"),"Friedrick Vanni")</f>
        <v>Friedrick Vanni</v>
      </c>
      <c r="D536" s="6" t="str">
        <f>IFERROR(__xludf.DUMMYFUNCTION("""COMPUTED_VALUE"""),"Over-Ear Headphones")</f>
        <v>Over-Ear Headphones</v>
      </c>
      <c r="E536" s="6" t="str">
        <f>'Raw Data Sales'!F536</f>
        <v>Outdoor</v>
      </c>
      <c r="F536" s="6">
        <f>'Raw Data Sales'!M536</f>
        <v>97</v>
      </c>
      <c r="G536" s="6">
        <f>'Raw Data Sales'!N536</f>
        <v>1561.11</v>
      </c>
      <c r="H536" s="6" t="str">
        <f>'Raw Data Sales'!O536</f>
        <v>Credit Card</v>
      </c>
    </row>
    <row r="537">
      <c r="A537" s="6">
        <f>'Raw Data Sales'!A537</f>
        <v>536</v>
      </c>
      <c r="B537" s="8">
        <f>IFERROR(__xludf.DUMMYFUNCTION("""COMPUTED_VALUE"""),44258.0)</f>
        <v>44258</v>
      </c>
      <c r="C537" s="6" t="str">
        <f>IFERROR(__xludf.DUMMYFUNCTION("UNIQUE('Raw Data Sales'!H537:H1535 &amp; "" "" &amp; 'Raw Data Sales'!I537:I1535)"),"Timothy Ciabatteri")</f>
        <v>Timothy Ciabatteri</v>
      </c>
      <c r="D537" s="6" t="str">
        <f>IFERROR(__xludf.DUMMYFUNCTION("""COMPUTED_VALUE"""),"Portable Phone Charger")</f>
        <v>Portable Phone Charger</v>
      </c>
      <c r="E537" s="6" t="str">
        <f>'Raw Data Sales'!F537</f>
        <v>Gaming</v>
      </c>
      <c r="F537" s="6">
        <f>'Raw Data Sales'!M537</f>
        <v>28</v>
      </c>
      <c r="G537" s="6">
        <f>'Raw Data Sales'!N537</f>
        <v>3176.95</v>
      </c>
      <c r="H537" s="6" t="str">
        <f>'Raw Data Sales'!O537</f>
        <v>PayPal</v>
      </c>
    </row>
    <row r="538">
      <c r="A538" s="6">
        <f>'Raw Data Sales'!A538</f>
        <v>537</v>
      </c>
      <c r="B538" s="8">
        <f>IFERROR(__xludf.DUMMYFUNCTION("""COMPUTED_VALUE"""),44406.0)</f>
        <v>44406</v>
      </c>
      <c r="C538" s="6" t="str">
        <f>IFERROR(__xludf.DUMMYFUNCTION("UNIQUE('Raw Data Sales'!H538:H1536 &amp; "" "" &amp; 'Raw Data Sales'!I538:I1536)"),"Remington Lavery")</f>
        <v>Remington Lavery</v>
      </c>
      <c r="D538" s="6" t="str">
        <f>IFERROR(__xludf.DUMMYFUNCTION("""COMPUTED_VALUE"""),"Chia Seed Pudding")</f>
        <v>Chia Seed Pudding</v>
      </c>
      <c r="E538" s="6" t="str">
        <f>'Raw Data Sales'!F538</f>
        <v>Fitness</v>
      </c>
      <c r="F538" s="6">
        <f>'Raw Data Sales'!M538</f>
        <v>99</v>
      </c>
      <c r="G538" s="6">
        <f>'Raw Data Sales'!N538</f>
        <v>6180.28</v>
      </c>
      <c r="H538" s="6" t="str">
        <f>'Raw Data Sales'!O538</f>
        <v>Credit Card</v>
      </c>
    </row>
    <row r="539">
      <c r="A539" s="6">
        <f>'Raw Data Sales'!A539</f>
        <v>538</v>
      </c>
      <c r="B539" s="8">
        <f>IFERROR(__xludf.DUMMYFUNCTION("""COMPUTED_VALUE"""),43996.0)</f>
        <v>43996</v>
      </c>
      <c r="C539" s="6" t="str">
        <f>IFERROR(__xludf.DUMMYFUNCTION("UNIQUE('Raw Data Sales'!H539:H1537 &amp; "" "" &amp; 'Raw Data Sales'!I539:I1537)"),"Muffin Lear")</f>
        <v>Muffin Lear</v>
      </c>
      <c r="D539" s="6" t="str">
        <f>IFERROR(__xludf.DUMMYFUNCTION("""COMPUTED_VALUE"""),"Sturdy Bookends")</f>
        <v>Sturdy Bookends</v>
      </c>
      <c r="E539" s="6" t="str">
        <f>'Raw Data Sales'!F539</f>
        <v>Food</v>
      </c>
      <c r="F539" s="6">
        <f>'Raw Data Sales'!M539</f>
        <v>25</v>
      </c>
      <c r="G539" s="6">
        <f>'Raw Data Sales'!N539</f>
        <v>3750.26</v>
      </c>
      <c r="H539" s="6" t="str">
        <f>'Raw Data Sales'!O539</f>
        <v>Credit Card</v>
      </c>
    </row>
    <row r="540">
      <c r="A540" s="6">
        <f>'Raw Data Sales'!A540</f>
        <v>539</v>
      </c>
      <c r="B540" s="8">
        <f>IFERROR(__xludf.DUMMYFUNCTION("""COMPUTED_VALUE"""),44228.0)</f>
        <v>44228</v>
      </c>
      <c r="C540" s="6" t="str">
        <f>IFERROR(__xludf.DUMMYFUNCTION("UNIQUE('Raw Data Sales'!H540:H1538 &amp; "" "" &amp; 'Raw Data Sales'!I540:I1538)"),"Kat Michal")</f>
        <v>Kat Michal</v>
      </c>
      <c r="D540" s="6" t="str">
        <f>IFERROR(__xludf.DUMMYFUNCTION("""COMPUTED_VALUE"""),"Peach Mango Smoothie Mix")</f>
        <v>Peach Mango Smoothie Mix</v>
      </c>
      <c r="E540" s="6" t="str">
        <f>'Raw Data Sales'!F540</f>
        <v>Food - Frozen Foods</v>
      </c>
      <c r="F540" s="6">
        <f>'Raw Data Sales'!M540</f>
        <v>97</v>
      </c>
      <c r="G540" s="6">
        <f>'Raw Data Sales'!N540</f>
        <v>4456.41</v>
      </c>
      <c r="H540" s="6" t="str">
        <f>'Raw Data Sales'!O540</f>
        <v>PayPal</v>
      </c>
    </row>
    <row r="541">
      <c r="A541" s="6">
        <f>'Raw Data Sales'!A541</f>
        <v>540</v>
      </c>
      <c r="B541" s="8">
        <f>IFERROR(__xludf.DUMMYFUNCTION("""COMPUTED_VALUE"""),44056.0)</f>
        <v>44056</v>
      </c>
      <c r="C541" s="6" t="str">
        <f>IFERROR(__xludf.DUMMYFUNCTION("UNIQUE('Raw Data Sales'!H541:H1539 &amp; "" "" &amp; 'Raw Data Sales'!I541:I1539)"),"Barny Scanlan")</f>
        <v>Barny Scanlan</v>
      </c>
      <c r="D541" s="6" t="str">
        <f>IFERROR(__xludf.DUMMYFUNCTION("""COMPUTED_VALUE"""),"Chili Con Carne Mix")</f>
        <v>Chili Con Carne Mix</v>
      </c>
      <c r="E541" s="6" t="str">
        <f>'Raw Data Sales'!F541</f>
        <v>Kitchen</v>
      </c>
      <c r="F541" s="6">
        <f>'Raw Data Sales'!M541</f>
        <v>50</v>
      </c>
      <c r="G541" s="6">
        <f>'Raw Data Sales'!N541</f>
        <v>1525.62</v>
      </c>
      <c r="H541" s="6" t="str">
        <f>'Raw Data Sales'!O541</f>
        <v>PayPal</v>
      </c>
    </row>
    <row r="542">
      <c r="A542" s="6">
        <f>'Raw Data Sales'!A542</f>
        <v>541</v>
      </c>
      <c r="B542" s="8">
        <f>IFERROR(__xludf.DUMMYFUNCTION("""COMPUTED_VALUE"""),44544.0)</f>
        <v>44544</v>
      </c>
      <c r="C542" s="6" t="str">
        <f>IFERROR(__xludf.DUMMYFUNCTION("UNIQUE('Raw Data Sales'!H542:H1540 &amp; "" "" &amp; 'Raw Data Sales'!I542:I1540)"),"Hyatt Cirlos")</f>
        <v>Hyatt Cirlos</v>
      </c>
      <c r="D542" s="6" t="str">
        <f>IFERROR(__xludf.DUMMYFUNCTION("""COMPUTED_VALUE"""),"Maple Pecan Granola")</f>
        <v>Maple Pecan Granola</v>
      </c>
      <c r="E542" s="6" t="str">
        <f>'Raw Data Sales'!F542</f>
        <v>Food - Pantry</v>
      </c>
      <c r="F542" s="6">
        <f>'Raw Data Sales'!M542</f>
        <v>30</v>
      </c>
      <c r="G542" s="6">
        <f>'Raw Data Sales'!N542</f>
        <v>6562.89</v>
      </c>
      <c r="H542" s="6" t="str">
        <f>'Raw Data Sales'!O542</f>
        <v>Cash</v>
      </c>
    </row>
    <row r="543">
      <c r="A543" s="6">
        <f>'Raw Data Sales'!A543</f>
        <v>542</v>
      </c>
      <c r="B543" s="8">
        <f>IFERROR(__xludf.DUMMYFUNCTION("""COMPUTED_VALUE"""),44366.0)</f>
        <v>44366</v>
      </c>
      <c r="C543" s="6" t="str">
        <f>IFERROR(__xludf.DUMMYFUNCTION("UNIQUE('Raw Data Sales'!H543:H1541 &amp; "" "" &amp; 'Raw Data Sales'!I543:I1541)"),"Alejoa Marchant")</f>
        <v>Alejoa Marchant</v>
      </c>
      <c r="D543" s="6" t="str">
        <f>IFERROR(__xludf.DUMMYFUNCTION("""COMPUTED_VALUE"""),"Smart Thermos")</f>
        <v>Smart Thermos</v>
      </c>
      <c r="E543" s="6" t="str">
        <f>'Raw Data Sales'!F543</f>
        <v>Toys</v>
      </c>
      <c r="F543" s="6">
        <f>'Raw Data Sales'!M543</f>
        <v>83</v>
      </c>
      <c r="G543" s="6">
        <f>'Raw Data Sales'!N543</f>
        <v>6894.24</v>
      </c>
      <c r="H543" s="6" t="str">
        <f>'Raw Data Sales'!O543</f>
        <v>Credit Card</v>
      </c>
    </row>
    <row r="544">
      <c r="A544" s="6">
        <f>'Raw Data Sales'!A544</f>
        <v>543</v>
      </c>
      <c r="B544" s="8">
        <f>IFERROR(__xludf.DUMMYFUNCTION("""COMPUTED_VALUE"""),44360.0)</f>
        <v>44360</v>
      </c>
      <c r="C544" s="6" t="str">
        <f>IFERROR(__xludf.DUMMYFUNCTION("UNIQUE('Raw Data Sales'!H544:H1542 &amp; "" "" &amp; 'Raw Data Sales'!I544:I1542)"),"Ilaire Ellick")</f>
        <v>Ilaire Ellick</v>
      </c>
      <c r="D544" s="6" t="str">
        <f>IFERROR(__xludf.DUMMYFUNCTION("""COMPUTED_VALUE"""),"Almond Flour Pizza Crust")</f>
        <v>Almond Flour Pizza Crust</v>
      </c>
      <c r="E544" s="6" t="str">
        <f>'Raw Data Sales'!F544</f>
        <v>Food - Snacks</v>
      </c>
      <c r="F544" s="6">
        <f>'Raw Data Sales'!M544</f>
        <v>77</v>
      </c>
      <c r="G544" s="6">
        <f>'Raw Data Sales'!N544</f>
        <v>9279.4</v>
      </c>
      <c r="H544" s="6" t="str">
        <f>'Raw Data Sales'!O544</f>
        <v>Cash</v>
      </c>
    </row>
    <row r="545">
      <c r="A545" s="6">
        <f>'Raw Data Sales'!A545</f>
        <v>544</v>
      </c>
      <c r="B545" s="8">
        <f>IFERROR(__xludf.DUMMYFUNCTION("""COMPUTED_VALUE"""),43986.0)</f>
        <v>43986</v>
      </c>
      <c r="C545" s="6" t="str">
        <f>IFERROR(__xludf.DUMMYFUNCTION("UNIQUE('Raw Data Sales'!H545:H1543 &amp; "" "" &amp; 'Raw Data Sales'!I545:I1543)"),"Abigael Crocetti")</f>
        <v>Abigael Crocetti</v>
      </c>
      <c r="D545" s="6" t="str">
        <f>IFERROR(__xludf.DUMMYFUNCTION("""COMPUTED_VALUE"""),"Board Game Storage")</f>
        <v>Board Game Storage</v>
      </c>
      <c r="E545" s="6" t="str">
        <f>'Raw Data Sales'!F545</f>
        <v>Pets</v>
      </c>
      <c r="F545" s="6">
        <f>'Raw Data Sales'!M545</f>
        <v>65</v>
      </c>
      <c r="G545" s="6">
        <f>'Raw Data Sales'!N545</f>
        <v>630.34</v>
      </c>
      <c r="H545" s="6" t="str">
        <f>'Raw Data Sales'!O545</f>
        <v>PayPal</v>
      </c>
    </row>
    <row r="546">
      <c r="A546" s="6">
        <f>'Raw Data Sales'!A546</f>
        <v>545</v>
      </c>
      <c r="D546" s="6" t="str">
        <f>IFERROR(__xludf.DUMMYFUNCTION("""COMPUTED_VALUE"""),"Pet Nail Clipper")</f>
        <v>Pet Nail Clipper</v>
      </c>
      <c r="E546" s="6" t="str">
        <f>'Raw Data Sales'!F546</f>
        <v>Health</v>
      </c>
      <c r="F546" s="6">
        <f>'Raw Data Sales'!M546</f>
        <v>66</v>
      </c>
      <c r="G546" s="6">
        <f>'Raw Data Sales'!N546</f>
        <v>1328.16</v>
      </c>
      <c r="H546" s="6" t="str">
        <f>'Raw Data Sales'!O546</f>
        <v>PayPal</v>
      </c>
    </row>
    <row r="547">
      <c r="A547" s="6">
        <f>'Raw Data Sales'!A547</f>
        <v>546</v>
      </c>
      <c r="D547" s="6" t="str">
        <f>IFERROR(__xludf.DUMMYFUNCTION("""COMPUTED_VALUE"""),"Adjustable Laptop Stand")</f>
        <v>Adjustable Laptop Stand</v>
      </c>
      <c r="E547" s="6" t="str">
        <f>'Raw Data Sales'!F547</f>
        <v>Food - Frozen Desserts</v>
      </c>
      <c r="F547" s="6">
        <f>'Raw Data Sales'!M547</f>
        <v>62</v>
      </c>
      <c r="G547" s="6">
        <f>'Raw Data Sales'!N547</f>
        <v>868.07</v>
      </c>
      <c r="H547" s="6" t="str">
        <f>'Raw Data Sales'!O547</f>
        <v>PayPal</v>
      </c>
    </row>
    <row r="548">
      <c r="A548" s="6">
        <f>'Raw Data Sales'!A548</f>
        <v>547</v>
      </c>
      <c r="D548" s="6" t="str">
        <f>IFERROR(__xludf.DUMMYFUNCTION("""COMPUTED_VALUE"""),"Floral Summer Dress")</f>
        <v>Floral Summer Dress</v>
      </c>
      <c r="E548" s="6" t="str">
        <f>'Raw Data Sales'!F548</f>
        <v>Home Security</v>
      </c>
      <c r="F548" s="6">
        <f>'Raw Data Sales'!M548</f>
        <v>45</v>
      </c>
      <c r="G548" s="6">
        <f>'Raw Data Sales'!N548</f>
        <v>1947.54</v>
      </c>
      <c r="H548" s="6" t="str">
        <f>'Raw Data Sales'!O548</f>
        <v>Cash</v>
      </c>
    </row>
    <row r="549">
      <c r="A549" s="6">
        <f>'Raw Data Sales'!A549</f>
        <v>548</v>
      </c>
      <c r="D549" s="6" t="str">
        <f>IFERROR(__xludf.DUMMYFUNCTION("""COMPUTED_VALUE"""),"Slingback Sandals")</f>
        <v>Slingback Sandals</v>
      </c>
      <c r="E549" s="6" t="str">
        <f>'Raw Data Sales'!F549</f>
        <v>Clothing - Tops</v>
      </c>
      <c r="F549" s="6">
        <f>'Raw Data Sales'!M549</f>
        <v>15</v>
      </c>
      <c r="G549" s="6">
        <f>'Raw Data Sales'!N549</f>
        <v>5108.12</v>
      </c>
      <c r="H549" s="6" t="str">
        <f>'Raw Data Sales'!O549</f>
        <v>Cash</v>
      </c>
    </row>
    <row r="550">
      <c r="A550" s="6">
        <f>'Raw Data Sales'!A550</f>
        <v>549</v>
      </c>
      <c r="D550" s="6" t="str">
        <f>IFERROR(__xludf.DUMMYFUNCTION("""COMPUTED_VALUE"""),"Skincare Set")</f>
        <v>Skincare Set</v>
      </c>
      <c r="E550" s="6" t="str">
        <f>'Raw Data Sales'!F550</f>
        <v>Clothing - Accessories</v>
      </c>
      <c r="F550" s="6">
        <f>'Raw Data Sales'!M550</f>
        <v>23</v>
      </c>
      <c r="G550" s="6">
        <f>'Raw Data Sales'!N550</f>
        <v>7807.18</v>
      </c>
      <c r="H550" s="6" t="str">
        <f>'Raw Data Sales'!O550</f>
        <v>Credit Card</v>
      </c>
    </row>
    <row r="551">
      <c r="A551" s="6">
        <f>'Raw Data Sales'!A551</f>
        <v>550</v>
      </c>
      <c r="D551" s="6" t="str">
        <f>IFERROR(__xludf.DUMMYFUNCTION("""COMPUTED_VALUE"""),"Garlic Butter Shrimp")</f>
        <v>Garlic Butter Shrimp</v>
      </c>
      <c r="E551" s="6" t="str">
        <f>'Raw Data Sales'!F551</f>
        <v>Garden</v>
      </c>
      <c r="F551" s="6">
        <f>'Raw Data Sales'!M551</f>
        <v>26</v>
      </c>
      <c r="G551" s="6">
        <f>'Raw Data Sales'!N551</f>
        <v>5526.81</v>
      </c>
      <c r="H551" s="6" t="str">
        <f>'Raw Data Sales'!O551</f>
        <v>Cash</v>
      </c>
    </row>
    <row r="552">
      <c r="A552" s="6">
        <f>'Raw Data Sales'!A552</f>
        <v>551</v>
      </c>
      <c r="D552" s="6" t="str">
        <f>IFERROR(__xludf.DUMMYFUNCTION("""COMPUTED_VALUE"""),"Wall-Mounted Bookshelf")</f>
        <v>Wall-Mounted Bookshelf</v>
      </c>
      <c r="E552" s="6" t="str">
        <f>'Raw Data Sales'!F552</f>
        <v>Food - Baking</v>
      </c>
      <c r="F552" s="6">
        <f>'Raw Data Sales'!M552</f>
        <v>86</v>
      </c>
      <c r="G552" s="6">
        <f>'Raw Data Sales'!N552</f>
        <v>8815.84</v>
      </c>
      <c r="H552" s="6" t="str">
        <f>'Raw Data Sales'!O552</f>
        <v>PayPal</v>
      </c>
    </row>
    <row r="553">
      <c r="A553" s="6">
        <f>'Raw Data Sales'!A553</f>
        <v>552</v>
      </c>
      <c r="D553" s="6" t="str">
        <f>IFERROR(__xludf.DUMMYFUNCTION("""COMPUTED_VALUE"""),"Pet Water Fountain")</f>
        <v>Pet Water Fountain</v>
      </c>
      <c r="E553" s="6" t="str">
        <f>'Raw Data Sales'!F553</f>
        <v>Kitchen</v>
      </c>
      <c r="F553" s="6">
        <f>'Raw Data Sales'!M553</f>
        <v>27</v>
      </c>
      <c r="G553" s="6">
        <f>'Raw Data Sales'!N553</f>
        <v>3564.55</v>
      </c>
      <c r="H553" s="6" t="str">
        <f>'Raw Data Sales'!O553</f>
        <v>PayPal</v>
      </c>
    </row>
    <row r="554">
      <c r="A554" s="6">
        <f>'Raw Data Sales'!A554</f>
        <v>553</v>
      </c>
      <c r="D554" s="6" t="str">
        <f>IFERROR(__xludf.DUMMYFUNCTION("""COMPUTED_VALUE"""),"LED Desk Lamp")</f>
        <v>LED Desk Lamp</v>
      </c>
      <c r="E554" s="6" t="str">
        <f>'Raw Data Sales'!F554</f>
        <v>Clothing - Pants</v>
      </c>
      <c r="F554" s="6">
        <f>'Raw Data Sales'!M554</f>
        <v>96</v>
      </c>
      <c r="G554" s="6">
        <f>'Raw Data Sales'!N554</f>
        <v>6780.81</v>
      </c>
      <c r="H554" s="6" t="str">
        <f>'Raw Data Sales'!O554</f>
        <v>Cash</v>
      </c>
    </row>
    <row r="555">
      <c r="A555" s="6">
        <f>'Raw Data Sales'!A555</f>
        <v>554</v>
      </c>
      <c r="D555" s="6" t="str">
        <f>IFERROR(__xludf.DUMMYFUNCTION("""COMPUTED_VALUE"""),"Fresh Lemons")</f>
        <v>Fresh Lemons</v>
      </c>
      <c r="E555" s="6" t="str">
        <f>'Raw Data Sales'!F555</f>
        <v>Health</v>
      </c>
      <c r="F555" s="6">
        <f>'Raw Data Sales'!M555</f>
        <v>64</v>
      </c>
      <c r="G555" s="6">
        <f>'Raw Data Sales'!N555</f>
        <v>7052.29</v>
      </c>
      <c r="H555" s="6" t="str">
        <f>'Raw Data Sales'!O555</f>
        <v>Credit Card</v>
      </c>
    </row>
    <row r="556">
      <c r="A556" s="6">
        <f>'Raw Data Sales'!A556</f>
        <v>555</v>
      </c>
      <c r="D556" s="6" t="str">
        <f>IFERROR(__xludf.DUMMYFUNCTION("""COMPUTED_VALUE"""),"Mint Chocolate Chip Ice Cream")</f>
        <v>Mint Chocolate Chip Ice Cream</v>
      </c>
      <c r="E556" s="6" t="str">
        <f>'Raw Data Sales'!F556</f>
        <v>Kitchen</v>
      </c>
      <c r="F556" s="6">
        <f>'Raw Data Sales'!M556</f>
        <v>14</v>
      </c>
      <c r="G556" s="6">
        <f>'Raw Data Sales'!N556</f>
        <v>1103.78</v>
      </c>
      <c r="H556" s="6" t="str">
        <f>'Raw Data Sales'!O556</f>
        <v>Cash</v>
      </c>
    </row>
    <row r="557">
      <c r="A557" s="6">
        <f>'Raw Data Sales'!A557</f>
        <v>556</v>
      </c>
      <c r="D557" s="6" t="str">
        <f>IFERROR(__xludf.DUMMYFUNCTION("""COMPUTED_VALUE"""),"Handheld Garment Steamer")</f>
        <v>Handheld Garment Steamer</v>
      </c>
      <c r="E557" s="6" t="str">
        <f>'Raw Data Sales'!F557</f>
        <v>Food - Dairy</v>
      </c>
      <c r="F557" s="6">
        <f>'Raw Data Sales'!M557</f>
        <v>87</v>
      </c>
      <c r="G557" s="6">
        <f>'Raw Data Sales'!N557</f>
        <v>8458.15</v>
      </c>
      <c r="H557" s="6" t="str">
        <f>'Raw Data Sales'!O557</f>
        <v>PayPal</v>
      </c>
    </row>
    <row r="558">
      <c r="A558" s="6">
        <f>'Raw Data Sales'!A558</f>
        <v>557</v>
      </c>
      <c r="D558" s="6" t="str">
        <f>IFERROR(__xludf.DUMMYFUNCTION("""COMPUTED_VALUE"""),"Portable UV Sterilizer")</f>
        <v>Portable UV Sterilizer</v>
      </c>
      <c r="E558" s="6" t="str">
        <f>'Raw Data Sales'!F558</f>
        <v>Food - Canned Goods</v>
      </c>
      <c r="F558" s="6">
        <f>'Raw Data Sales'!M558</f>
        <v>66</v>
      </c>
      <c r="G558" s="6">
        <f>'Raw Data Sales'!N558</f>
        <v>1442.17</v>
      </c>
      <c r="H558" s="6" t="str">
        <f>'Raw Data Sales'!O558</f>
        <v>Cash</v>
      </c>
    </row>
    <row r="559">
      <c r="A559" s="6">
        <f>'Raw Data Sales'!A559</f>
        <v>558</v>
      </c>
      <c r="D559" s="6" t="str">
        <f>IFERROR(__xludf.DUMMYFUNCTION("""COMPUTED_VALUE"""),"Tea Set with Infuser")</f>
        <v>Tea Set with Infuser</v>
      </c>
      <c r="E559" s="6" t="str">
        <f>'Raw Data Sales'!F559</f>
        <v>Food - Meat</v>
      </c>
      <c r="F559" s="6">
        <f>'Raw Data Sales'!M559</f>
        <v>29</v>
      </c>
      <c r="G559" s="6">
        <f>'Raw Data Sales'!N559</f>
        <v>1531.03</v>
      </c>
      <c r="H559" s="6" t="str">
        <f>'Raw Data Sales'!O559</f>
        <v>Credit Card</v>
      </c>
    </row>
    <row r="560">
      <c r="A560" s="6">
        <f>'Raw Data Sales'!A560</f>
        <v>559</v>
      </c>
      <c r="D560" s="6" t="str">
        <f>IFERROR(__xludf.DUMMYFUNCTION("""COMPUTED_VALUE"""),"Pet Activity Tracker")</f>
        <v>Pet Activity Tracker</v>
      </c>
      <c r="E560" s="6" t="str">
        <f>'Raw Data Sales'!F560</f>
        <v>Food - Sides</v>
      </c>
      <c r="F560" s="6">
        <f>'Raw Data Sales'!M560</f>
        <v>96</v>
      </c>
      <c r="G560" s="6">
        <f>'Raw Data Sales'!N560</f>
        <v>7981.74</v>
      </c>
      <c r="H560" s="6" t="str">
        <f>'Raw Data Sales'!O560</f>
        <v>PayPal</v>
      </c>
    </row>
    <row r="561">
      <c r="A561" s="6">
        <f>'Raw Data Sales'!A561</f>
        <v>560</v>
      </c>
      <c r="D561" s="6" t="str">
        <f>IFERROR(__xludf.DUMMYFUNCTION("""COMPUTED_VALUE"""),"Organic Granola")</f>
        <v>Organic Granola</v>
      </c>
      <c r="E561" s="6" t="str">
        <f>'Raw Data Sales'!F561</f>
        <v>Home</v>
      </c>
      <c r="F561" s="6">
        <f>'Raw Data Sales'!M561</f>
        <v>79</v>
      </c>
      <c r="G561" s="6">
        <f>'Raw Data Sales'!N561</f>
        <v>8784.73</v>
      </c>
      <c r="H561" s="6" t="str">
        <f>'Raw Data Sales'!O561</f>
        <v>Cash</v>
      </c>
    </row>
    <row r="562">
      <c r="A562" s="6">
        <f>'Raw Data Sales'!A562</f>
        <v>561</v>
      </c>
      <c r="D562" s="6" t="str">
        <f>IFERROR(__xludf.DUMMYFUNCTION("""COMPUTED_VALUE"""),"Beef Stroganoff Mix")</f>
        <v>Beef Stroganoff Mix</v>
      </c>
      <c r="E562" s="6" t="str">
        <f>'Raw Data Sales'!F562</f>
        <v>Food - Canned Soups</v>
      </c>
      <c r="F562" s="6">
        <f>'Raw Data Sales'!M562</f>
        <v>45</v>
      </c>
      <c r="G562" s="6">
        <f>'Raw Data Sales'!N562</f>
        <v>6357.75</v>
      </c>
      <c r="H562" s="6" t="str">
        <f>'Raw Data Sales'!O562</f>
        <v>Credit Card</v>
      </c>
    </row>
    <row r="563">
      <c r="A563" s="6">
        <f>'Raw Data Sales'!A563</f>
        <v>562</v>
      </c>
      <c r="D563" s="6" t="str">
        <f>IFERROR(__xludf.DUMMYFUNCTION("""COMPUTED_VALUE"""),"Digital Alarm Clock")</f>
        <v>Digital Alarm Clock</v>
      </c>
      <c r="E563" s="6" t="str">
        <f>'Raw Data Sales'!F563</f>
        <v>Gaming</v>
      </c>
      <c r="F563" s="6">
        <f>'Raw Data Sales'!M563</f>
        <v>15</v>
      </c>
      <c r="G563" s="6">
        <f>'Raw Data Sales'!N563</f>
        <v>3293.95</v>
      </c>
      <c r="H563" s="6" t="str">
        <f>'Raw Data Sales'!O563</f>
        <v>Cash</v>
      </c>
    </row>
    <row r="564">
      <c r="A564" s="6">
        <f>'Raw Data Sales'!A564</f>
        <v>563</v>
      </c>
      <c r="D564" s="6" t="str">
        <f>IFERROR(__xludf.DUMMYFUNCTION("""COMPUTED_VALUE"""),"Greek Feta Cheese")</f>
        <v>Greek Feta Cheese</v>
      </c>
      <c r="E564" s="6" t="str">
        <f>'Raw Data Sales'!F564</f>
        <v>Food - Meat</v>
      </c>
      <c r="F564" s="6">
        <f>'Raw Data Sales'!M564</f>
        <v>25</v>
      </c>
      <c r="G564" s="6">
        <f>'Raw Data Sales'!N564</f>
        <v>2904.11</v>
      </c>
      <c r="H564" s="6" t="str">
        <f>'Raw Data Sales'!O564</f>
        <v>Credit Card</v>
      </c>
    </row>
    <row r="565">
      <c r="A565" s="6">
        <f>'Raw Data Sales'!A565</f>
        <v>564</v>
      </c>
      <c r="D565" s="6" t="str">
        <f>IFERROR(__xludf.DUMMYFUNCTION("""COMPUTED_VALUE"""),"Graphic Sweatshirt")</f>
        <v>Graphic Sweatshirt</v>
      </c>
      <c r="E565" s="6" t="str">
        <f>'Raw Data Sales'!F565</f>
        <v>Pets</v>
      </c>
      <c r="F565" s="6">
        <f>'Raw Data Sales'!M565</f>
        <v>66</v>
      </c>
      <c r="G565" s="6">
        <f>'Raw Data Sales'!N565</f>
        <v>9187.61</v>
      </c>
      <c r="H565" s="6" t="str">
        <f>'Raw Data Sales'!O565</f>
        <v>Cash</v>
      </c>
    </row>
    <row r="566">
      <c r="A566" s="6">
        <f>'Raw Data Sales'!A566</f>
        <v>565</v>
      </c>
      <c r="D566" s="6" t="str">
        <f>IFERROR(__xludf.DUMMYFUNCTION("""COMPUTED_VALUE"""),"Fresh Basil")</f>
        <v>Fresh Basil</v>
      </c>
      <c r="E566" s="6" t="str">
        <f>'Raw Data Sales'!F566</f>
        <v>Food - Frozen Food</v>
      </c>
      <c r="F566" s="6">
        <f>'Raw Data Sales'!M566</f>
        <v>22</v>
      </c>
      <c r="G566" s="6">
        <f>'Raw Data Sales'!N566</f>
        <v>4089.31</v>
      </c>
      <c r="H566" s="6" t="str">
        <f>'Raw Data Sales'!O566</f>
        <v>Credit Card</v>
      </c>
    </row>
    <row r="567">
      <c r="A567" s="6">
        <f>'Raw Data Sales'!A567</f>
        <v>566</v>
      </c>
      <c r="D567" s="6" t="str">
        <f>IFERROR(__xludf.DUMMYFUNCTION("""COMPUTED_VALUE"""),"Leather Wallet")</f>
        <v>Leather Wallet</v>
      </c>
      <c r="E567" s="6" t="str">
        <f>'Raw Data Sales'!F567</f>
        <v>Kitchen</v>
      </c>
      <c r="F567" s="6">
        <f>'Raw Data Sales'!M567</f>
        <v>10</v>
      </c>
      <c r="G567" s="6">
        <f>'Raw Data Sales'!N567</f>
        <v>9521.13</v>
      </c>
      <c r="H567" s="6" t="str">
        <f>'Raw Data Sales'!O567</f>
        <v>PayPal</v>
      </c>
    </row>
    <row r="568">
      <c r="A568" s="6">
        <f>'Raw Data Sales'!A568</f>
        <v>567</v>
      </c>
      <c r="D568" s="6" t="str">
        <f>IFERROR(__xludf.DUMMYFUNCTION("""COMPUTED_VALUE"""),"Pet Safety Belt for Car")</f>
        <v>Pet Safety Belt for Car</v>
      </c>
      <c r="E568" s="6" t="str">
        <f>'Raw Data Sales'!F568</f>
        <v>Food - Nut Butters</v>
      </c>
      <c r="F568" s="6">
        <f>'Raw Data Sales'!M568</f>
        <v>85</v>
      </c>
      <c r="G568" s="6">
        <f>'Raw Data Sales'!N568</f>
        <v>4369.73</v>
      </c>
      <c r="H568" s="6" t="str">
        <f>'Raw Data Sales'!O568</f>
        <v>Cash</v>
      </c>
    </row>
    <row r="569">
      <c r="A569" s="6">
        <f>'Raw Data Sales'!A569</f>
        <v>568</v>
      </c>
      <c r="D569" s="6" t="str">
        <f>IFERROR(__xludf.DUMMYFUNCTION("""COMPUTED_VALUE"""),"Spicy Vegetable Sushi Rolls")</f>
        <v>Spicy Vegetable Sushi Rolls</v>
      </c>
      <c r="E569" s="6" t="str">
        <f>'Raw Data Sales'!F569</f>
        <v>Food - Breakfast</v>
      </c>
      <c r="F569" s="6">
        <f>'Raw Data Sales'!M569</f>
        <v>95</v>
      </c>
      <c r="G569" s="6">
        <f>'Raw Data Sales'!N569</f>
        <v>2681.84</v>
      </c>
      <c r="H569" s="6" t="str">
        <f>'Raw Data Sales'!O569</f>
        <v>Cash</v>
      </c>
    </row>
    <row r="570">
      <c r="A570" s="6">
        <f>'Raw Data Sales'!A570</f>
        <v>569</v>
      </c>
      <c r="D570" s="6" t="str">
        <f>IFERROR(__xludf.DUMMYFUNCTION("""COMPUTED_VALUE"""),"Beard Grooming Kit")</f>
        <v>Beard Grooming Kit</v>
      </c>
      <c r="E570" s="6" t="str">
        <f>'Raw Data Sales'!F570</f>
        <v>Food - Snacks</v>
      </c>
      <c r="F570" s="6">
        <f>'Raw Data Sales'!M570</f>
        <v>1</v>
      </c>
      <c r="G570" s="6">
        <f>'Raw Data Sales'!N570</f>
        <v>6052.16</v>
      </c>
      <c r="H570" s="6" t="str">
        <f>'Raw Data Sales'!O570</f>
        <v>Cash</v>
      </c>
    </row>
    <row r="571">
      <c r="A571" s="6">
        <f>'Raw Data Sales'!A571</f>
        <v>570</v>
      </c>
      <c r="D571" s="6" t="str">
        <f>IFERROR(__xludf.DUMMYFUNCTION("""COMPUTED_VALUE"""),"Portable Air Purifier")</f>
        <v>Portable Air Purifier</v>
      </c>
      <c r="E571" s="6" t="str">
        <f>'Raw Data Sales'!F571</f>
        <v>Garden</v>
      </c>
      <c r="F571" s="6">
        <f>'Raw Data Sales'!M571</f>
        <v>58</v>
      </c>
      <c r="G571" s="6">
        <f>'Raw Data Sales'!N571</f>
        <v>534.22</v>
      </c>
      <c r="H571" s="6" t="str">
        <f>'Raw Data Sales'!O571</f>
        <v>PayPal</v>
      </c>
    </row>
    <row r="572">
      <c r="A572" s="6">
        <f>'Raw Data Sales'!A572</f>
        <v>571</v>
      </c>
      <c r="D572" s="6" t="str">
        <f>IFERROR(__xludf.DUMMYFUNCTION("""COMPUTED_VALUE"""),"Luxury Yoga Mat")</f>
        <v>Luxury Yoga Mat</v>
      </c>
      <c r="E572" s="6" t="str">
        <f>'Raw Data Sales'!F572</f>
        <v>Photography</v>
      </c>
      <c r="F572" s="6">
        <f>'Raw Data Sales'!M572</f>
        <v>92</v>
      </c>
      <c r="G572" s="6">
        <f>'Raw Data Sales'!N572</f>
        <v>5598.12</v>
      </c>
      <c r="H572" s="6" t="str">
        <f>'Raw Data Sales'!O572</f>
        <v>Credit Card</v>
      </c>
    </row>
    <row r="573">
      <c r="A573" s="6">
        <f>'Raw Data Sales'!A573</f>
        <v>572</v>
      </c>
      <c r="D573" s="6" t="str">
        <f>IFERROR(__xludf.DUMMYFUNCTION("""COMPUTED_VALUE"""),"Dill Pickle Chips")</f>
        <v>Dill Pickle Chips</v>
      </c>
      <c r="E573" s="6" t="str">
        <f>'Raw Data Sales'!F573</f>
        <v>Food - Health/Protein</v>
      </c>
      <c r="F573" s="6">
        <f>'Raw Data Sales'!M573</f>
        <v>35</v>
      </c>
      <c r="G573" s="6">
        <f>'Raw Data Sales'!N573</f>
        <v>8053.69</v>
      </c>
      <c r="H573" s="6" t="str">
        <f>'Raw Data Sales'!O573</f>
        <v>Cash</v>
      </c>
    </row>
    <row r="574">
      <c r="A574" s="6">
        <f>'Raw Data Sales'!A574</f>
        <v>573</v>
      </c>
      <c r="D574" s="6" t="str">
        <f>IFERROR(__xludf.DUMMYFUNCTION("""COMPUTED_VALUE"""),"Sriracha Honey Glaze")</f>
        <v>Sriracha Honey Glaze</v>
      </c>
      <c r="E574" s="6" t="str">
        <f>'Raw Data Sales'!F574</f>
        <v>Food - Condiments</v>
      </c>
      <c r="F574" s="6">
        <f>'Raw Data Sales'!M574</f>
        <v>25</v>
      </c>
      <c r="G574" s="6">
        <f>'Raw Data Sales'!N574</f>
        <v>499.04</v>
      </c>
      <c r="H574" s="6" t="str">
        <f>'Raw Data Sales'!O574</f>
        <v>PayPal</v>
      </c>
    </row>
    <row r="575">
      <c r="A575" s="6">
        <f>'Raw Data Sales'!A575</f>
        <v>574</v>
      </c>
      <c r="D575" s="6" t="str">
        <f>IFERROR(__xludf.DUMMYFUNCTION("""COMPUTED_VALUE"""),"Handcrafted Wooden Jewelry Box")</f>
        <v>Handcrafted Wooden Jewelry Box</v>
      </c>
      <c r="E575" s="6" t="str">
        <f>'Raw Data Sales'!F575</f>
        <v>Food - Frozen Meals</v>
      </c>
      <c r="F575" s="6">
        <f>'Raw Data Sales'!M575</f>
        <v>29</v>
      </c>
      <c r="G575" s="6">
        <f>'Raw Data Sales'!N575</f>
        <v>751.99</v>
      </c>
      <c r="H575" s="6" t="str">
        <f>'Raw Data Sales'!O575</f>
        <v>Cash</v>
      </c>
    </row>
    <row r="576">
      <c r="A576" s="6">
        <f>'Raw Data Sales'!A576</f>
        <v>575</v>
      </c>
      <c r="D576" s="6" t="str">
        <f>IFERROR(__xludf.DUMMYFUNCTION("""COMPUTED_VALUE"""),"Dried Cranberries")</f>
        <v>Dried Cranberries</v>
      </c>
      <c r="E576" s="6" t="str">
        <f>'Raw Data Sales'!F576</f>
        <v>Food - Meat</v>
      </c>
      <c r="F576" s="6">
        <f>'Raw Data Sales'!M576</f>
        <v>93</v>
      </c>
      <c r="G576" s="6">
        <f>'Raw Data Sales'!N576</f>
        <v>5539.9</v>
      </c>
      <c r="H576" s="6" t="str">
        <f>'Raw Data Sales'!O576</f>
        <v>PayPal</v>
      </c>
    </row>
    <row r="577">
      <c r="A577" s="6">
        <f>'Raw Data Sales'!A577</f>
        <v>576</v>
      </c>
      <c r="D577" s="6" t="str">
        <f>IFERROR(__xludf.DUMMYFUNCTION("""COMPUTED_VALUE"""),"Non-Stick Grill Mat")</f>
        <v>Non-Stick Grill Mat</v>
      </c>
      <c r="E577" s="6" t="str">
        <f>'Raw Data Sales'!F577</f>
        <v>Kitchen</v>
      </c>
      <c r="F577" s="6">
        <f>'Raw Data Sales'!M577</f>
        <v>35</v>
      </c>
      <c r="G577" s="6">
        <f>'Raw Data Sales'!N577</f>
        <v>9114.16</v>
      </c>
      <c r="H577" s="6" t="str">
        <f>'Raw Data Sales'!O577</f>
        <v>PayPal</v>
      </c>
    </row>
    <row r="578">
      <c r="A578" s="6">
        <f>'Raw Data Sales'!A578</f>
        <v>577</v>
      </c>
      <c r="D578" s="6" t="str">
        <f>IFERROR(__xludf.DUMMYFUNCTION("""COMPUTED_VALUE"""),"Carrot and Celery Sticks")</f>
        <v>Carrot and Celery Sticks</v>
      </c>
      <c r="E578" s="6" t="str">
        <f>'Raw Data Sales'!F578</f>
        <v>Food - Snacks</v>
      </c>
      <c r="F578" s="6">
        <f>'Raw Data Sales'!M578</f>
        <v>71</v>
      </c>
      <c r="G578" s="6">
        <f>'Raw Data Sales'!N578</f>
        <v>6160.55</v>
      </c>
      <c r="H578" s="6" t="str">
        <f>'Raw Data Sales'!O578</f>
        <v>Credit Card</v>
      </c>
    </row>
    <row r="579">
      <c r="A579" s="6">
        <f>'Raw Data Sales'!A579</f>
        <v>578</v>
      </c>
      <c r="D579" s="6" t="str">
        <f>IFERROR(__xludf.DUMMYFUNCTION("""COMPUTED_VALUE"""),"Oven-Baked Potato Chips")</f>
        <v>Oven-Baked Potato Chips</v>
      </c>
      <c r="E579" s="6" t="str">
        <f>'Raw Data Sales'!F579</f>
        <v>Food - Soups</v>
      </c>
      <c r="F579" s="6">
        <f>'Raw Data Sales'!M579</f>
        <v>80</v>
      </c>
      <c r="G579" s="6">
        <f>'Raw Data Sales'!N579</f>
        <v>5634.15</v>
      </c>
      <c r="H579" s="6" t="str">
        <f>'Raw Data Sales'!O579</f>
        <v>Cash</v>
      </c>
    </row>
    <row r="580">
      <c r="A580" s="6">
        <f>'Raw Data Sales'!A580</f>
        <v>579</v>
      </c>
      <c r="D580" s="6" t="str">
        <f>IFERROR(__xludf.DUMMYFUNCTION("""COMPUTED_VALUE"""),"Maple Bacon Popcorn")</f>
        <v>Maple Bacon Popcorn</v>
      </c>
      <c r="E580" s="6" t="str">
        <f>'Raw Data Sales'!F580</f>
        <v>Smart Home</v>
      </c>
      <c r="F580" s="6">
        <f>'Raw Data Sales'!M580</f>
        <v>17</v>
      </c>
      <c r="G580" s="6">
        <f>'Raw Data Sales'!N580</f>
        <v>7181.86</v>
      </c>
      <c r="H580" s="6" t="str">
        <f>'Raw Data Sales'!O580</f>
        <v>PayPal</v>
      </c>
    </row>
    <row r="581">
      <c r="A581" s="6">
        <f>'Raw Data Sales'!A581</f>
        <v>580</v>
      </c>
      <c r="D581" s="6" t="str">
        <f>IFERROR(__xludf.DUMMYFUNCTION("""COMPUTED_VALUE"""),"Wireless Range Extender")</f>
        <v>Wireless Range Extender</v>
      </c>
      <c r="E581" s="6" t="str">
        <f>'Raw Data Sales'!F581</f>
        <v>Food - Bakery</v>
      </c>
      <c r="F581" s="6">
        <f>'Raw Data Sales'!M581</f>
        <v>33</v>
      </c>
      <c r="G581" s="6">
        <f>'Raw Data Sales'!N581</f>
        <v>8782.43</v>
      </c>
      <c r="H581" s="6" t="str">
        <f>'Raw Data Sales'!O581</f>
        <v>Credit Card</v>
      </c>
    </row>
    <row r="582">
      <c r="A582" s="6">
        <f>'Raw Data Sales'!A582</f>
        <v>581</v>
      </c>
      <c r="D582" s="6" t="str">
        <f>IFERROR(__xludf.DUMMYFUNCTION("""COMPUTED_VALUE"""),"French Onion Dip")</f>
        <v>French Onion Dip</v>
      </c>
      <c r="E582" s="6" t="str">
        <f>'Raw Data Sales'!F582</f>
        <v>Food</v>
      </c>
      <c r="F582" s="6">
        <f>'Raw Data Sales'!M582</f>
        <v>91</v>
      </c>
      <c r="G582" s="6">
        <f>'Raw Data Sales'!N582</f>
        <v>6277.76</v>
      </c>
      <c r="H582" s="6" t="str">
        <f>'Raw Data Sales'!O582</f>
        <v>Credit Card</v>
      </c>
    </row>
    <row r="583">
      <c r="A583" s="6">
        <f>'Raw Data Sales'!A583</f>
        <v>582</v>
      </c>
      <c r="D583" s="6" t="str">
        <f>IFERROR(__xludf.DUMMYFUNCTION("""COMPUTED_VALUE"""),"Pistachios")</f>
        <v>Pistachios</v>
      </c>
      <c r="E583" s="6" t="str">
        <f>'Raw Data Sales'!F583</f>
        <v>Food - Condiments</v>
      </c>
      <c r="F583" s="6">
        <f>'Raw Data Sales'!M583</f>
        <v>58</v>
      </c>
      <c r="G583" s="6">
        <f>'Raw Data Sales'!N583</f>
        <v>1882.91</v>
      </c>
      <c r="H583" s="6" t="str">
        <f>'Raw Data Sales'!O583</f>
        <v>Cash</v>
      </c>
    </row>
    <row r="584">
      <c r="A584" s="6">
        <f>'Raw Data Sales'!A584</f>
        <v>583</v>
      </c>
      <c r="D584" s="6" t="str">
        <f>IFERROR(__xludf.DUMMYFUNCTION("""COMPUTED_VALUE"""),"Sliced Cheese")</f>
        <v>Sliced Cheese</v>
      </c>
      <c r="E584" s="6" t="str">
        <f>'Raw Data Sales'!F584</f>
        <v>Food - Frozen Desserts</v>
      </c>
      <c r="F584" s="6">
        <f>'Raw Data Sales'!M584</f>
        <v>94</v>
      </c>
      <c r="G584" s="6">
        <f>'Raw Data Sales'!N584</f>
        <v>6843.59</v>
      </c>
      <c r="H584" s="6" t="str">
        <f>'Raw Data Sales'!O584</f>
        <v>Cash</v>
      </c>
    </row>
    <row r="585">
      <c r="A585" s="6">
        <f>'Raw Data Sales'!A585</f>
        <v>584</v>
      </c>
      <c r="D585" s="6" t="str">
        <f>IFERROR(__xludf.DUMMYFUNCTION("""COMPUTED_VALUE"""),"Garlic Parmesan Roasted Nuts")</f>
        <v>Garlic Parmesan Roasted Nuts</v>
      </c>
      <c r="E585" s="6" t="str">
        <f>'Raw Data Sales'!F585</f>
        <v>Travel</v>
      </c>
      <c r="F585" s="6">
        <f>'Raw Data Sales'!M585</f>
        <v>82</v>
      </c>
      <c r="G585" s="6">
        <f>'Raw Data Sales'!N585</f>
        <v>8007.17</v>
      </c>
      <c r="H585" s="6" t="str">
        <f>'Raw Data Sales'!O585</f>
        <v>PayPal</v>
      </c>
    </row>
    <row r="586">
      <c r="A586" s="6">
        <f>'Raw Data Sales'!A586</f>
        <v>585</v>
      </c>
      <c r="D586" s="6" t="str">
        <f>IFERROR(__xludf.DUMMYFUNCTION("""COMPUTED_VALUE"""),"LED Table Lamp")</f>
        <v>LED Table Lamp</v>
      </c>
      <c r="E586" s="6" t="str">
        <f>'Raw Data Sales'!F586</f>
        <v>Food - Prepared Meals</v>
      </c>
      <c r="F586" s="6">
        <f>'Raw Data Sales'!M586</f>
        <v>65</v>
      </c>
      <c r="G586" s="6">
        <f>'Raw Data Sales'!N586</f>
        <v>5159.43</v>
      </c>
      <c r="H586" s="6" t="str">
        <f>'Raw Data Sales'!O586</f>
        <v>Cash</v>
      </c>
    </row>
    <row r="587">
      <c r="A587" s="6">
        <f>'Raw Data Sales'!A587</f>
        <v>586</v>
      </c>
      <c r="D587" s="6" t="str">
        <f>IFERROR(__xludf.DUMMYFUNCTION("""COMPUTED_VALUE"""),"Electric Fondue Pot")</f>
        <v>Electric Fondue Pot</v>
      </c>
      <c r="E587" s="6" t="str">
        <f>'Raw Data Sales'!F587</f>
        <v>Food - Canned Goods</v>
      </c>
      <c r="F587" s="6">
        <f>'Raw Data Sales'!M587</f>
        <v>14</v>
      </c>
      <c r="G587" s="6">
        <f>'Raw Data Sales'!N587</f>
        <v>4955.57</v>
      </c>
      <c r="H587" s="6" t="str">
        <f>'Raw Data Sales'!O587</f>
        <v>PayPal</v>
      </c>
    </row>
    <row r="588">
      <c r="A588" s="6">
        <f>'Raw Data Sales'!A588</f>
        <v>587</v>
      </c>
      <c r="D588" s="6" t="str">
        <f>IFERROR(__xludf.DUMMYFUNCTION("""COMPUTED_VALUE"""),"Basil Pesto Pasta")</f>
        <v>Basil Pesto Pasta</v>
      </c>
      <c r="E588" s="6" t="str">
        <f>'Raw Data Sales'!F588</f>
        <v>Clothing</v>
      </c>
      <c r="F588" s="6">
        <f>'Raw Data Sales'!M588</f>
        <v>66</v>
      </c>
      <c r="G588" s="6">
        <f>'Raw Data Sales'!N588</f>
        <v>5008.29</v>
      </c>
      <c r="H588" s="6" t="str">
        <f>'Raw Data Sales'!O588</f>
        <v>PayPal</v>
      </c>
    </row>
    <row r="589">
      <c r="A589" s="6">
        <f>'Raw Data Sales'!A589</f>
        <v>588</v>
      </c>
      <c r="D589" s="6" t="str">
        <f>IFERROR(__xludf.DUMMYFUNCTION("""COMPUTED_VALUE"""),"Apple Cinnamon Instant Oatmeal")</f>
        <v>Apple Cinnamon Instant Oatmeal</v>
      </c>
      <c r="E589" s="6" t="str">
        <f>'Raw Data Sales'!F589</f>
        <v>Food - Bakery</v>
      </c>
      <c r="F589" s="6">
        <f>'Raw Data Sales'!M589</f>
        <v>97</v>
      </c>
      <c r="G589" s="6">
        <f>'Raw Data Sales'!N589</f>
        <v>8570.91</v>
      </c>
      <c r="H589" s="6" t="str">
        <f>'Raw Data Sales'!O589</f>
        <v>PayPal</v>
      </c>
    </row>
    <row r="590">
      <c r="A590" s="6">
        <f>'Raw Data Sales'!A590</f>
        <v>589</v>
      </c>
      <c r="D590" s="6" t="str">
        <f>IFERROR(__xludf.DUMMYFUNCTION("""COMPUTED_VALUE"""),"Mashed Sweet Potatoes")</f>
        <v>Mashed Sweet Potatoes</v>
      </c>
      <c r="E590" s="6" t="str">
        <f>'Raw Data Sales'!F590</f>
        <v>Food - Spreads</v>
      </c>
      <c r="F590" s="6">
        <f>'Raw Data Sales'!M590</f>
        <v>3</v>
      </c>
      <c r="G590" s="6">
        <f>'Raw Data Sales'!N590</f>
        <v>161.97</v>
      </c>
      <c r="H590" s="6" t="str">
        <f>'Raw Data Sales'!O590</f>
        <v>Credit Card</v>
      </c>
    </row>
    <row r="591">
      <c r="A591" s="6">
        <f>'Raw Data Sales'!A591</f>
        <v>590</v>
      </c>
      <c r="D591" s="6" t="str">
        <f>IFERROR(__xludf.DUMMYFUNCTION("""COMPUTED_VALUE"""),"Organic Brown Rice Cakes")</f>
        <v>Organic Brown Rice Cakes</v>
      </c>
      <c r="E591" s="6" t="str">
        <f>'Raw Data Sales'!F591</f>
        <v>Pets</v>
      </c>
      <c r="F591" s="6">
        <f>'Raw Data Sales'!M591</f>
        <v>16</v>
      </c>
      <c r="G591" s="6">
        <f>'Raw Data Sales'!N591</f>
        <v>2409.49</v>
      </c>
      <c r="H591" s="6" t="str">
        <f>'Raw Data Sales'!O591</f>
        <v>Cash</v>
      </c>
    </row>
    <row r="592">
      <c r="A592" s="6">
        <f>'Raw Data Sales'!A592</f>
        <v>591</v>
      </c>
      <c r="D592" s="6" t="str">
        <f>IFERROR(__xludf.DUMMYFUNCTION("""COMPUTED_VALUE"""),"LED Under Cabinet Lighting")</f>
        <v>LED Under Cabinet Lighting</v>
      </c>
      <c r="E592" s="6" t="str">
        <f>'Raw Data Sales'!F592</f>
        <v>Food - Beverages</v>
      </c>
      <c r="F592" s="6">
        <f>'Raw Data Sales'!M592</f>
        <v>46</v>
      </c>
      <c r="G592" s="6">
        <f>'Raw Data Sales'!N592</f>
        <v>6917.34</v>
      </c>
      <c r="H592" s="6" t="str">
        <f>'Raw Data Sales'!O592</f>
        <v>PayPal</v>
      </c>
    </row>
    <row r="593">
      <c r="A593" s="6">
        <f>'Raw Data Sales'!A593</f>
        <v>592</v>
      </c>
      <c r="D593" s="6" t="str">
        <f>IFERROR(__xludf.DUMMYFUNCTION("""COMPUTED_VALUE"""),"Garlic Butter Sauce")</f>
        <v>Garlic Butter Sauce</v>
      </c>
      <c r="E593" s="6" t="str">
        <f>'Raw Data Sales'!F593</f>
        <v>Kitchen</v>
      </c>
      <c r="F593" s="6">
        <f>'Raw Data Sales'!M593</f>
        <v>80</v>
      </c>
      <c r="G593" s="6">
        <f>'Raw Data Sales'!N593</f>
        <v>7508.16</v>
      </c>
      <c r="H593" s="6" t="str">
        <f>'Raw Data Sales'!O593</f>
        <v>Credit Card</v>
      </c>
    </row>
    <row r="594">
      <c r="A594" s="6">
        <f>'Raw Data Sales'!A594</f>
        <v>593</v>
      </c>
      <c r="D594" s="6" t="str">
        <f>IFERROR(__xludf.DUMMYFUNCTION("""COMPUTED_VALUE"""),"Pineapple Coconut Bars")</f>
        <v>Pineapple Coconut Bars</v>
      </c>
      <c r="E594" s="6" t="str">
        <f>'Raw Data Sales'!F594</f>
        <v>Beauty</v>
      </c>
      <c r="F594" s="6">
        <f>'Raw Data Sales'!M594</f>
        <v>89</v>
      </c>
      <c r="G594" s="6">
        <f>'Raw Data Sales'!N594</f>
        <v>5376.34</v>
      </c>
      <c r="H594" s="6" t="str">
        <f>'Raw Data Sales'!O594</f>
        <v>Credit Card</v>
      </c>
    </row>
    <row r="595">
      <c r="A595" s="6">
        <f>'Raw Data Sales'!A595</f>
        <v>594</v>
      </c>
      <c r="D595" s="6" t="str">
        <f>IFERROR(__xludf.DUMMYFUNCTION("""COMPUTED_VALUE"""),"LED Desk Light")</f>
        <v>LED Desk Light</v>
      </c>
      <c r="E595" s="6" t="str">
        <f>'Raw Data Sales'!F595</f>
        <v>Food - Grains</v>
      </c>
      <c r="F595" s="6">
        <f>'Raw Data Sales'!M595</f>
        <v>14</v>
      </c>
      <c r="G595" s="6">
        <f>'Raw Data Sales'!N595</f>
        <v>1596.52</v>
      </c>
      <c r="H595" s="6" t="str">
        <f>'Raw Data Sales'!O595</f>
        <v>PayPal</v>
      </c>
    </row>
    <row r="596">
      <c r="A596" s="6">
        <f>'Raw Data Sales'!A596</f>
        <v>595</v>
      </c>
      <c r="D596" s="6" t="str">
        <f>IFERROR(__xludf.DUMMYFUNCTION("""COMPUTED_VALUE"""),"Casual Long Cardigan")</f>
        <v>Casual Long Cardigan</v>
      </c>
      <c r="E596" s="6" t="str">
        <f>'Raw Data Sales'!F596</f>
        <v>Food - Frozen Meals</v>
      </c>
      <c r="F596" s="6">
        <f>'Raw Data Sales'!M596</f>
        <v>40</v>
      </c>
      <c r="G596" s="6">
        <f>'Raw Data Sales'!N596</f>
        <v>4889.83</v>
      </c>
      <c r="H596" s="6" t="str">
        <f>'Raw Data Sales'!O596</f>
        <v>PayPal</v>
      </c>
    </row>
    <row r="597">
      <c r="A597" s="6">
        <f>'Raw Data Sales'!A597</f>
        <v>596</v>
      </c>
      <c r="D597" s="6" t="str">
        <f>IFERROR(__xludf.DUMMYFUNCTION("""COMPUTED_VALUE"""),"Coconut Chips")</f>
        <v>Coconut Chips</v>
      </c>
      <c r="E597" s="6" t="str">
        <f>'Raw Data Sales'!F597</f>
        <v>Fitness</v>
      </c>
      <c r="F597" s="6">
        <f>'Raw Data Sales'!M597</f>
        <v>21</v>
      </c>
      <c r="G597" s="6">
        <f>'Raw Data Sales'!N597</f>
        <v>8696.23</v>
      </c>
      <c r="H597" s="6" t="str">
        <f>'Raw Data Sales'!O597</f>
        <v>Cash</v>
      </c>
    </row>
    <row r="598">
      <c r="A598" s="6">
        <f>'Raw Data Sales'!A598</f>
        <v>597</v>
      </c>
      <c r="D598" s="6" t="str">
        <f>IFERROR(__xludf.DUMMYFUNCTION("""COMPUTED_VALUE"""),"Pineapple Chunks (canned)")</f>
        <v>Pineapple Chunks (canned)</v>
      </c>
      <c r="E598" s="6" t="str">
        <f>'Raw Data Sales'!F598</f>
        <v>Food - Snacks</v>
      </c>
      <c r="F598" s="6">
        <f>'Raw Data Sales'!M598</f>
        <v>92</v>
      </c>
      <c r="G598" s="6">
        <f>'Raw Data Sales'!N598</f>
        <v>380.95</v>
      </c>
      <c r="H598" s="6" t="str">
        <f>'Raw Data Sales'!O598</f>
        <v>Cash</v>
      </c>
    </row>
    <row r="599">
      <c r="A599" s="6">
        <f>'Raw Data Sales'!A599</f>
        <v>598</v>
      </c>
      <c r="D599" s="6" t="str">
        <f>IFERROR(__xludf.DUMMYFUNCTION("""COMPUTED_VALUE"""),"LED Flashing Pet Collar")</f>
        <v>LED Flashing Pet Collar</v>
      </c>
      <c r="E599" s="6" t="str">
        <f>'Raw Data Sales'!F599</f>
        <v>Food - Grains</v>
      </c>
      <c r="F599" s="6">
        <f>'Raw Data Sales'!M599</f>
        <v>5</v>
      </c>
      <c r="G599" s="6">
        <f>'Raw Data Sales'!N599</f>
        <v>7126.87</v>
      </c>
      <c r="H599" s="6" t="str">
        <f>'Raw Data Sales'!O599</f>
        <v>PayPal</v>
      </c>
    </row>
    <row r="600">
      <c r="A600" s="6">
        <f>'Raw Data Sales'!A600</f>
        <v>599</v>
      </c>
      <c r="D600" s="6" t="str">
        <f>IFERROR(__xludf.DUMMYFUNCTION("""COMPUTED_VALUE"""),"Cauliflower Rice Stir-Fry")</f>
        <v>Cauliflower Rice Stir-Fry</v>
      </c>
      <c r="E600" s="6" t="str">
        <f>'Raw Data Sales'!F600</f>
        <v>Home</v>
      </c>
      <c r="F600" s="6">
        <f>'Raw Data Sales'!M600</f>
        <v>52</v>
      </c>
      <c r="G600" s="6">
        <f>'Raw Data Sales'!N600</f>
        <v>8013.96</v>
      </c>
      <c r="H600" s="6" t="str">
        <f>'Raw Data Sales'!O600</f>
        <v>PayPal</v>
      </c>
    </row>
    <row r="601">
      <c r="A601" s="6">
        <f>'Raw Data Sales'!A601</f>
        <v>600</v>
      </c>
      <c r="D601" s="6" t="str">
        <f>IFERROR(__xludf.DUMMYFUNCTION("""COMPUTED_VALUE"""),"Himalayan Pink Salt")</f>
        <v>Himalayan Pink Salt</v>
      </c>
      <c r="E601" s="6" t="str">
        <f>'Raw Data Sales'!F601</f>
        <v>Food - Beverages</v>
      </c>
      <c r="F601" s="6">
        <f>'Raw Data Sales'!M601</f>
        <v>17</v>
      </c>
      <c r="G601" s="6">
        <f>'Raw Data Sales'!N601</f>
        <v>3879.51</v>
      </c>
      <c r="H601" s="6" t="str">
        <f>'Raw Data Sales'!O601</f>
        <v>Credit Card</v>
      </c>
    </row>
    <row r="602">
      <c r="A602" s="6">
        <f>'Raw Data Sales'!A602</f>
        <v>601</v>
      </c>
      <c r="D602" s="6" t="str">
        <f>IFERROR(__xludf.DUMMYFUNCTION("""COMPUTED_VALUE"""),"Magnetic Chess Set")</f>
        <v>Magnetic Chess Set</v>
      </c>
      <c r="E602" s="6" t="str">
        <f>'Raw Data Sales'!F602</f>
        <v>Fitness</v>
      </c>
      <c r="F602" s="6">
        <f>'Raw Data Sales'!M602</f>
        <v>33</v>
      </c>
      <c r="G602" s="6">
        <f>'Raw Data Sales'!N602</f>
        <v>7614.17</v>
      </c>
      <c r="H602" s="6" t="str">
        <f>'Raw Data Sales'!O602</f>
        <v>Credit Card</v>
      </c>
    </row>
    <row r="603">
      <c r="A603" s="6">
        <f>'Raw Data Sales'!A603</f>
        <v>602</v>
      </c>
      <c r="D603" s="6" t="str">
        <f>IFERROR(__xludf.DUMMYFUNCTION("""COMPUTED_VALUE"""),"Foam Muscle Roller")</f>
        <v>Foam Muscle Roller</v>
      </c>
      <c r="E603" s="6" t="str">
        <f>'Raw Data Sales'!F603</f>
        <v>Food - Bakery</v>
      </c>
      <c r="F603" s="6">
        <f>'Raw Data Sales'!M603</f>
        <v>29</v>
      </c>
      <c r="G603" s="6">
        <f>'Raw Data Sales'!N603</f>
        <v>2232.99</v>
      </c>
      <c r="H603" s="6" t="str">
        <f>'Raw Data Sales'!O603</f>
        <v>Cash</v>
      </c>
    </row>
    <row r="604">
      <c r="A604" s="6">
        <f>'Raw Data Sales'!A604</f>
        <v>603</v>
      </c>
      <c r="D604" s="6" t="str">
        <f>IFERROR(__xludf.DUMMYFUNCTION("""COMPUTED_VALUE"""),"Pine Nuts")</f>
        <v>Pine Nuts</v>
      </c>
      <c r="E604" s="6" t="str">
        <f>'Raw Data Sales'!F604</f>
        <v>Home</v>
      </c>
      <c r="F604" s="6">
        <f>'Raw Data Sales'!M604</f>
        <v>92</v>
      </c>
      <c r="G604" s="6">
        <f>'Raw Data Sales'!N604</f>
        <v>7003.42</v>
      </c>
      <c r="H604" s="6" t="str">
        <f>'Raw Data Sales'!O604</f>
        <v>Credit Card</v>
      </c>
    </row>
    <row r="605">
      <c r="A605" s="6">
        <f>'Raw Data Sales'!A605</f>
        <v>604</v>
      </c>
      <c r="D605" s="6" t="str">
        <f>IFERROR(__xludf.DUMMYFUNCTION("""COMPUTED_VALUE"""),"Carrot Ginger Soup")</f>
        <v>Carrot Ginger Soup</v>
      </c>
      <c r="E605" s="6" t="str">
        <f>'Raw Data Sales'!F605</f>
        <v>Computers</v>
      </c>
      <c r="F605" s="6">
        <f>'Raw Data Sales'!M605</f>
        <v>100</v>
      </c>
      <c r="G605" s="6">
        <f>'Raw Data Sales'!N605</f>
        <v>3267.03</v>
      </c>
      <c r="H605" s="6" t="str">
        <f>'Raw Data Sales'!O605</f>
        <v>PayPal</v>
      </c>
    </row>
    <row r="606">
      <c r="A606" s="6">
        <f>'Raw Data Sales'!A606</f>
        <v>605</v>
      </c>
      <c r="D606" s="6" t="str">
        <f>IFERROR(__xludf.DUMMYFUNCTION("""COMPUTED_VALUE"""),"Portable Electric Fan")</f>
        <v>Portable Electric Fan</v>
      </c>
      <c r="E606" s="6" t="str">
        <f>'Raw Data Sales'!F606</f>
        <v>Food - Frozen Desserts</v>
      </c>
      <c r="F606" s="6">
        <f>'Raw Data Sales'!M606</f>
        <v>63</v>
      </c>
      <c r="G606" s="6">
        <f>'Raw Data Sales'!N606</f>
        <v>3848.27</v>
      </c>
      <c r="H606" s="6" t="str">
        <f>'Raw Data Sales'!O606</f>
        <v>PayPal</v>
      </c>
    </row>
    <row r="607">
      <c r="A607" s="6">
        <f>'Raw Data Sales'!A607</f>
        <v>606</v>
      </c>
      <c r="D607" s="6" t="str">
        <f>IFERROR(__xludf.DUMMYFUNCTION("""COMPUTED_VALUE"""),"Vegetable Stir-Fry Sauce")</f>
        <v>Vegetable Stir-Fry Sauce</v>
      </c>
      <c r="E607" s="6" t="str">
        <f>'Raw Data Sales'!F607</f>
        <v>Food - Beverages</v>
      </c>
      <c r="F607" s="6">
        <f>'Raw Data Sales'!M607</f>
        <v>56</v>
      </c>
      <c r="G607" s="6">
        <f>'Raw Data Sales'!N607</f>
        <v>8940.24</v>
      </c>
      <c r="H607" s="6" t="str">
        <f>'Raw Data Sales'!O607</f>
        <v>Credit Card</v>
      </c>
    </row>
    <row r="608">
      <c r="A608" s="6">
        <f>'Raw Data Sales'!A608</f>
        <v>607</v>
      </c>
      <c r="D608" s="6" t="str">
        <f>IFERROR(__xludf.DUMMYFUNCTION("""COMPUTED_VALUE"""),"Sweet Potatoes (organic)")</f>
        <v>Sweet Potatoes (organic)</v>
      </c>
      <c r="E608" s="6" t="str">
        <f>'Raw Data Sales'!F608</f>
        <v>Kitchen</v>
      </c>
      <c r="F608" s="6">
        <f>'Raw Data Sales'!M608</f>
        <v>14</v>
      </c>
      <c r="G608" s="6">
        <f>'Raw Data Sales'!N608</f>
        <v>688.91</v>
      </c>
      <c r="H608" s="6" t="str">
        <f>'Raw Data Sales'!O608</f>
        <v>Cash</v>
      </c>
    </row>
    <row r="609">
      <c r="A609" s="6">
        <f>'Raw Data Sales'!A609</f>
        <v>608</v>
      </c>
      <c r="D609" s="6" t="str">
        <f>IFERROR(__xludf.DUMMYFUNCTION("""COMPUTED_VALUE"""),"Personalized Pet ID Tags")</f>
        <v>Personalized Pet ID Tags</v>
      </c>
      <c r="E609" s="6" t="str">
        <f>'Raw Data Sales'!F609</f>
        <v>Food - Canned Goods</v>
      </c>
      <c r="F609" s="6">
        <f>'Raw Data Sales'!M609</f>
        <v>6</v>
      </c>
      <c r="G609" s="6">
        <f>'Raw Data Sales'!N609</f>
        <v>3280.83</v>
      </c>
      <c r="H609" s="6" t="str">
        <f>'Raw Data Sales'!O609</f>
        <v>Credit Card</v>
      </c>
    </row>
    <row r="610">
      <c r="A610" s="6">
        <f>'Raw Data Sales'!A610</f>
        <v>609</v>
      </c>
      <c r="D610" s="6" t="str">
        <f>IFERROR(__xludf.DUMMYFUNCTION("""COMPUTED_VALUE"""),"Grapes (red)")</f>
        <v>Grapes (red)</v>
      </c>
      <c r="E610" s="6" t="str">
        <f>'Raw Data Sales'!F610</f>
        <v>Wearable Tech</v>
      </c>
      <c r="F610" s="6">
        <f>'Raw Data Sales'!M610</f>
        <v>61</v>
      </c>
      <c r="G610" s="6">
        <f>'Raw Data Sales'!N610</f>
        <v>9805.06</v>
      </c>
      <c r="H610" s="6" t="str">
        <f>'Raw Data Sales'!O610</f>
        <v>PayPal</v>
      </c>
    </row>
    <row r="611">
      <c r="A611" s="6">
        <f>'Raw Data Sales'!A611</f>
        <v>610</v>
      </c>
      <c r="D611" s="6" t="str">
        <f>IFERROR(__xludf.DUMMYFUNCTION("""COMPUTED_VALUE"""),"Non-Stick Grill Pan")</f>
        <v>Non-Stick Grill Pan</v>
      </c>
      <c r="E611" s="6" t="str">
        <f>'Raw Data Sales'!F611</f>
        <v>Food - Frozen Meals</v>
      </c>
      <c r="F611" s="6">
        <f>'Raw Data Sales'!M611</f>
        <v>88</v>
      </c>
      <c r="G611" s="6">
        <f>'Raw Data Sales'!N611</f>
        <v>653.15</v>
      </c>
      <c r="H611" s="6" t="str">
        <f>'Raw Data Sales'!O611</f>
        <v>Cash</v>
      </c>
    </row>
    <row r="612">
      <c r="A612" s="6">
        <f>'Raw Data Sales'!A612</f>
        <v>611</v>
      </c>
      <c r="D612" s="6" t="str">
        <f>IFERROR(__xludf.DUMMYFUNCTION("""COMPUTED_VALUE"""),"Roasted Red Pepper Sauce")</f>
        <v>Roasted Red Pepper Sauce</v>
      </c>
      <c r="E612" s="6" t="str">
        <f>'Raw Data Sales'!F612</f>
        <v>Food - Snacks</v>
      </c>
      <c r="F612" s="6">
        <f>'Raw Data Sales'!M612</f>
        <v>82</v>
      </c>
      <c r="G612" s="6">
        <f>'Raw Data Sales'!N612</f>
        <v>189.52</v>
      </c>
      <c r="H612" s="6" t="str">
        <f>'Raw Data Sales'!O612</f>
        <v>Credit Card</v>
      </c>
    </row>
    <row r="613">
      <c r="A613" s="6">
        <f>'Raw Data Sales'!A613</f>
        <v>612</v>
      </c>
      <c r="D613" s="6" t="str">
        <f>IFERROR(__xludf.DUMMYFUNCTION("""COMPUTED_VALUE"""),"Chicken Salad Kit")</f>
        <v>Chicken Salad Kit</v>
      </c>
      <c r="E613" s="6" t="str">
        <f>'Raw Data Sales'!F613</f>
        <v>Home Appliances</v>
      </c>
      <c r="F613" s="6">
        <f>'Raw Data Sales'!M613</f>
        <v>13</v>
      </c>
      <c r="G613" s="6">
        <f>'Raw Data Sales'!N613</f>
        <v>6054.69</v>
      </c>
      <c r="H613" s="6" t="str">
        <f>'Raw Data Sales'!O613</f>
        <v>Credit Card</v>
      </c>
    </row>
    <row r="614">
      <c r="A614" s="6">
        <f>'Raw Data Sales'!A614</f>
        <v>613</v>
      </c>
      <c r="D614" s="6" t="str">
        <f>IFERROR(__xludf.DUMMYFUNCTION("""COMPUTED_VALUE"""),"Caramelized Onion Dip Mix")</f>
        <v>Caramelized Onion Dip Mix</v>
      </c>
      <c r="E614" s="6" t="str">
        <f>'Raw Data Sales'!F614</f>
        <v>Food - Snacks</v>
      </c>
      <c r="F614" s="6">
        <f>'Raw Data Sales'!M614</f>
        <v>38</v>
      </c>
      <c r="G614" s="6">
        <f>'Raw Data Sales'!N614</f>
        <v>3443.81</v>
      </c>
      <c r="H614" s="6" t="str">
        <f>'Raw Data Sales'!O614</f>
        <v>PayPal</v>
      </c>
    </row>
    <row r="615">
      <c r="A615" s="6">
        <f>'Raw Data Sales'!A615</f>
        <v>614</v>
      </c>
      <c r="D615" s="6" t="str">
        <f>IFERROR(__xludf.DUMMYFUNCTION("""COMPUTED_VALUE"""),"Reusable Snack Bags")</f>
        <v>Reusable Snack Bags</v>
      </c>
      <c r="E615" s="6" t="str">
        <f>'Raw Data Sales'!F615</f>
        <v>Outdoor</v>
      </c>
      <c r="F615" s="6">
        <f>'Raw Data Sales'!M615</f>
        <v>90</v>
      </c>
      <c r="G615" s="6">
        <f>'Raw Data Sales'!N615</f>
        <v>6495.55</v>
      </c>
      <c r="H615" s="6" t="str">
        <f>'Raw Data Sales'!O615</f>
        <v>Cash</v>
      </c>
    </row>
    <row r="616">
      <c r="A616" s="6">
        <f>'Raw Data Sales'!A616</f>
        <v>615</v>
      </c>
      <c r="D616" s="6" t="str">
        <f>IFERROR(__xludf.DUMMYFUNCTION("""COMPUTED_VALUE"""),"Eco-Friendly Yoga Blocks")</f>
        <v>Eco-Friendly Yoga Blocks</v>
      </c>
      <c r="E616" s="6" t="str">
        <f>'Raw Data Sales'!F616</f>
        <v>Office</v>
      </c>
      <c r="F616" s="6">
        <f>'Raw Data Sales'!M616</f>
        <v>19</v>
      </c>
      <c r="G616" s="6">
        <f>'Raw Data Sales'!N616</f>
        <v>5876</v>
      </c>
      <c r="H616" s="6" t="str">
        <f>'Raw Data Sales'!O616</f>
        <v>Cash</v>
      </c>
    </row>
    <row r="617">
      <c r="A617" s="6">
        <f>'Raw Data Sales'!A617</f>
        <v>616</v>
      </c>
      <c r="D617" s="6" t="str">
        <f>IFERROR(__xludf.DUMMYFUNCTION("""COMPUTED_VALUE"""),"Frozen Berry Medley")</f>
        <v>Frozen Berry Medley</v>
      </c>
      <c r="E617" s="6" t="str">
        <f>'Raw Data Sales'!F617</f>
        <v>Food - Canned Goods</v>
      </c>
      <c r="F617" s="6">
        <f>'Raw Data Sales'!M617</f>
        <v>54</v>
      </c>
      <c r="G617" s="6">
        <f>'Raw Data Sales'!N617</f>
        <v>8898.58</v>
      </c>
      <c r="H617" s="6" t="str">
        <f>'Raw Data Sales'!O617</f>
        <v>PayPal</v>
      </c>
    </row>
    <row r="618">
      <c r="A618" s="6">
        <f>'Raw Data Sales'!A618</f>
        <v>617</v>
      </c>
      <c r="D618" s="6" t="str">
        <f>IFERROR(__xludf.DUMMYFUNCTION("""COMPUTED_VALUE"""),"Coconut Cream Pie Yogurt")</f>
        <v>Coconut Cream Pie Yogurt</v>
      </c>
      <c r="E618" s="6" t="str">
        <f>'Raw Data Sales'!F618</f>
        <v>Food - Frozen Food</v>
      </c>
      <c r="F618" s="6">
        <f>'Raw Data Sales'!M618</f>
        <v>6</v>
      </c>
      <c r="G618" s="6">
        <f>'Raw Data Sales'!N618</f>
        <v>5453.83</v>
      </c>
      <c r="H618" s="6" t="str">
        <f>'Raw Data Sales'!O618</f>
        <v>PayPal</v>
      </c>
    </row>
    <row r="619">
      <c r="A619" s="6">
        <f>'Raw Data Sales'!A619</f>
        <v>618</v>
      </c>
      <c r="D619" s="6" t="str">
        <f>IFERROR(__xludf.DUMMYFUNCTION("""COMPUTED_VALUE"""),"Stainless Steel Water Bottle")</f>
        <v>Stainless Steel Water Bottle</v>
      </c>
      <c r="E619" s="6" t="str">
        <f>'Raw Data Sales'!F619</f>
        <v>Food - Baking</v>
      </c>
      <c r="F619" s="6">
        <f>'Raw Data Sales'!M619</f>
        <v>54</v>
      </c>
      <c r="G619" s="6">
        <f>'Raw Data Sales'!N619</f>
        <v>5107.76</v>
      </c>
      <c r="H619" s="6" t="str">
        <f>'Raw Data Sales'!O619</f>
        <v>Cash</v>
      </c>
    </row>
    <row r="620">
      <c r="A620" s="6">
        <f>'Raw Data Sales'!A620</f>
        <v>619</v>
      </c>
      <c r="D620" s="6" t="str">
        <f>IFERROR(__xludf.DUMMYFUNCTION("""COMPUTED_VALUE"""),"Indoor Plants")</f>
        <v>Indoor Plants</v>
      </c>
      <c r="E620" s="6" t="str">
        <f>'Raw Data Sales'!F620</f>
        <v>Home Appliances</v>
      </c>
      <c r="F620" s="6">
        <f>'Raw Data Sales'!M620</f>
        <v>89</v>
      </c>
      <c r="G620" s="6">
        <f>'Raw Data Sales'!N620</f>
        <v>7362.72</v>
      </c>
      <c r="H620" s="6" t="str">
        <f>'Raw Data Sales'!O620</f>
        <v>PayPal</v>
      </c>
    </row>
    <row r="621">
      <c r="A621" s="6">
        <f>'Raw Data Sales'!A621</f>
        <v>620</v>
      </c>
      <c r="D621" s="6" t="str">
        <f>IFERROR(__xludf.DUMMYFUNCTION("""COMPUTED_VALUE"""),"Bluetooth Sleep Headphones")</f>
        <v>Bluetooth Sleep Headphones</v>
      </c>
      <c r="E621" s="6" t="str">
        <f>'Raw Data Sales'!F621</f>
        <v>Home Appliances</v>
      </c>
      <c r="F621" s="6">
        <f>'Raw Data Sales'!M621</f>
        <v>72</v>
      </c>
      <c r="G621" s="6">
        <f>'Raw Data Sales'!N621</f>
        <v>5632.12</v>
      </c>
      <c r="H621" s="6" t="str">
        <f>'Raw Data Sales'!O621</f>
        <v>Credit Card</v>
      </c>
    </row>
    <row r="622">
      <c r="A622" s="6">
        <f>'Raw Data Sales'!A622</f>
        <v>621</v>
      </c>
      <c r="D622" s="6" t="str">
        <f>IFERROR(__xludf.DUMMYFUNCTION("""COMPUTED_VALUE"""),"Teriyaki Salmon Fillets")</f>
        <v>Teriyaki Salmon Fillets</v>
      </c>
      <c r="E622" s="6" t="str">
        <f>'Raw Data Sales'!F622</f>
        <v>Food - Condiments</v>
      </c>
      <c r="F622" s="6">
        <f>'Raw Data Sales'!M622</f>
        <v>8</v>
      </c>
      <c r="G622" s="6">
        <f>'Raw Data Sales'!N622</f>
        <v>8699.43</v>
      </c>
      <c r="H622" s="6" t="str">
        <f>'Raw Data Sales'!O622</f>
        <v>PayPal</v>
      </c>
    </row>
    <row r="623">
      <c r="A623" s="6">
        <f>'Raw Data Sales'!A623</f>
        <v>622</v>
      </c>
      <c r="D623" s="6" t="str">
        <f>IFERROR(__xludf.DUMMYFUNCTION("""COMPUTED_VALUE"""),"Vanilla Almond Granola")</f>
        <v>Vanilla Almond Granola</v>
      </c>
      <c r="E623" s="6" t="str">
        <f>'Raw Data Sales'!F623</f>
        <v>Food - Snacks</v>
      </c>
      <c r="F623" s="6">
        <f>'Raw Data Sales'!M623</f>
        <v>5</v>
      </c>
      <c r="G623" s="6">
        <f>'Raw Data Sales'!N623</f>
        <v>8468.97</v>
      </c>
      <c r="H623" s="6" t="str">
        <f>'Raw Data Sales'!O623</f>
        <v>Credit Card</v>
      </c>
    </row>
    <row r="624">
      <c r="A624" s="6">
        <f>'Raw Data Sales'!A624</f>
        <v>623</v>
      </c>
      <c r="D624" s="6" t="str">
        <f>IFERROR(__xludf.DUMMYFUNCTION("""COMPUTED_VALUE"""),"Stylish Wireless Earbuds")</f>
        <v>Stylish Wireless Earbuds</v>
      </c>
      <c r="E624" s="6" t="str">
        <f>'Raw Data Sales'!F624</f>
        <v>Food - Grains</v>
      </c>
      <c r="F624" s="6">
        <f>'Raw Data Sales'!M624</f>
        <v>81</v>
      </c>
      <c r="G624" s="6">
        <f>'Raw Data Sales'!N624</f>
        <v>1045.35</v>
      </c>
      <c r="H624" s="6" t="str">
        <f>'Raw Data Sales'!O624</f>
        <v>Credit Card</v>
      </c>
    </row>
    <row r="625">
      <c r="A625" s="6">
        <f>'Raw Data Sales'!A625</f>
        <v>624</v>
      </c>
      <c r="D625" s="6" t="str">
        <f>IFERROR(__xludf.DUMMYFUNCTION("""COMPUTED_VALUE"""),"Bamboo Utensil Holder")</f>
        <v>Bamboo Utensil Holder</v>
      </c>
      <c r="E625" s="6" t="str">
        <f>'Raw Data Sales'!F625</f>
        <v>Kitchen</v>
      </c>
      <c r="F625" s="6">
        <f>'Raw Data Sales'!M625</f>
        <v>57</v>
      </c>
      <c r="G625" s="6">
        <f>'Raw Data Sales'!N625</f>
        <v>486.85</v>
      </c>
      <c r="H625" s="6" t="str">
        <f>'Raw Data Sales'!O625</f>
        <v>Credit Card</v>
      </c>
    </row>
    <row r="626">
      <c r="A626" s="6">
        <f>'Raw Data Sales'!A626</f>
        <v>625</v>
      </c>
      <c r="D626" s="6" t="str">
        <f>IFERROR(__xludf.DUMMYFUNCTION("""COMPUTED_VALUE"""),"Bamboo Toothbrush Holder")</f>
        <v>Bamboo Toothbrush Holder</v>
      </c>
      <c r="E626" s="6" t="str">
        <f>'Raw Data Sales'!F626</f>
        <v>Kitchen</v>
      </c>
      <c r="F626" s="6">
        <f>'Raw Data Sales'!M626</f>
        <v>57</v>
      </c>
      <c r="G626" s="6">
        <f>'Raw Data Sales'!N626</f>
        <v>640.63</v>
      </c>
      <c r="H626" s="6" t="str">
        <f>'Raw Data Sales'!O626</f>
        <v>Credit Card</v>
      </c>
    </row>
    <row r="627">
      <c r="A627" s="6">
        <f>'Raw Data Sales'!A627</f>
        <v>626</v>
      </c>
      <c r="D627" s="6" t="str">
        <f>IFERROR(__xludf.DUMMYFUNCTION("""COMPUTED_VALUE"""),"Garlic and Herb Cream Cheese")</f>
        <v>Garlic and Herb Cream Cheese</v>
      </c>
      <c r="E627" s="6" t="str">
        <f>'Raw Data Sales'!F627</f>
        <v>Food - Snacks</v>
      </c>
      <c r="F627" s="6">
        <f>'Raw Data Sales'!M627</f>
        <v>4</v>
      </c>
      <c r="G627" s="6">
        <f>'Raw Data Sales'!N627</f>
        <v>450.4</v>
      </c>
      <c r="H627" s="6" t="str">
        <f>'Raw Data Sales'!O627</f>
        <v>PayPal</v>
      </c>
    </row>
    <row r="628">
      <c r="A628" s="6">
        <f>'Raw Data Sales'!A628</f>
        <v>627</v>
      </c>
      <c r="D628" s="6" t="str">
        <f>IFERROR(__xludf.DUMMYFUNCTION("""COMPUTED_VALUE"""),"Tandoori Chicken Skewers")</f>
        <v>Tandoori Chicken Skewers</v>
      </c>
      <c r="E628" s="6" t="str">
        <f>'Raw Data Sales'!F628</f>
        <v>Food - Bakery</v>
      </c>
      <c r="F628" s="6">
        <f>'Raw Data Sales'!M628</f>
        <v>74</v>
      </c>
      <c r="G628" s="6">
        <f>'Raw Data Sales'!N628</f>
        <v>4520.71</v>
      </c>
      <c r="H628" s="6" t="str">
        <f>'Raw Data Sales'!O628</f>
        <v>Credit Card</v>
      </c>
    </row>
    <row r="629">
      <c r="A629" s="6">
        <f>'Raw Data Sales'!A629</f>
        <v>628</v>
      </c>
      <c r="D629" s="6" t="str">
        <f>IFERROR(__xludf.DUMMYFUNCTION("""COMPUTED_VALUE"""),"Chino Shorts")</f>
        <v>Chino Shorts</v>
      </c>
      <c r="E629" s="6" t="str">
        <f>'Raw Data Sales'!F629</f>
        <v>Crafts</v>
      </c>
      <c r="F629" s="6">
        <f>'Raw Data Sales'!M629</f>
        <v>70</v>
      </c>
      <c r="G629" s="6">
        <f>'Raw Data Sales'!N629</f>
        <v>4977.8</v>
      </c>
      <c r="H629" s="6" t="str">
        <f>'Raw Data Sales'!O629</f>
        <v>Credit Card</v>
      </c>
    </row>
    <row r="630">
      <c r="A630" s="6">
        <f>'Raw Data Sales'!A630</f>
        <v>629</v>
      </c>
      <c r="D630" s="6" t="str">
        <f>IFERROR(__xludf.DUMMYFUNCTION("""COMPUTED_VALUE"""),"Peach Salsa")</f>
        <v>Peach Salsa</v>
      </c>
      <c r="E630" s="6" t="str">
        <f>'Raw Data Sales'!F630</f>
        <v>Food - Bakery</v>
      </c>
      <c r="F630" s="6">
        <f>'Raw Data Sales'!M630</f>
        <v>92</v>
      </c>
      <c r="G630" s="6">
        <f>'Raw Data Sales'!N630</f>
        <v>591.03</v>
      </c>
      <c r="H630" s="6" t="str">
        <f>'Raw Data Sales'!O630</f>
        <v>Cash</v>
      </c>
    </row>
    <row r="631">
      <c r="A631" s="6">
        <f>'Raw Data Sales'!A631</f>
        <v>630</v>
      </c>
      <c r="D631" s="6" t="str">
        <f>IFERROR(__xludf.DUMMYFUNCTION("""COMPUTED_VALUE"""),"Inflatable Paddle Board")</f>
        <v>Inflatable Paddle Board</v>
      </c>
      <c r="E631" s="6" t="str">
        <f>'Raw Data Sales'!F631</f>
        <v>Food - Produce</v>
      </c>
      <c r="F631" s="6">
        <f>'Raw Data Sales'!M631</f>
        <v>44</v>
      </c>
      <c r="G631" s="6">
        <f>'Raw Data Sales'!N631</f>
        <v>2204.41</v>
      </c>
      <c r="H631" s="6" t="str">
        <f>'Raw Data Sales'!O631</f>
        <v>Cash</v>
      </c>
    </row>
    <row r="632">
      <c r="A632" s="6">
        <f>'Raw Data Sales'!A632</f>
        <v>631</v>
      </c>
      <c r="D632" s="6" t="str">
        <f>IFERROR(__xludf.DUMMYFUNCTION("""COMPUTED_VALUE"""),"Frozen Vegetarian Pizza")</f>
        <v>Frozen Vegetarian Pizza</v>
      </c>
      <c r="E632" s="6" t="str">
        <f>'Raw Data Sales'!F632</f>
        <v>Outdoor</v>
      </c>
      <c r="F632" s="6">
        <f>'Raw Data Sales'!M632</f>
        <v>59</v>
      </c>
      <c r="G632" s="6">
        <f>'Raw Data Sales'!N632</f>
        <v>2447.83</v>
      </c>
      <c r="H632" s="6" t="str">
        <f>'Raw Data Sales'!O632</f>
        <v>Cash</v>
      </c>
    </row>
    <row r="633">
      <c r="A633" s="6">
        <f>'Raw Data Sales'!A633</f>
        <v>632</v>
      </c>
      <c r="D633" s="6" t="str">
        <f>IFERROR(__xludf.DUMMYFUNCTION("""COMPUTED_VALUE"""),"Electric Pressure Cooker")</f>
        <v>Electric Pressure Cooker</v>
      </c>
      <c r="E633" s="6" t="str">
        <f>'Raw Data Sales'!F633</f>
        <v>Food - Frozen Foods</v>
      </c>
      <c r="F633" s="6">
        <f>'Raw Data Sales'!M633</f>
        <v>38</v>
      </c>
      <c r="G633" s="6">
        <f>'Raw Data Sales'!N633</f>
        <v>9974.52</v>
      </c>
      <c r="H633" s="6" t="str">
        <f>'Raw Data Sales'!O633</f>
        <v>Cash</v>
      </c>
    </row>
    <row r="634">
      <c r="A634" s="6">
        <f>'Raw Data Sales'!A634</f>
        <v>633</v>
      </c>
      <c r="D634" s="6" t="str">
        <f>IFERROR(__xludf.DUMMYFUNCTION("""COMPUTED_VALUE"""),"Smoked Gouda Cheese")</f>
        <v>Smoked Gouda Cheese</v>
      </c>
      <c r="E634" s="6" t="str">
        <f>'Raw Data Sales'!F634</f>
        <v>Bicycles</v>
      </c>
      <c r="F634" s="6">
        <f>'Raw Data Sales'!M634</f>
        <v>54</v>
      </c>
      <c r="G634" s="6">
        <f>'Raw Data Sales'!N634</f>
        <v>6141.98</v>
      </c>
      <c r="H634" s="6" t="str">
        <f>'Raw Data Sales'!O634</f>
        <v>PayPal</v>
      </c>
    </row>
    <row r="635">
      <c r="A635" s="6">
        <f>'Raw Data Sales'!A635</f>
        <v>634</v>
      </c>
      <c r="D635" s="6" t="str">
        <f>IFERROR(__xludf.DUMMYFUNCTION("""COMPUTED_VALUE"""),"Peanut Butter Pretzel Nuggets")</f>
        <v>Peanut Butter Pretzel Nuggets</v>
      </c>
      <c r="E635" s="6" t="str">
        <f>'Raw Data Sales'!F635</f>
        <v>Food - Breakfast</v>
      </c>
      <c r="F635" s="6">
        <f>'Raw Data Sales'!M635</f>
        <v>84</v>
      </c>
      <c r="G635" s="6">
        <f>'Raw Data Sales'!N635</f>
        <v>3491.08</v>
      </c>
      <c r="H635" s="6" t="str">
        <f>'Raw Data Sales'!O635</f>
        <v>PayPal</v>
      </c>
    </row>
    <row r="636">
      <c r="A636" s="6">
        <f>'Raw Data Sales'!A636</f>
        <v>635</v>
      </c>
      <c r="D636" s="6" t="str">
        <f>IFERROR(__xludf.DUMMYFUNCTION("""COMPUTED_VALUE"""),"Pear and Gorgonzola Salad")</f>
        <v>Pear and Gorgonzola Salad</v>
      </c>
      <c r="E636" s="6" t="str">
        <f>'Raw Data Sales'!F636</f>
        <v>Fitness</v>
      </c>
      <c r="F636" s="6">
        <f>'Raw Data Sales'!M636</f>
        <v>41</v>
      </c>
      <c r="G636" s="6">
        <f>'Raw Data Sales'!N636</f>
        <v>1626</v>
      </c>
      <c r="H636" s="6" t="str">
        <f>'Raw Data Sales'!O636</f>
        <v>PayPal</v>
      </c>
    </row>
    <row r="637">
      <c r="A637" s="6">
        <f>'Raw Data Sales'!A637</f>
        <v>636</v>
      </c>
      <c r="D637" s="6" t="str">
        <f>IFERROR(__xludf.DUMMYFUNCTION("""COMPUTED_VALUE"""),"Underwater Camera")</f>
        <v>Underwater Camera</v>
      </c>
      <c r="E637" s="6" t="str">
        <f>'Raw Data Sales'!F637</f>
        <v>Audio</v>
      </c>
      <c r="F637" s="6">
        <f>'Raw Data Sales'!M637</f>
        <v>41</v>
      </c>
      <c r="G637" s="6">
        <f>'Raw Data Sales'!N637</f>
        <v>1067.93</v>
      </c>
      <c r="H637" s="6" t="str">
        <f>'Raw Data Sales'!O637</f>
        <v>PayPal</v>
      </c>
    </row>
    <row r="638">
      <c r="A638" s="6">
        <f>'Raw Data Sales'!A638</f>
        <v>637</v>
      </c>
      <c r="D638" s="6" t="str">
        <f>IFERROR(__xludf.DUMMYFUNCTION("""COMPUTED_VALUE"""),"Roasted Garlic Aioli")</f>
        <v>Roasted Garlic Aioli</v>
      </c>
      <c r="E638" s="6" t="str">
        <f>'Raw Data Sales'!F638</f>
        <v>Accessories</v>
      </c>
      <c r="F638" s="6">
        <f>'Raw Data Sales'!M638</f>
        <v>64</v>
      </c>
      <c r="G638" s="6">
        <f>'Raw Data Sales'!N638</f>
        <v>8211.36</v>
      </c>
      <c r="H638" s="6" t="str">
        <f>'Raw Data Sales'!O638</f>
        <v>Cash</v>
      </c>
    </row>
    <row r="639">
      <c r="A639" s="6">
        <f>'Raw Data Sales'!A639</f>
        <v>638</v>
      </c>
      <c r="D639" s="6" t="str">
        <f>IFERROR(__xludf.DUMMYFUNCTION("""COMPUTED_VALUE"""),"Coconut Oil Spray")</f>
        <v>Coconut Oil Spray</v>
      </c>
      <c r="E639" s="6" t="str">
        <f>'Raw Data Sales'!F639</f>
        <v>Food - Snacks</v>
      </c>
      <c r="F639" s="6">
        <f>'Raw Data Sales'!M639</f>
        <v>12</v>
      </c>
      <c r="G639" s="6">
        <f>'Raw Data Sales'!N639</f>
        <v>1794.8</v>
      </c>
      <c r="H639" s="6" t="str">
        <f>'Raw Data Sales'!O639</f>
        <v>PayPal</v>
      </c>
    </row>
    <row r="640">
      <c r="A640" s="6">
        <f>'Raw Data Sales'!A640</f>
        <v>639</v>
      </c>
      <c r="D640" s="6" t="str">
        <f>IFERROR(__xludf.DUMMYFUNCTION("""COMPUTED_VALUE"""),"LED Desk Lamp with USB Charging")</f>
        <v>LED Desk Lamp with USB Charging</v>
      </c>
      <c r="E640" s="6" t="str">
        <f>'Raw Data Sales'!F640</f>
        <v>Office</v>
      </c>
      <c r="F640" s="6">
        <f>'Raw Data Sales'!M640</f>
        <v>54</v>
      </c>
      <c r="G640" s="6">
        <f>'Raw Data Sales'!N640</f>
        <v>3773.07</v>
      </c>
      <c r="H640" s="6" t="str">
        <f>'Raw Data Sales'!O640</f>
        <v>Credit Card</v>
      </c>
    </row>
    <row r="641">
      <c r="A641" s="6">
        <f>'Raw Data Sales'!A641</f>
        <v>640</v>
      </c>
      <c r="D641" s="6" t="str">
        <f>IFERROR(__xludf.DUMMYFUNCTION("""COMPUTED_VALUE"""),"Customizable Name Plate")</f>
        <v>Customizable Name Plate</v>
      </c>
      <c r="E641" s="6" t="str">
        <f>'Raw Data Sales'!F641</f>
        <v>Smart Home</v>
      </c>
      <c r="F641" s="6">
        <f>'Raw Data Sales'!M641</f>
        <v>87</v>
      </c>
      <c r="G641" s="6">
        <f>'Raw Data Sales'!N641</f>
        <v>6735.65</v>
      </c>
      <c r="H641" s="6" t="str">
        <f>'Raw Data Sales'!O641</f>
        <v>PayPal</v>
      </c>
    </row>
    <row r="642">
      <c r="A642" s="6">
        <f>'Raw Data Sales'!A642</f>
        <v>641</v>
      </c>
      <c r="D642" s="6" t="str">
        <f>IFERROR(__xludf.DUMMYFUNCTION("""COMPUTED_VALUE"""),"Savory Breakfast Sausage")</f>
        <v>Savory Breakfast Sausage</v>
      </c>
      <c r="E642" s="6" t="str">
        <f>'Raw Data Sales'!F642</f>
        <v>Food - Beverages</v>
      </c>
      <c r="F642" s="6">
        <f>'Raw Data Sales'!M642</f>
        <v>42</v>
      </c>
      <c r="G642" s="6">
        <f>'Raw Data Sales'!N642</f>
        <v>3943.49</v>
      </c>
      <c r="H642" s="6" t="str">
        <f>'Raw Data Sales'!O642</f>
        <v>Credit Card</v>
      </c>
    </row>
    <row r="643">
      <c r="A643" s="6">
        <f>'Raw Data Sales'!A643</f>
        <v>642</v>
      </c>
      <c r="D643" s="6" t="str">
        <f>IFERROR(__xludf.DUMMYFUNCTION("""COMPUTED_VALUE"""),"Emergency Preparedness Kit")</f>
        <v>Emergency Preparedness Kit</v>
      </c>
      <c r="E643" s="6" t="str">
        <f>'Raw Data Sales'!F643</f>
        <v>Food - Snacks</v>
      </c>
      <c r="F643" s="6">
        <f>'Raw Data Sales'!M643</f>
        <v>22</v>
      </c>
      <c r="G643" s="6">
        <f>'Raw Data Sales'!N643</f>
        <v>5007.1</v>
      </c>
      <c r="H643" s="6" t="str">
        <f>'Raw Data Sales'!O643</f>
        <v>Cash</v>
      </c>
    </row>
    <row r="644">
      <c r="A644" s="6">
        <f>'Raw Data Sales'!A644</f>
        <v>643</v>
      </c>
      <c r="D644" s="6" t="str">
        <f>IFERROR(__xludf.DUMMYFUNCTION("""COMPUTED_VALUE"""),"Gardening Fairy Figurines")</f>
        <v>Gardening Fairy Figurines</v>
      </c>
      <c r="E644" s="6" t="str">
        <f>'Raw Data Sales'!F644</f>
        <v>Food - Sides</v>
      </c>
      <c r="F644" s="6">
        <f>'Raw Data Sales'!M644</f>
        <v>61</v>
      </c>
      <c r="G644" s="6">
        <f>'Raw Data Sales'!N644</f>
        <v>194.22</v>
      </c>
      <c r="H644" s="6" t="str">
        <f>'Raw Data Sales'!O644</f>
        <v>Cash</v>
      </c>
    </row>
    <row r="645">
      <c r="A645" s="6">
        <f>'Raw Data Sales'!A645</f>
        <v>644</v>
      </c>
      <c r="D645" s="6" t="str">
        <f>IFERROR(__xludf.DUMMYFUNCTION("""COMPUTED_VALUE"""),"Electric Hot Pot")</f>
        <v>Electric Hot Pot</v>
      </c>
      <c r="E645" s="6" t="str">
        <f>'Raw Data Sales'!F645</f>
        <v>Food - Spices &amp; Seasonings</v>
      </c>
      <c r="F645" s="6">
        <f>'Raw Data Sales'!M645</f>
        <v>10</v>
      </c>
      <c r="G645" s="6">
        <f>'Raw Data Sales'!N645</f>
        <v>52.04</v>
      </c>
      <c r="H645" s="6" t="str">
        <f>'Raw Data Sales'!O645</f>
        <v>Cash</v>
      </c>
    </row>
    <row r="646">
      <c r="A646" s="6">
        <f>'Raw Data Sales'!A646</f>
        <v>645</v>
      </c>
      <c r="D646" s="6" t="str">
        <f>IFERROR(__xludf.DUMMYFUNCTION("""COMPUTED_VALUE"""),"Puzzle")</f>
        <v>Puzzle</v>
      </c>
      <c r="E646" s="6" t="str">
        <f>'Raw Data Sales'!F646</f>
        <v>Food - Breakfast</v>
      </c>
      <c r="F646" s="6">
        <f>'Raw Data Sales'!M646</f>
        <v>35</v>
      </c>
      <c r="G646" s="6">
        <f>'Raw Data Sales'!N646</f>
        <v>9514.1</v>
      </c>
      <c r="H646" s="6" t="str">
        <f>'Raw Data Sales'!O646</f>
        <v>Credit Card</v>
      </c>
    </row>
    <row r="647">
      <c r="A647" s="6">
        <f>'Raw Data Sales'!A647</f>
        <v>646</v>
      </c>
      <c r="D647" s="6" t="str">
        <f>IFERROR(__xludf.DUMMYFUNCTION("""COMPUTED_VALUE"""),"Rainbow Veggie Chips")</f>
        <v>Rainbow Veggie Chips</v>
      </c>
      <c r="E647" s="6" t="str">
        <f>'Raw Data Sales'!F647</f>
        <v>Fitness</v>
      </c>
      <c r="F647" s="6">
        <f>'Raw Data Sales'!M647</f>
        <v>95</v>
      </c>
      <c r="G647" s="6">
        <f>'Raw Data Sales'!N647</f>
        <v>9733.32</v>
      </c>
      <c r="H647" s="6" t="str">
        <f>'Raw Data Sales'!O647</f>
        <v>Credit Card</v>
      </c>
    </row>
    <row r="648">
      <c r="A648" s="6">
        <f>'Raw Data Sales'!A648</f>
        <v>647</v>
      </c>
      <c r="D648" s="6" t="str">
        <f>IFERROR(__xludf.DUMMYFUNCTION("""COMPUTED_VALUE"""),"Cacao Nibs")</f>
        <v>Cacao Nibs</v>
      </c>
      <c r="E648" s="6" t="str">
        <f>'Raw Data Sales'!F648</f>
        <v>Food - Frozen Foods</v>
      </c>
      <c r="F648" s="6">
        <f>'Raw Data Sales'!M648</f>
        <v>23</v>
      </c>
      <c r="G648" s="6">
        <f>'Raw Data Sales'!N648</f>
        <v>5047.75</v>
      </c>
      <c r="H648" s="6" t="str">
        <f>'Raw Data Sales'!O648</f>
        <v>Cash</v>
      </c>
    </row>
    <row r="649">
      <c r="A649" s="6">
        <f>'Raw Data Sales'!A649</f>
        <v>648</v>
      </c>
      <c r="D649" s="6" t="str">
        <f>IFERROR(__xludf.DUMMYFUNCTION("""COMPUTED_VALUE"""),"Savory Pumpkin Soup")</f>
        <v>Savory Pumpkin Soup</v>
      </c>
      <c r="E649" s="6" t="str">
        <f>'Raw Data Sales'!F649</f>
        <v>Food - Spices &amp; Seasonings</v>
      </c>
      <c r="F649" s="6">
        <f>'Raw Data Sales'!M649</f>
        <v>84</v>
      </c>
      <c r="G649" s="6">
        <f>'Raw Data Sales'!N649</f>
        <v>6349.94</v>
      </c>
      <c r="H649" s="6" t="str">
        <f>'Raw Data Sales'!O649</f>
        <v>PayPal</v>
      </c>
    </row>
    <row r="650">
      <c r="A650" s="6">
        <f>'Raw Data Sales'!A650</f>
        <v>649</v>
      </c>
      <c r="D650" s="6" t="str">
        <f>IFERROR(__xludf.DUMMYFUNCTION("""COMPUTED_VALUE"""),"High-Top Leather Boots")</f>
        <v>High-Top Leather Boots</v>
      </c>
      <c r="E650" s="6" t="str">
        <f>'Raw Data Sales'!F650</f>
        <v>Toys</v>
      </c>
      <c r="F650" s="6">
        <f>'Raw Data Sales'!M650</f>
        <v>58</v>
      </c>
      <c r="G650" s="6">
        <f>'Raw Data Sales'!N650</f>
        <v>5263.13</v>
      </c>
      <c r="H650" s="6" t="str">
        <f>'Raw Data Sales'!O650</f>
        <v>Credit Card</v>
      </c>
    </row>
    <row r="651">
      <c r="A651" s="6">
        <f>'Raw Data Sales'!A651</f>
        <v>650</v>
      </c>
      <c r="D651" s="6" t="str">
        <f>IFERROR(__xludf.DUMMYFUNCTION("""COMPUTED_VALUE"""),"Maxi Wrap Dress")</f>
        <v>Maxi Wrap Dress</v>
      </c>
      <c r="E651" s="6" t="str">
        <f>'Raw Data Sales'!F651</f>
        <v>Pets</v>
      </c>
      <c r="F651" s="6">
        <f>'Raw Data Sales'!M651</f>
        <v>41</v>
      </c>
      <c r="G651" s="6">
        <f>'Raw Data Sales'!N651</f>
        <v>6327.52</v>
      </c>
      <c r="H651" s="6" t="str">
        <f>'Raw Data Sales'!O651</f>
        <v>Credit Card</v>
      </c>
    </row>
    <row r="652">
      <c r="A652" s="6">
        <f>'Raw Data Sales'!A652</f>
        <v>651</v>
      </c>
      <c r="D652" s="6" t="str">
        <f>IFERROR(__xludf.DUMMYFUNCTION("""COMPUTED_VALUE"""),"Fettuccine Alfredo Dinner Kit")</f>
        <v>Fettuccine Alfredo Dinner Kit</v>
      </c>
      <c r="E652" s="6" t="str">
        <f>'Raw Data Sales'!F652</f>
        <v>Office</v>
      </c>
      <c r="F652" s="6">
        <f>'Raw Data Sales'!M652</f>
        <v>18</v>
      </c>
      <c r="G652" s="6">
        <f>'Raw Data Sales'!N652</f>
        <v>161.65</v>
      </c>
      <c r="H652" s="6" t="str">
        <f>'Raw Data Sales'!O652</f>
        <v>Cash</v>
      </c>
    </row>
    <row r="653">
      <c r="A653" s="6">
        <f>'Raw Data Sales'!A653</f>
        <v>652</v>
      </c>
      <c r="D653" s="6" t="str">
        <f>IFERROR(__xludf.DUMMYFUNCTION("""COMPUTED_VALUE"""),"Cotton Tote Bag Set")</f>
        <v>Cotton Tote Bag Set</v>
      </c>
      <c r="E653" s="6" t="str">
        <f>'Raw Data Sales'!F653</f>
        <v>Clothing - Dresses</v>
      </c>
      <c r="F653" s="6">
        <f>'Raw Data Sales'!M653</f>
        <v>90</v>
      </c>
      <c r="G653" s="6">
        <f>'Raw Data Sales'!N653</f>
        <v>7125.6</v>
      </c>
      <c r="H653" s="6" t="str">
        <f>'Raw Data Sales'!O653</f>
        <v>Credit Card</v>
      </c>
    </row>
    <row r="654">
      <c r="A654" s="6">
        <f>'Raw Data Sales'!A654</f>
        <v>653</v>
      </c>
      <c r="D654" s="6" t="str">
        <f>IFERROR(__xludf.DUMMYFUNCTION("""COMPUTED_VALUE"""),"Crispy Kale Chips")</f>
        <v>Crispy Kale Chips</v>
      </c>
      <c r="E654" s="6" t="str">
        <f>'Raw Data Sales'!F654</f>
        <v>Clothing - Footwear</v>
      </c>
      <c r="F654" s="6">
        <f>'Raw Data Sales'!M654</f>
        <v>72</v>
      </c>
      <c r="G654" s="6">
        <f>'Raw Data Sales'!N654</f>
        <v>6263</v>
      </c>
      <c r="H654" s="6" t="str">
        <f>'Raw Data Sales'!O654</f>
        <v>Cash</v>
      </c>
    </row>
    <row r="655">
      <c r="A655" s="6">
        <f>'Raw Data Sales'!A655</f>
        <v>654</v>
      </c>
      <c r="D655" s="6" t="str">
        <f>IFERROR(__xludf.DUMMYFUNCTION("""COMPUTED_VALUE"""),"Fleece Throw Blanket")</f>
        <v>Fleece Throw Blanket</v>
      </c>
      <c r="E655" s="6" t="str">
        <f>'Raw Data Sales'!F655</f>
        <v>Food - Prepared Foods</v>
      </c>
      <c r="F655" s="6">
        <f>'Raw Data Sales'!M655</f>
        <v>7</v>
      </c>
      <c r="G655" s="6">
        <f>'Raw Data Sales'!N655</f>
        <v>7048.93</v>
      </c>
      <c r="H655" s="6" t="str">
        <f>'Raw Data Sales'!O655</f>
        <v>Cash</v>
      </c>
    </row>
    <row r="656">
      <c r="A656" s="6">
        <f>'Raw Data Sales'!A656</f>
        <v>655</v>
      </c>
      <c r="D656" s="6" t="str">
        <f>IFERROR(__xludf.DUMMYFUNCTION("""COMPUTED_VALUE"""),"Sweet Potato Noodles")</f>
        <v>Sweet Potato Noodles</v>
      </c>
      <c r="E656" s="6" t="str">
        <f>'Raw Data Sales'!F656</f>
        <v>Beauty</v>
      </c>
      <c r="F656" s="6">
        <f>'Raw Data Sales'!M656</f>
        <v>16</v>
      </c>
      <c r="G656" s="6">
        <f>'Raw Data Sales'!N656</f>
        <v>6185.09</v>
      </c>
      <c r="H656" s="6" t="str">
        <f>'Raw Data Sales'!O656</f>
        <v>Credit Card</v>
      </c>
    </row>
    <row r="657">
      <c r="A657" s="6">
        <f>'Raw Data Sales'!A657</f>
        <v>656</v>
      </c>
      <c r="D657" s="6" t="str">
        <f>IFERROR(__xludf.DUMMYFUNCTION("""COMPUTED_VALUE"""),"Silicone Baking Mats")</f>
        <v>Silicone Baking Mats</v>
      </c>
      <c r="E657" s="6" t="str">
        <f>'Raw Data Sales'!F657</f>
        <v>Food - Seafood</v>
      </c>
      <c r="F657" s="6">
        <f>'Raw Data Sales'!M657</f>
        <v>92</v>
      </c>
      <c r="G657" s="6">
        <f>'Raw Data Sales'!N657</f>
        <v>4609.8</v>
      </c>
      <c r="H657" s="6" t="str">
        <f>'Raw Data Sales'!O657</f>
        <v>Cash</v>
      </c>
    </row>
    <row r="658">
      <c r="A658" s="6">
        <f>'Raw Data Sales'!A658</f>
        <v>657</v>
      </c>
      <c r="D658" s="6" t="str">
        <f>IFERROR(__xludf.DUMMYFUNCTION("""COMPUTED_VALUE"""),"Portable Solar Phone Charger")</f>
        <v>Portable Solar Phone Charger</v>
      </c>
      <c r="E658" s="6" t="str">
        <f>'Raw Data Sales'!F658</f>
        <v>Food - Health/Protein</v>
      </c>
      <c r="F658" s="6">
        <f>'Raw Data Sales'!M658</f>
        <v>22</v>
      </c>
      <c r="G658" s="6">
        <f>'Raw Data Sales'!N658</f>
        <v>9006.42</v>
      </c>
      <c r="H658" s="6" t="str">
        <f>'Raw Data Sales'!O658</f>
        <v>PayPal</v>
      </c>
    </row>
    <row r="659">
      <c r="A659" s="6">
        <f>'Raw Data Sales'!A659</f>
        <v>658</v>
      </c>
      <c r="D659" s="6" t="str">
        <f>IFERROR(__xludf.DUMMYFUNCTION("""COMPUTED_VALUE"""),"Mini Projector")</f>
        <v>Mini Projector</v>
      </c>
      <c r="E659" s="6" t="str">
        <f>'Raw Data Sales'!F659</f>
        <v>Food - Confectionery</v>
      </c>
      <c r="F659" s="6">
        <f>'Raw Data Sales'!M659</f>
        <v>93</v>
      </c>
      <c r="G659" s="6">
        <f>'Raw Data Sales'!N659</f>
        <v>5356.93</v>
      </c>
      <c r="H659" s="6" t="str">
        <f>'Raw Data Sales'!O659</f>
        <v>Credit Card</v>
      </c>
    </row>
    <row r="660">
      <c r="A660" s="6">
        <f>'Raw Data Sales'!A660</f>
        <v>659</v>
      </c>
      <c r="D660" s="6" t="str">
        <f>IFERROR(__xludf.DUMMYFUNCTION("""COMPUTED_VALUE"""),"Electric Pressure Washer")</f>
        <v>Electric Pressure Washer</v>
      </c>
      <c r="E660" s="6" t="str">
        <f>'Raw Data Sales'!F660</f>
        <v>Outdoor</v>
      </c>
      <c r="F660" s="6">
        <f>'Raw Data Sales'!M660</f>
        <v>35</v>
      </c>
      <c r="G660" s="6">
        <f>'Raw Data Sales'!N660</f>
        <v>6668.15</v>
      </c>
      <c r="H660" s="6" t="str">
        <f>'Raw Data Sales'!O660</f>
        <v>PayPal</v>
      </c>
    </row>
    <row r="661">
      <c r="A661" s="6">
        <f>'Raw Data Sales'!A661</f>
        <v>660</v>
      </c>
      <c r="D661" s="6" t="str">
        <f>IFERROR(__xludf.DUMMYFUNCTION("""COMPUTED_VALUE"""),"Yoga Strap")</f>
        <v>Yoga Strap</v>
      </c>
      <c r="E661" s="6" t="str">
        <f>'Raw Data Sales'!F661</f>
        <v>Food - Canned Goods</v>
      </c>
      <c r="F661" s="6">
        <f>'Raw Data Sales'!M661</f>
        <v>32</v>
      </c>
      <c r="G661" s="6">
        <f>'Raw Data Sales'!N661</f>
        <v>3607.35</v>
      </c>
      <c r="H661" s="6" t="str">
        <f>'Raw Data Sales'!O661</f>
        <v>PayPal</v>
      </c>
    </row>
    <row r="662">
      <c r="A662" s="6">
        <f>'Raw Data Sales'!A662</f>
        <v>661</v>
      </c>
      <c r="D662" s="6" t="str">
        <f>IFERROR(__xludf.DUMMYFUNCTION("""COMPUTED_VALUE"""),"Coconut Curry Lentil Soup")</f>
        <v>Coconut Curry Lentil Soup</v>
      </c>
      <c r="E662" s="6" t="str">
        <f>'Raw Data Sales'!F662</f>
        <v>Toys</v>
      </c>
      <c r="F662" s="6">
        <f>'Raw Data Sales'!M662</f>
        <v>37</v>
      </c>
      <c r="G662" s="6">
        <f>'Raw Data Sales'!N662</f>
        <v>3890.84</v>
      </c>
      <c r="H662" s="6" t="str">
        <f>'Raw Data Sales'!O662</f>
        <v>Cash</v>
      </c>
    </row>
    <row r="663">
      <c r="A663" s="6">
        <f>'Raw Data Sales'!A663</f>
        <v>662</v>
      </c>
      <c r="D663" s="6" t="str">
        <f>IFERROR(__xludf.DUMMYFUNCTION("""COMPUTED_VALUE"""),"Breezy Off-The-Shoulder Top")</f>
        <v>Breezy Off-The-Shoulder Top</v>
      </c>
      <c r="E663" s="6" t="str">
        <f>'Raw Data Sales'!F663</f>
        <v>Food - Meat</v>
      </c>
      <c r="F663" s="6">
        <f>'Raw Data Sales'!M663</f>
        <v>19</v>
      </c>
      <c r="G663" s="6">
        <f>'Raw Data Sales'!N663</f>
        <v>4477.55</v>
      </c>
      <c r="H663" s="6" t="str">
        <f>'Raw Data Sales'!O663</f>
        <v>Cash</v>
      </c>
    </row>
    <row r="664">
      <c r="A664" s="6">
        <f>'Raw Data Sales'!A664</f>
        <v>663</v>
      </c>
      <c r="D664" s="6" t="str">
        <f>IFERROR(__xludf.DUMMYFUNCTION("""COMPUTED_VALUE"""),"Stick Vacuums Cleaner")</f>
        <v>Stick Vacuums Cleaner</v>
      </c>
      <c r="E664" s="6" t="str">
        <f>'Raw Data Sales'!F664</f>
        <v>Home</v>
      </c>
      <c r="F664" s="6">
        <f>'Raw Data Sales'!M664</f>
        <v>15</v>
      </c>
      <c r="G664" s="6">
        <f>'Raw Data Sales'!N664</f>
        <v>9240.39</v>
      </c>
      <c r="H664" s="6" t="str">
        <f>'Raw Data Sales'!O664</f>
        <v>Credit Card</v>
      </c>
    </row>
    <row r="665">
      <c r="A665" s="6">
        <f>'Raw Data Sales'!A665</f>
        <v>664</v>
      </c>
      <c r="D665" s="6" t="str">
        <f>IFERROR(__xludf.DUMMYFUNCTION("""COMPUTED_VALUE"""),"Summer Tank Dress")</f>
        <v>Summer Tank Dress</v>
      </c>
      <c r="E665" s="6" t="str">
        <f>'Raw Data Sales'!F665</f>
        <v>Pets</v>
      </c>
      <c r="F665" s="6">
        <f>'Raw Data Sales'!M665</f>
        <v>100</v>
      </c>
      <c r="G665" s="6">
        <f>'Raw Data Sales'!N665</f>
        <v>9659.11</v>
      </c>
      <c r="H665" s="6" t="str">
        <f>'Raw Data Sales'!O665</f>
        <v>PayPal</v>
      </c>
    </row>
    <row r="666">
      <c r="A666" s="6">
        <f>'Raw Data Sales'!A666</f>
        <v>665</v>
      </c>
      <c r="D666" s="6" t="str">
        <f>IFERROR(__xludf.DUMMYFUNCTION("""COMPUTED_VALUE"""),"Multi-Tool")</f>
        <v>Multi-Tool</v>
      </c>
      <c r="E666" s="6" t="str">
        <f>'Raw Data Sales'!F666</f>
        <v>Art Supplies</v>
      </c>
      <c r="F666" s="6">
        <f>'Raw Data Sales'!M666</f>
        <v>41</v>
      </c>
      <c r="G666" s="6">
        <f>'Raw Data Sales'!N666</f>
        <v>8783.2</v>
      </c>
      <c r="H666" s="6" t="str">
        <f>'Raw Data Sales'!O666</f>
        <v>Credit Card</v>
      </c>
    </row>
    <row r="667">
      <c r="A667" s="6">
        <f>'Raw Data Sales'!A667</f>
        <v>666</v>
      </c>
      <c r="D667" s="6" t="str">
        <f>IFERROR(__xludf.DUMMYFUNCTION("""COMPUTED_VALUE"""),"Puffed Rice Cake")</f>
        <v>Puffed Rice Cake</v>
      </c>
      <c r="E667" s="6" t="str">
        <f>'Raw Data Sales'!F667</f>
        <v>Home</v>
      </c>
      <c r="F667" s="6">
        <f>'Raw Data Sales'!M667</f>
        <v>100</v>
      </c>
      <c r="G667" s="6">
        <f>'Raw Data Sales'!N667</f>
        <v>1345.95</v>
      </c>
      <c r="H667" s="6" t="str">
        <f>'Raw Data Sales'!O667</f>
        <v>Cash</v>
      </c>
    </row>
    <row r="668">
      <c r="A668" s="6">
        <f>'Raw Data Sales'!A668</f>
        <v>667</v>
      </c>
      <c r="D668" s="6" t="str">
        <f>IFERROR(__xludf.DUMMYFUNCTION("""COMPUTED_VALUE"""),"Dried Apricots")</f>
        <v>Dried Apricots</v>
      </c>
      <c r="E668" s="6" t="str">
        <f>'Raw Data Sales'!F668</f>
        <v>Food - Fresh Produce</v>
      </c>
      <c r="F668" s="6">
        <f>'Raw Data Sales'!M668</f>
        <v>64</v>
      </c>
      <c r="G668" s="6">
        <f>'Raw Data Sales'!N668</f>
        <v>6167.59</v>
      </c>
      <c r="H668" s="6" t="str">
        <f>'Raw Data Sales'!O668</f>
        <v>PayPal</v>
      </c>
    </row>
    <row r="669">
      <c r="A669" s="6">
        <f>'Raw Data Sales'!A669</f>
        <v>668</v>
      </c>
      <c r="D669" s="6" t="str">
        <f>IFERROR(__xludf.DUMMYFUNCTION("""COMPUTED_VALUE"""),"Solar Power Bank")</f>
        <v>Solar Power Bank</v>
      </c>
      <c r="E669" s="6" t="str">
        <f>'Raw Data Sales'!F669</f>
        <v>Home</v>
      </c>
      <c r="F669" s="6">
        <f>'Raw Data Sales'!M669</f>
        <v>33</v>
      </c>
      <c r="G669" s="6">
        <f>'Raw Data Sales'!N669</f>
        <v>7653.26</v>
      </c>
      <c r="H669" s="6" t="str">
        <f>'Raw Data Sales'!O669</f>
        <v>Credit Card</v>
      </c>
    </row>
    <row r="670">
      <c r="A670" s="6">
        <f>'Raw Data Sales'!A670</f>
        <v>669</v>
      </c>
      <c r="D670" s="6" t="str">
        <f>IFERROR(__xludf.DUMMYFUNCTION("""COMPUTED_VALUE"""),"Cocktail Shaker and Mixing Glass Set")</f>
        <v>Cocktail Shaker and Mixing Glass Set</v>
      </c>
      <c r="E670" s="6" t="str">
        <f>'Raw Data Sales'!F670</f>
        <v>Food - Frozen Desserts</v>
      </c>
      <c r="F670" s="6">
        <f>'Raw Data Sales'!M670</f>
        <v>92</v>
      </c>
      <c r="G670" s="6">
        <f>'Raw Data Sales'!N670</f>
        <v>1918.9</v>
      </c>
      <c r="H670" s="6" t="str">
        <f>'Raw Data Sales'!O670</f>
        <v>Credit Card</v>
      </c>
    </row>
    <row r="671">
      <c r="A671" s="6">
        <f>'Raw Data Sales'!A671</f>
        <v>670</v>
      </c>
      <c r="D671" s="6" t="str">
        <f>IFERROR(__xludf.DUMMYFUNCTION("""COMPUTED_VALUE"""),"LED Canopy Lights")</f>
        <v>LED Canopy Lights</v>
      </c>
      <c r="E671" s="6" t="str">
        <f>'Raw Data Sales'!F671</f>
        <v>Home</v>
      </c>
      <c r="F671" s="6">
        <f>'Raw Data Sales'!M671</f>
        <v>96</v>
      </c>
      <c r="G671" s="6">
        <f>'Raw Data Sales'!N671</f>
        <v>6062.46</v>
      </c>
      <c r="H671" s="6" t="str">
        <f>'Raw Data Sales'!O671</f>
        <v>Cash</v>
      </c>
    </row>
    <row r="672">
      <c r="A672" s="6">
        <f>'Raw Data Sales'!A672</f>
        <v>671</v>
      </c>
      <c r="D672" s="6" t="str">
        <f>IFERROR(__xludf.DUMMYFUNCTION("""COMPUTED_VALUE"""),"Quinoa &amp; Black Bean Salad")</f>
        <v>Quinoa &amp; Black Bean Salad</v>
      </c>
      <c r="E672" s="6" t="str">
        <f>'Raw Data Sales'!F672</f>
        <v>Food - Produce</v>
      </c>
      <c r="F672" s="6">
        <f>'Raw Data Sales'!M672</f>
        <v>10</v>
      </c>
      <c r="G672" s="6">
        <f>'Raw Data Sales'!N672</f>
        <v>767.77</v>
      </c>
      <c r="H672" s="6" t="str">
        <f>'Raw Data Sales'!O672</f>
        <v>Cash</v>
      </c>
    </row>
    <row r="673">
      <c r="A673" s="6">
        <f>'Raw Data Sales'!A673</f>
        <v>672</v>
      </c>
      <c r="D673" s="6" t="str">
        <f>IFERROR(__xludf.DUMMYFUNCTION("""COMPUTED_VALUE"""),"Garlic Herb Marinade")</f>
        <v>Garlic Herb Marinade</v>
      </c>
      <c r="E673" s="6" t="str">
        <f>'Raw Data Sales'!F673</f>
        <v>Home Appliances</v>
      </c>
      <c r="F673" s="6">
        <f>'Raw Data Sales'!M673</f>
        <v>41</v>
      </c>
      <c r="G673" s="6">
        <f>'Raw Data Sales'!N673</f>
        <v>1702.51</v>
      </c>
      <c r="H673" s="6" t="str">
        <f>'Raw Data Sales'!O673</f>
        <v>PayPal</v>
      </c>
    </row>
    <row r="674">
      <c r="A674" s="6">
        <f>'Raw Data Sales'!A674</f>
        <v>673</v>
      </c>
      <c r="D674" s="6" t="str">
        <f>IFERROR(__xludf.DUMMYFUNCTION("""COMPUTED_VALUE"""),"Peanut Butter Pretzel Bites")</f>
        <v>Peanut Butter Pretzel Bites</v>
      </c>
      <c r="E674" s="6" t="str">
        <f>'Raw Data Sales'!F674</f>
        <v>Health</v>
      </c>
      <c r="F674" s="6">
        <f>'Raw Data Sales'!M674</f>
        <v>44</v>
      </c>
      <c r="G674" s="6">
        <f>'Raw Data Sales'!N674</f>
        <v>622.38</v>
      </c>
      <c r="H674" s="6" t="str">
        <f>'Raw Data Sales'!O674</f>
        <v>Credit Card</v>
      </c>
    </row>
    <row r="675">
      <c r="A675" s="6">
        <f>'Raw Data Sales'!A675</f>
        <v>674</v>
      </c>
      <c r="D675" s="6" t="str">
        <f>IFERROR(__xludf.DUMMYFUNCTION("""COMPUTED_VALUE"""),"Vegetable Lentil Soup")</f>
        <v>Vegetable Lentil Soup</v>
      </c>
      <c r="E675" s="6" t="str">
        <f>'Raw Data Sales'!F675</f>
        <v>Kitchen</v>
      </c>
      <c r="F675" s="6">
        <f>'Raw Data Sales'!M675</f>
        <v>14</v>
      </c>
      <c r="G675" s="6">
        <f>'Raw Data Sales'!N675</f>
        <v>7356.76</v>
      </c>
      <c r="H675" s="6" t="str">
        <f>'Raw Data Sales'!O675</f>
        <v>Cash</v>
      </c>
    </row>
    <row r="676">
      <c r="A676" s="6">
        <f>'Raw Data Sales'!A676</f>
        <v>675</v>
      </c>
      <c r="D676" s="6" t="str">
        <f>IFERROR(__xludf.DUMMYFUNCTION("""COMPUTED_VALUE"""),"Beef Jerky")</f>
        <v>Beef Jerky</v>
      </c>
      <c r="E676" s="6" t="str">
        <f>'Raw Data Sales'!F676</f>
        <v>Pets</v>
      </c>
      <c r="F676" s="6">
        <f>'Raw Data Sales'!M676</f>
        <v>93</v>
      </c>
      <c r="G676" s="6">
        <f>'Raw Data Sales'!N676</f>
        <v>5972.11</v>
      </c>
      <c r="H676" s="6" t="str">
        <f>'Raw Data Sales'!O676</f>
        <v>Credit Card</v>
      </c>
    </row>
    <row r="677">
      <c r="A677" s="6">
        <f>'Raw Data Sales'!A677</f>
        <v>676</v>
      </c>
      <c r="D677" s="6" t="str">
        <f>IFERROR(__xludf.DUMMYFUNCTION("""COMPUTED_VALUE"""),"Spaghetti Sauce")</f>
        <v>Spaghetti Sauce</v>
      </c>
      <c r="E677" s="6" t="str">
        <f>'Raw Data Sales'!F677</f>
        <v>Pets</v>
      </c>
      <c r="F677" s="6">
        <f>'Raw Data Sales'!M677</f>
        <v>98</v>
      </c>
      <c r="G677" s="6">
        <f>'Raw Data Sales'!N677</f>
        <v>4313.15</v>
      </c>
      <c r="H677" s="6" t="str">
        <f>'Raw Data Sales'!O677</f>
        <v>Credit Card</v>
      </c>
    </row>
    <row r="678">
      <c r="A678" s="6">
        <f>'Raw Data Sales'!A678</f>
        <v>677</v>
      </c>
      <c r="D678" s="6" t="str">
        <f>IFERROR(__xludf.DUMMYFUNCTION("""COMPUTED_VALUE"""),"Blue Denim Jeans")</f>
        <v>Blue Denim Jeans</v>
      </c>
      <c r="E678" s="6" t="str">
        <f>'Raw Data Sales'!F678</f>
        <v>Kitchen</v>
      </c>
      <c r="F678" s="6">
        <f>'Raw Data Sales'!M678</f>
        <v>94</v>
      </c>
      <c r="G678" s="6">
        <f>'Raw Data Sales'!N678</f>
        <v>7342.88</v>
      </c>
      <c r="H678" s="6" t="str">
        <f>'Raw Data Sales'!O678</f>
        <v>Cash</v>
      </c>
    </row>
    <row r="679">
      <c r="A679" s="6">
        <f>'Raw Data Sales'!A679</f>
        <v>678</v>
      </c>
      <c r="D679" s="6" t="str">
        <f>IFERROR(__xludf.DUMMYFUNCTION("""COMPUTED_VALUE"""),"Digital Food Scale")</f>
        <v>Digital Food Scale</v>
      </c>
      <c r="E679" s="6" t="str">
        <f>'Raw Data Sales'!F679</f>
        <v>Garden</v>
      </c>
      <c r="F679" s="6">
        <f>'Raw Data Sales'!M679</f>
        <v>100</v>
      </c>
      <c r="G679" s="6">
        <f>'Raw Data Sales'!N679</f>
        <v>3305.18</v>
      </c>
      <c r="H679" s="6" t="str">
        <f>'Raw Data Sales'!O679</f>
        <v>PayPal</v>
      </c>
    </row>
    <row r="680">
      <c r="A680" s="6">
        <f>'Raw Data Sales'!A680</f>
        <v>679</v>
      </c>
      <c r="D680" s="6" t="str">
        <f>IFERROR(__xludf.DUMMYFUNCTION("""COMPUTED_VALUE"""),"Butternut Squash Soup")</f>
        <v>Butternut Squash Soup</v>
      </c>
      <c r="E680" s="6" t="str">
        <f>'Raw Data Sales'!F680</f>
        <v>Health</v>
      </c>
      <c r="F680" s="6">
        <f>'Raw Data Sales'!M680</f>
        <v>95</v>
      </c>
      <c r="G680" s="6">
        <f>'Raw Data Sales'!N680</f>
        <v>2891.29</v>
      </c>
      <c r="H680" s="6" t="str">
        <f>'Raw Data Sales'!O680</f>
        <v>PayPal</v>
      </c>
    </row>
    <row r="681">
      <c r="A681" s="6">
        <f>'Raw Data Sales'!A681</f>
        <v>680</v>
      </c>
      <c r="D681" s="6" t="str">
        <f>IFERROR(__xludf.DUMMYFUNCTION("""COMPUTED_VALUE"""),"Caramel Sauce")</f>
        <v>Caramel Sauce</v>
      </c>
      <c r="E681" s="6" t="str">
        <f>'Raw Data Sales'!F681</f>
        <v>Food - Breakfast</v>
      </c>
      <c r="F681" s="6">
        <f>'Raw Data Sales'!M681</f>
        <v>97</v>
      </c>
      <c r="G681" s="6">
        <f>'Raw Data Sales'!N681</f>
        <v>536.5</v>
      </c>
      <c r="H681" s="6" t="str">
        <f>'Raw Data Sales'!O681</f>
        <v>Credit Card</v>
      </c>
    </row>
    <row r="682">
      <c r="A682" s="6">
        <f>'Raw Data Sales'!A682</f>
        <v>681</v>
      </c>
      <c r="D682" s="6" t="str">
        <f>IFERROR(__xludf.DUMMYFUNCTION("""COMPUTED_VALUE"""),"Baking Powder")</f>
        <v>Baking Powder</v>
      </c>
      <c r="E682" s="6" t="str">
        <f>'Raw Data Sales'!F682</f>
        <v>Food - Meal Kits</v>
      </c>
      <c r="F682" s="6">
        <f>'Raw Data Sales'!M682</f>
        <v>51</v>
      </c>
      <c r="G682" s="6">
        <f>'Raw Data Sales'!N682</f>
        <v>1355.58</v>
      </c>
      <c r="H682" s="6" t="str">
        <f>'Raw Data Sales'!O682</f>
        <v>Credit Card</v>
      </c>
    </row>
    <row r="683">
      <c r="A683" s="6">
        <f>'Raw Data Sales'!A683</f>
        <v>682</v>
      </c>
      <c r="D683" s="6" t="str">
        <f>IFERROR(__xludf.DUMMYFUNCTION("""COMPUTED_VALUE"""),"Tahini")</f>
        <v>Tahini</v>
      </c>
      <c r="E683" s="6" t="str">
        <f>'Raw Data Sales'!F683</f>
        <v>Home</v>
      </c>
      <c r="F683" s="6">
        <f>'Raw Data Sales'!M683</f>
        <v>3</v>
      </c>
      <c r="G683" s="6">
        <f>'Raw Data Sales'!N683</f>
        <v>7381.75</v>
      </c>
      <c r="H683" s="6" t="str">
        <f>'Raw Data Sales'!O683</f>
        <v>PayPal</v>
      </c>
    </row>
    <row r="684">
      <c r="A684" s="6">
        <f>'Raw Data Sales'!A684</f>
        <v>683</v>
      </c>
      <c r="D684" s="6" t="str">
        <f>IFERROR(__xludf.DUMMYFUNCTION("""COMPUTED_VALUE"""),"Strawberry Rhubarb Jam")</f>
        <v>Strawberry Rhubarb Jam</v>
      </c>
      <c r="E684" s="6" t="str">
        <f>'Raw Data Sales'!F684</f>
        <v>Food - Dairy</v>
      </c>
      <c r="F684" s="6">
        <f>'Raw Data Sales'!M684</f>
        <v>45</v>
      </c>
      <c r="G684" s="6">
        <f>'Raw Data Sales'!N684</f>
        <v>3415.78</v>
      </c>
      <c r="H684" s="6" t="str">
        <f>'Raw Data Sales'!O684</f>
        <v>Cash</v>
      </c>
    </row>
    <row r="685">
      <c r="A685" s="6">
        <f>'Raw Data Sales'!A685</f>
        <v>684</v>
      </c>
      <c r="D685" s="6" t="str">
        <f>IFERROR(__xludf.DUMMYFUNCTION("""COMPUTED_VALUE"""),"Car Seat Organizer")</f>
        <v>Car Seat Organizer</v>
      </c>
      <c r="E685" s="6" t="str">
        <f>'Raw Data Sales'!F685</f>
        <v>Electronics</v>
      </c>
      <c r="F685" s="6">
        <f>'Raw Data Sales'!M685</f>
        <v>89</v>
      </c>
      <c r="G685" s="6">
        <f>'Raw Data Sales'!N685</f>
        <v>6388.38</v>
      </c>
      <c r="H685" s="6" t="str">
        <f>'Raw Data Sales'!O685</f>
        <v>PayPal</v>
      </c>
    </row>
    <row r="686">
      <c r="A686" s="6">
        <f>'Raw Data Sales'!A686</f>
        <v>685</v>
      </c>
      <c r="D686" s="6" t="str">
        <f>IFERROR(__xludf.DUMMYFUNCTION("""COMPUTED_VALUE"""),"Cinnamon Raisin Bread")</f>
        <v>Cinnamon Raisin Bread</v>
      </c>
      <c r="E686" s="6" t="str">
        <f>'Raw Data Sales'!F686</f>
        <v>Home</v>
      </c>
      <c r="F686" s="6">
        <f>'Raw Data Sales'!M686</f>
        <v>10</v>
      </c>
      <c r="G686" s="6">
        <f>'Raw Data Sales'!N686</f>
        <v>2912.67</v>
      </c>
      <c r="H686" s="6" t="str">
        <f>'Raw Data Sales'!O686</f>
        <v>Credit Card</v>
      </c>
    </row>
    <row r="687">
      <c r="A687" s="6">
        <f>'Raw Data Sales'!A687</f>
        <v>686</v>
      </c>
      <c r="D687" s="6" t="str">
        <f>IFERROR(__xludf.DUMMYFUNCTION("""COMPUTED_VALUE"""),"Essential White Button-Up")</f>
        <v>Essential White Button-Up</v>
      </c>
      <c r="E687" s="6" t="str">
        <f>'Raw Data Sales'!F687</f>
        <v>Clothing - Tops</v>
      </c>
      <c r="F687" s="6">
        <f>'Raw Data Sales'!M687</f>
        <v>16</v>
      </c>
      <c r="G687" s="6">
        <f>'Raw Data Sales'!N687</f>
        <v>6472.76</v>
      </c>
      <c r="H687" s="6" t="str">
        <f>'Raw Data Sales'!O687</f>
        <v>Credit Card</v>
      </c>
    </row>
    <row r="688">
      <c r="A688" s="6">
        <f>'Raw Data Sales'!A688</f>
        <v>687</v>
      </c>
      <c r="D688" s="6" t="str">
        <f>IFERROR(__xludf.DUMMYFUNCTION("""COMPUTED_VALUE"""),"Ginger Snaps")</f>
        <v>Ginger Snaps</v>
      </c>
      <c r="E688" s="6" t="str">
        <f>'Raw Data Sales'!F688</f>
        <v>Travel</v>
      </c>
      <c r="F688" s="6">
        <f>'Raw Data Sales'!M688</f>
        <v>40</v>
      </c>
      <c r="G688" s="6">
        <f>'Raw Data Sales'!N688</f>
        <v>6401.91</v>
      </c>
      <c r="H688" s="6" t="str">
        <f>'Raw Data Sales'!O688</f>
        <v>Cash</v>
      </c>
    </row>
    <row r="689">
      <c r="A689" s="6">
        <f>'Raw Data Sales'!A689</f>
        <v>688</v>
      </c>
      <c r="D689" s="6" t="str">
        <f>IFERROR(__xludf.DUMMYFUNCTION("""COMPUTED_VALUE"""),"Garam Masala Spice Blend")</f>
        <v>Garam Masala Spice Blend</v>
      </c>
      <c r="E689" s="6" t="str">
        <f>'Raw Data Sales'!F689</f>
        <v>Food - Produce</v>
      </c>
      <c r="F689" s="6">
        <f>'Raw Data Sales'!M689</f>
        <v>88</v>
      </c>
      <c r="G689" s="6">
        <f>'Raw Data Sales'!N689</f>
        <v>2797.03</v>
      </c>
      <c r="H689" s="6" t="str">
        <f>'Raw Data Sales'!O689</f>
        <v>Cash</v>
      </c>
    </row>
    <row r="690">
      <c r="A690" s="6">
        <f>'Raw Data Sales'!A690</f>
        <v>689</v>
      </c>
      <c r="D690" s="6" t="str">
        <f>IFERROR(__xludf.DUMMYFUNCTION("""COMPUTED_VALUE"""),"Outdoor Camping Lantern")</f>
        <v>Outdoor Camping Lantern</v>
      </c>
      <c r="E690" s="6" t="str">
        <f>'Raw Data Sales'!F690</f>
        <v>Food - Meat Substitutes</v>
      </c>
      <c r="F690" s="6">
        <f>'Raw Data Sales'!M690</f>
        <v>81</v>
      </c>
      <c r="G690" s="6">
        <f>'Raw Data Sales'!N690</f>
        <v>2691.97</v>
      </c>
      <c r="H690" s="6" t="str">
        <f>'Raw Data Sales'!O690</f>
        <v>PayPal</v>
      </c>
    </row>
    <row r="691">
      <c r="A691" s="6">
        <f>'Raw Data Sales'!A691</f>
        <v>690</v>
      </c>
      <c r="D691" s="6" t="str">
        <f>IFERROR(__xludf.DUMMYFUNCTION("""COMPUTED_VALUE"""),"Smartphone Photography Ring Light")</f>
        <v>Smartphone Photography Ring Light</v>
      </c>
      <c r="E691" s="6" t="str">
        <f>'Raw Data Sales'!F691</f>
        <v>Food - Nuts</v>
      </c>
      <c r="F691" s="6">
        <f>'Raw Data Sales'!M691</f>
        <v>49</v>
      </c>
      <c r="G691" s="6">
        <f>'Raw Data Sales'!N691</f>
        <v>9797.36</v>
      </c>
      <c r="H691" s="6" t="str">
        <f>'Raw Data Sales'!O691</f>
        <v>Cash</v>
      </c>
    </row>
    <row r="692">
      <c r="A692" s="6">
        <f>'Raw Data Sales'!A692</f>
        <v>691</v>
      </c>
      <c r="D692" s="6" t="str">
        <f>IFERROR(__xludf.DUMMYFUNCTION("""COMPUTED_VALUE"""),"Scent Diffuser")</f>
        <v>Scent Diffuser</v>
      </c>
      <c r="E692" s="6" t="str">
        <f>'Raw Data Sales'!F692</f>
        <v>Accessories</v>
      </c>
      <c r="F692" s="6">
        <f>'Raw Data Sales'!M692</f>
        <v>51</v>
      </c>
      <c r="G692" s="6">
        <f>'Raw Data Sales'!N692</f>
        <v>5956.89</v>
      </c>
      <c r="H692" s="6" t="str">
        <f>'Raw Data Sales'!O692</f>
        <v>Cash</v>
      </c>
    </row>
    <row r="693">
      <c r="A693" s="6">
        <f>'Raw Data Sales'!A693</f>
        <v>692</v>
      </c>
      <c r="D693" s="6" t="str">
        <f>IFERROR(__xludf.DUMMYFUNCTION("""COMPUTED_VALUE"""),"Dish Rack")</f>
        <v>Dish Rack</v>
      </c>
      <c r="E693" s="6" t="str">
        <f>'Raw Data Sales'!F693</f>
        <v>Pets</v>
      </c>
      <c r="F693" s="6">
        <f>'Raw Data Sales'!M693</f>
        <v>76</v>
      </c>
      <c r="G693" s="6">
        <f>'Raw Data Sales'!N693</f>
        <v>7677.94</v>
      </c>
      <c r="H693" s="6" t="str">
        <f>'Raw Data Sales'!O693</f>
        <v>PayPal</v>
      </c>
    </row>
    <row r="694">
      <c r="A694" s="6">
        <f>'Raw Data Sales'!A694</f>
        <v>693</v>
      </c>
      <c r="D694" s="6" t="str">
        <f>IFERROR(__xludf.DUMMYFUNCTION("""COMPUTED_VALUE"""),"Compact Digital Camera")</f>
        <v>Compact Digital Camera</v>
      </c>
      <c r="E694" s="6" t="str">
        <f>'Raw Data Sales'!F694</f>
        <v>Food - Prepared Foods</v>
      </c>
      <c r="F694" s="6">
        <f>'Raw Data Sales'!M694</f>
        <v>94</v>
      </c>
      <c r="G694" s="6">
        <f>'Raw Data Sales'!N694</f>
        <v>8850.69</v>
      </c>
      <c r="H694" s="6" t="str">
        <f>'Raw Data Sales'!O694</f>
        <v>Cash</v>
      </c>
    </row>
    <row r="695">
      <c r="A695" s="6">
        <f>'Raw Data Sales'!A695</f>
        <v>694</v>
      </c>
      <c r="D695" s="6" t="str">
        <f>IFERROR(__xludf.DUMMYFUNCTION("""COMPUTED_VALUE"""),"Whole Chicken")</f>
        <v>Whole Chicken</v>
      </c>
      <c r="E695" s="6" t="str">
        <f>'Raw Data Sales'!F695</f>
        <v>Grooming</v>
      </c>
      <c r="F695" s="6">
        <f>'Raw Data Sales'!M695</f>
        <v>68</v>
      </c>
      <c r="G695" s="6">
        <f>'Raw Data Sales'!N695</f>
        <v>1014.12</v>
      </c>
      <c r="H695" s="6" t="str">
        <f>'Raw Data Sales'!O695</f>
        <v>PayPal</v>
      </c>
    </row>
    <row r="696">
      <c r="A696" s="6">
        <f>'Raw Data Sales'!A696</f>
        <v>695</v>
      </c>
      <c r="D696" s="6" t="str">
        <f>IFERROR(__xludf.DUMMYFUNCTION("""COMPUTED_VALUE"""),"Cajun Seasoning")</f>
        <v>Cajun Seasoning</v>
      </c>
      <c r="E696" s="6" t="str">
        <f>'Raw Data Sales'!F696</f>
        <v>Health</v>
      </c>
      <c r="F696" s="6">
        <f>'Raw Data Sales'!M696</f>
        <v>29</v>
      </c>
      <c r="G696" s="6">
        <f>'Raw Data Sales'!N696</f>
        <v>2096.1</v>
      </c>
      <c r="H696" s="6" t="str">
        <f>'Raw Data Sales'!O696</f>
        <v>PayPal</v>
      </c>
    </row>
    <row r="697">
      <c r="A697" s="6">
        <f>'Raw Data Sales'!A697</f>
        <v>696</v>
      </c>
      <c r="D697" s="6" t="str">
        <f>IFERROR(__xludf.DUMMYFUNCTION("""COMPUTED_VALUE"""),"Men's Waterproof Hiking Boots")</f>
        <v>Men's Waterproof Hiking Boots</v>
      </c>
      <c r="E697" s="6" t="str">
        <f>'Raw Data Sales'!F697</f>
        <v>Food - Soups</v>
      </c>
      <c r="F697" s="6">
        <f>'Raw Data Sales'!M697</f>
        <v>74</v>
      </c>
      <c r="G697" s="6">
        <f>'Raw Data Sales'!N697</f>
        <v>1877.37</v>
      </c>
      <c r="H697" s="6" t="str">
        <f>'Raw Data Sales'!O697</f>
        <v>Credit Card</v>
      </c>
    </row>
    <row r="698">
      <c r="A698" s="6">
        <f>'Raw Data Sales'!A698</f>
        <v>697</v>
      </c>
      <c r="D698" s="6" t="str">
        <f>IFERROR(__xludf.DUMMYFUNCTION("""COMPUTED_VALUE"""),"Athletic Jogging Jacket")</f>
        <v>Athletic Jogging Jacket</v>
      </c>
      <c r="E698" s="6" t="str">
        <f>'Raw Data Sales'!F698</f>
        <v>Fitness</v>
      </c>
      <c r="F698" s="6">
        <f>'Raw Data Sales'!M698</f>
        <v>37</v>
      </c>
      <c r="G698" s="6">
        <f>'Raw Data Sales'!N698</f>
        <v>2965.91</v>
      </c>
      <c r="H698" s="6" t="str">
        <f>'Raw Data Sales'!O698</f>
        <v>Cash</v>
      </c>
    </row>
    <row r="699">
      <c r="A699" s="6">
        <f>'Raw Data Sales'!A699</f>
        <v>698</v>
      </c>
      <c r="D699" s="6" t="str">
        <f>IFERROR(__xludf.DUMMYFUNCTION("""COMPUTED_VALUE"""),"Wine Glasses")</f>
        <v>Wine Glasses</v>
      </c>
      <c r="E699" s="6" t="str">
        <f>'Raw Data Sales'!F699</f>
        <v>Safety</v>
      </c>
      <c r="F699" s="6">
        <f>'Raw Data Sales'!M699</f>
        <v>26</v>
      </c>
      <c r="G699" s="6">
        <f>'Raw Data Sales'!N699</f>
        <v>4685.28</v>
      </c>
      <c r="H699" s="6" t="str">
        <f>'Raw Data Sales'!O699</f>
        <v>Credit Card</v>
      </c>
    </row>
    <row r="700">
      <c r="A700" s="6">
        <f>'Raw Data Sales'!A700</f>
        <v>699</v>
      </c>
      <c r="D700" s="6" t="str">
        <f>IFERROR(__xludf.DUMMYFUNCTION("""COMPUTED_VALUE"""),"Kettle BBQ Grill")</f>
        <v>Kettle BBQ Grill</v>
      </c>
      <c r="E700" s="6" t="str">
        <f>'Raw Data Sales'!F700</f>
        <v>Food - Condiments</v>
      </c>
      <c r="F700" s="6">
        <f>'Raw Data Sales'!M700</f>
        <v>20</v>
      </c>
      <c r="G700" s="6">
        <f>'Raw Data Sales'!N700</f>
        <v>2460.22</v>
      </c>
      <c r="H700" s="6" t="str">
        <f>'Raw Data Sales'!O700</f>
        <v>PayPal</v>
      </c>
    </row>
    <row r="701">
      <c r="A701" s="6">
        <f>'Raw Data Sales'!A701</f>
        <v>700</v>
      </c>
      <c r="D701" s="6" t="str">
        <f>IFERROR(__xludf.DUMMYFUNCTION("""COMPUTED_VALUE"""),"Honey Mustard Sauce")</f>
        <v>Honey Mustard Sauce</v>
      </c>
      <c r="E701" s="6" t="str">
        <f>'Raw Data Sales'!F701</f>
        <v>Food - Sides</v>
      </c>
      <c r="F701" s="6">
        <f>'Raw Data Sales'!M701</f>
        <v>35</v>
      </c>
      <c r="G701" s="6">
        <f>'Raw Data Sales'!N701</f>
        <v>1272.27</v>
      </c>
      <c r="H701" s="6" t="str">
        <f>'Raw Data Sales'!O701</f>
        <v>PayPal</v>
      </c>
    </row>
    <row r="702">
      <c r="A702" s="6">
        <f>'Raw Data Sales'!A702</f>
        <v>701</v>
      </c>
      <c r="D702" s="6" t="str">
        <f>IFERROR(__xludf.DUMMYFUNCTION("""COMPUTED_VALUE"""),"Handheld Vacuum")</f>
        <v>Handheld Vacuum</v>
      </c>
      <c r="E702" s="6" t="str">
        <f>'Raw Data Sales'!F702</f>
        <v>Food - Sauces</v>
      </c>
      <c r="F702" s="6">
        <f>'Raw Data Sales'!M702</f>
        <v>46</v>
      </c>
      <c r="G702" s="6">
        <f>'Raw Data Sales'!N702</f>
        <v>8533.16</v>
      </c>
      <c r="H702" s="6" t="str">
        <f>'Raw Data Sales'!O702</f>
        <v>Cash</v>
      </c>
    </row>
    <row r="703">
      <c r="A703" s="6">
        <f>'Raw Data Sales'!A703</f>
        <v>702</v>
      </c>
      <c r="D703" s="6" t="str">
        <f>IFERROR(__xludf.DUMMYFUNCTION("""COMPUTED_VALUE"""),"Canvas High-Top Sneakers")</f>
        <v>Canvas High-Top Sneakers</v>
      </c>
      <c r="E703" s="6" t="str">
        <f>'Raw Data Sales'!F703</f>
        <v>Accessories</v>
      </c>
      <c r="F703" s="6">
        <f>'Raw Data Sales'!M703</f>
        <v>42</v>
      </c>
      <c r="G703" s="6">
        <f>'Raw Data Sales'!N703</f>
        <v>5405</v>
      </c>
      <c r="H703" s="6" t="str">
        <f>'Raw Data Sales'!O703</f>
        <v>Credit Card</v>
      </c>
    </row>
    <row r="704">
      <c r="A704" s="6">
        <f>'Raw Data Sales'!A704</f>
        <v>703</v>
      </c>
      <c r="D704" s="6" t="str">
        <f>IFERROR(__xludf.DUMMYFUNCTION("""COMPUTED_VALUE"""),"Lemon Zest Olive Oil")</f>
        <v>Lemon Zest Olive Oil</v>
      </c>
      <c r="E704" s="6" t="str">
        <f>'Raw Data Sales'!F704</f>
        <v>Food - Snacks</v>
      </c>
      <c r="F704" s="6">
        <f>'Raw Data Sales'!M704</f>
        <v>9</v>
      </c>
      <c r="G704" s="6">
        <f>'Raw Data Sales'!N704</f>
        <v>9605</v>
      </c>
      <c r="H704" s="6" t="str">
        <f>'Raw Data Sales'!O704</f>
        <v>PayPal</v>
      </c>
    </row>
    <row r="705">
      <c r="A705" s="6">
        <f>'Raw Data Sales'!A705</f>
        <v>704</v>
      </c>
      <c r="D705" s="6" t="str">
        <f>IFERROR(__xludf.DUMMYFUNCTION("""COMPUTED_VALUE"""),"Natural Peanut Butter")</f>
        <v>Natural Peanut Butter</v>
      </c>
      <c r="E705" s="6" t="str">
        <f>'Raw Data Sales'!F705</f>
        <v>Outdoor</v>
      </c>
      <c r="F705" s="6">
        <f>'Raw Data Sales'!M705</f>
        <v>50</v>
      </c>
      <c r="G705" s="6">
        <f>'Raw Data Sales'!N705</f>
        <v>7943.59</v>
      </c>
      <c r="H705" s="6" t="str">
        <f>'Raw Data Sales'!O705</f>
        <v>Credit Card</v>
      </c>
    </row>
    <row r="706">
      <c r="A706" s="6">
        <f>'Raw Data Sales'!A706</f>
        <v>705</v>
      </c>
      <c r="D706" s="6" t="str">
        <f>IFERROR(__xludf.DUMMYFUNCTION("""COMPUTED_VALUE"""),"Pet Travel Backpack Carrier")</f>
        <v>Pet Travel Backpack Carrier</v>
      </c>
      <c r="E706" s="6" t="str">
        <f>'Raw Data Sales'!F706</f>
        <v>Food - Frozen Foods</v>
      </c>
      <c r="F706" s="6">
        <f>'Raw Data Sales'!M706</f>
        <v>48</v>
      </c>
      <c r="G706" s="6">
        <f>'Raw Data Sales'!N706</f>
        <v>8324.74</v>
      </c>
      <c r="H706" s="6" t="str">
        <f>'Raw Data Sales'!O706</f>
        <v>Cash</v>
      </c>
    </row>
    <row r="707">
      <c r="A707" s="6">
        <f>'Raw Data Sales'!A707</f>
        <v>706</v>
      </c>
      <c r="D707" s="6" t="str">
        <f>IFERROR(__xludf.DUMMYFUNCTION("""COMPUTED_VALUE"""),"Wildflower Honey")</f>
        <v>Wildflower Honey</v>
      </c>
      <c r="E707" s="6" t="str">
        <f>'Raw Data Sales'!F707</f>
        <v>Automotive</v>
      </c>
      <c r="F707" s="6">
        <f>'Raw Data Sales'!M707</f>
        <v>85</v>
      </c>
      <c r="G707" s="6">
        <f>'Raw Data Sales'!N707</f>
        <v>7533.04</v>
      </c>
      <c r="H707" s="6" t="str">
        <f>'Raw Data Sales'!O707</f>
        <v>Credit Card</v>
      </c>
    </row>
    <row r="708">
      <c r="A708" s="6">
        <f>'Raw Data Sales'!A708</f>
        <v>707</v>
      </c>
      <c r="D708" s="6" t="str">
        <f>IFERROR(__xludf.DUMMYFUNCTION("""COMPUTED_VALUE"""),"Organic Chia Seeds")</f>
        <v>Organic Chia Seeds</v>
      </c>
      <c r="E708" s="6" t="str">
        <f>'Raw Data Sales'!F708</f>
        <v>Food - Frozen Food</v>
      </c>
      <c r="F708" s="6">
        <f>'Raw Data Sales'!M708</f>
        <v>3</v>
      </c>
      <c r="G708" s="6">
        <f>'Raw Data Sales'!N708</f>
        <v>7368.15</v>
      </c>
      <c r="H708" s="6" t="str">
        <f>'Raw Data Sales'!O708</f>
        <v>Credit Card</v>
      </c>
    </row>
    <row r="709">
      <c r="A709" s="6">
        <f>'Raw Data Sales'!A709</f>
        <v>708</v>
      </c>
      <c r="D709" s="6" t="str">
        <f>IFERROR(__xludf.DUMMYFUNCTION("""COMPUTED_VALUE"""),"Noise Reduction Headphones")</f>
        <v>Noise Reduction Headphones</v>
      </c>
      <c r="E709" s="6" t="str">
        <f>'Raw Data Sales'!F709</f>
        <v>Food - Cooking Oil</v>
      </c>
      <c r="F709" s="6">
        <f>'Raw Data Sales'!M709</f>
        <v>16</v>
      </c>
      <c r="G709" s="6">
        <f>'Raw Data Sales'!N709</f>
        <v>5549.32</v>
      </c>
      <c r="H709" s="6" t="str">
        <f>'Raw Data Sales'!O709</f>
        <v>PayPal</v>
      </c>
    </row>
    <row r="710">
      <c r="A710" s="6">
        <f>'Raw Data Sales'!A710</f>
        <v>709</v>
      </c>
      <c r="D710" s="6" t="str">
        <f>IFERROR(__xludf.DUMMYFUNCTION("""COMPUTED_VALUE"""),"LED Christmas Lights")</f>
        <v>LED Christmas Lights</v>
      </c>
      <c r="E710" s="6" t="str">
        <f>'Raw Data Sales'!F710</f>
        <v>Travel</v>
      </c>
      <c r="F710" s="6">
        <f>'Raw Data Sales'!M710</f>
        <v>86</v>
      </c>
      <c r="G710" s="6">
        <f>'Raw Data Sales'!N710</f>
        <v>3728.33</v>
      </c>
      <c r="H710" s="6" t="str">
        <f>'Raw Data Sales'!O710</f>
        <v>Cash</v>
      </c>
    </row>
    <row r="711">
      <c r="A711" s="6">
        <f>'Raw Data Sales'!A711</f>
        <v>710</v>
      </c>
      <c r="D711" s="6" t="str">
        <f>IFERROR(__xludf.DUMMYFUNCTION("""COMPUTED_VALUE"""),"Breathable Face Mask Set")</f>
        <v>Breathable Face Mask Set</v>
      </c>
      <c r="E711" s="6" t="str">
        <f>'Raw Data Sales'!F711</f>
        <v>Accessories</v>
      </c>
      <c r="F711" s="6">
        <f>'Raw Data Sales'!M711</f>
        <v>19</v>
      </c>
      <c r="G711" s="6">
        <f>'Raw Data Sales'!N711</f>
        <v>6338.94</v>
      </c>
      <c r="H711" s="6" t="str">
        <f>'Raw Data Sales'!O711</f>
        <v>PayPal</v>
      </c>
    </row>
    <row r="712">
      <c r="A712" s="6">
        <f>'Raw Data Sales'!A712</f>
        <v>711</v>
      </c>
      <c r="D712" s="6" t="str">
        <f>IFERROR(__xludf.DUMMYFUNCTION("""COMPUTED_VALUE"""),"Classic Caesar Salad Kit")</f>
        <v>Classic Caesar Salad Kit</v>
      </c>
      <c r="E712" s="6" t="str">
        <f>'Raw Data Sales'!F712</f>
        <v>Food - Produce</v>
      </c>
      <c r="F712" s="6">
        <f>'Raw Data Sales'!M712</f>
        <v>10</v>
      </c>
      <c r="G712" s="6">
        <f>'Raw Data Sales'!N712</f>
        <v>4608.44</v>
      </c>
      <c r="H712" s="6" t="str">
        <f>'Raw Data Sales'!O712</f>
        <v>Credit Card</v>
      </c>
    </row>
    <row r="713">
      <c r="A713" s="6">
        <f>'Raw Data Sales'!A713</f>
        <v>712</v>
      </c>
      <c r="D713" s="6" t="str">
        <f>IFERROR(__xludf.DUMMYFUNCTION("""COMPUTED_VALUE"""),"Self-Inflating Camping Mattress")</f>
        <v>Self-Inflating Camping Mattress</v>
      </c>
      <c r="E713" s="6" t="str">
        <f>'Raw Data Sales'!F713</f>
        <v>Food - Snacks</v>
      </c>
      <c r="F713" s="6">
        <f>'Raw Data Sales'!M713</f>
        <v>66</v>
      </c>
      <c r="G713" s="6">
        <f>'Raw Data Sales'!N713</f>
        <v>1058.46</v>
      </c>
      <c r="H713" s="6" t="str">
        <f>'Raw Data Sales'!O713</f>
        <v>Credit Card</v>
      </c>
    </row>
    <row r="714">
      <c r="A714" s="6">
        <f>'Raw Data Sales'!A714</f>
        <v>713</v>
      </c>
      <c r="D714" s="6" t="str">
        <f>IFERROR(__xludf.DUMMYFUNCTION("""COMPUTED_VALUE"""),"Decorative Throw Blanket")</f>
        <v>Decorative Throw Blanket</v>
      </c>
      <c r="E714" s="6" t="str">
        <f>'Raw Data Sales'!F714</f>
        <v>Food - Condiments</v>
      </c>
      <c r="F714" s="6">
        <f>'Raw Data Sales'!M714</f>
        <v>66</v>
      </c>
      <c r="G714" s="6">
        <f>'Raw Data Sales'!N714</f>
        <v>5685.59</v>
      </c>
      <c r="H714" s="6" t="str">
        <f>'Raw Data Sales'!O714</f>
        <v>PayPal</v>
      </c>
    </row>
    <row r="715">
      <c r="A715" s="6">
        <f>'Raw Data Sales'!A715</f>
        <v>714</v>
      </c>
      <c r="D715" s="6" t="str">
        <f>IFERROR(__xludf.DUMMYFUNCTION("""COMPUTED_VALUE"""),"Electric Heat Pad")</f>
        <v>Electric Heat Pad</v>
      </c>
      <c r="E715" s="6" t="str">
        <f>'Raw Data Sales'!F715</f>
        <v>Food - Snacks</v>
      </c>
      <c r="F715" s="6">
        <f>'Raw Data Sales'!M715</f>
        <v>80</v>
      </c>
      <c r="G715" s="6">
        <f>'Raw Data Sales'!N715</f>
        <v>1626.85</v>
      </c>
      <c r="H715" s="6" t="str">
        <f>'Raw Data Sales'!O715</f>
        <v>Credit Card</v>
      </c>
    </row>
    <row r="716">
      <c r="A716" s="6">
        <f>'Raw Data Sales'!A716</f>
        <v>715</v>
      </c>
      <c r="D716" s="6" t="str">
        <f>IFERROR(__xludf.DUMMYFUNCTION("""COMPUTED_VALUE"""),"Action Camera")</f>
        <v>Action Camera</v>
      </c>
      <c r="E716" s="6" t="str">
        <f>'Raw Data Sales'!F716</f>
        <v>Electronics</v>
      </c>
      <c r="F716" s="6">
        <f>'Raw Data Sales'!M716</f>
        <v>43</v>
      </c>
      <c r="G716" s="6">
        <f>'Raw Data Sales'!N716</f>
        <v>1861.58</v>
      </c>
      <c r="H716" s="6" t="str">
        <f>'Raw Data Sales'!O716</f>
        <v>PayPal</v>
      </c>
    </row>
    <row r="717">
      <c r="A717" s="6">
        <f>'Raw Data Sales'!A717</f>
        <v>716</v>
      </c>
      <c r="D717" s="6" t="str">
        <f>IFERROR(__xludf.DUMMYFUNCTION("""COMPUTED_VALUE"""),"Cork Yoga Mat")</f>
        <v>Cork Yoga Mat</v>
      </c>
      <c r="E717" s="6" t="str">
        <f>'Raw Data Sales'!F717</f>
        <v>Food - Beverages</v>
      </c>
      <c r="F717" s="6">
        <f>'Raw Data Sales'!M717</f>
        <v>41</v>
      </c>
      <c r="G717" s="6">
        <f>'Raw Data Sales'!N717</f>
        <v>7582.98</v>
      </c>
      <c r="H717" s="6" t="str">
        <f>'Raw Data Sales'!O717</f>
        <v>Credit Card</v>
      </c>
    </row>
    <row r="718">
      <c r="A718" s="6">
        <f>'Raw Data Sales'!A718</f>
        <v>717</v>
      </c>
      <c r="D718" s="6" t="str">
        <f>IFERROR(__xludf.DUMMYFUNCTION("""COMPUTED_VALUE"""),"Weighted Blanket for Adults")</f>
        <v>Weighted Blanket for Adults</v>
      </c>
      <c r="E718" s="6" t="str">
        <f>'Raw Data Sales'!F718</f>
        <v>Clothing - Tops</v>
      </c>
      <c r="F718" s="6">
        <f>'Raw Data Sales'!M718</f>
        <v>3</v>
      </c>
      <c r="G718" s="6">
        <f>'Raw Data Sales'!N718</f>
        <v>2086.68</v>
      </c>
      <c r="H718" s="6" t="str">
        <f>'Raw Data Sales'!O718</f>
        <v>Cash</v>
      </c>
    </row>
    <row r="719">
      <c r="A719" s="6">
        <f>'Raw Data Sales'!A719</f>
        <v>718</v>
      </c>
      <c r="D719" s="6" t="str">
        <f>IFERROR(__xludf.DUMMYFUNCTION("""COMPUTED_VALUE"""),"Salt and Pepper Grinder Set")</f>
        <v>Salt and Pepper Grinder Set</v>
      </c>
      <c r="E719" s="6" t="str">
        <f>'Raw Data Sales'!F719</f>
        <v>Food - Condiments</v>
      </c>
      <c r="F719" s="6">
        <f>'Raw Data Sales'!M719</f>
        <v>92</v>
      </c>
      <c r="G719" s="6">
        <f>'Raw Data Sales'!N719</f>
        <v>1457.79</v>
      </c>
      <c r="H719" s="6" t="str">
        <f>'Raw Data Sales'!O719</f>
        <v>Cash</v>
      </c>
    </row>
    <row r="720">
      <c r="A720" s="6">
        <f>'Raw Data Sales'!A720</f>
        <v>719</v>
      </c>
      <c r="D720" s="6" t="str">
        <f>IFERROR(__xludf.DUMMYFUNCTION("""COMPUTED_VALUE"""),"Craft Beer Mustard")</f>
        <v>Craft Beer Mustard</v>
      </c>
      <c r="E720" s="6" t="str">
        <f>'Raw Data Sales'!F720</f>
        <v>Food - Nuts</v>
      </c>
      <c r="F720" s="6">
        <f>'Raw Data Sales'!M720</f>
        <v>58</v>
      </c>
      <c r="G720" s="6">
        <f>'Raw Data Sales'!N720</f>
        <v>7307.2</v>
      </c>
      <c r="H720" s="6" t="str">
        <f>'Raw Data Sales'!O720</f>
        <v>Credit Card</v>
      </c>
    </row>
    <row r="721">
      <c r="A721" s="6">
        <f>'Raw Data Sales'!A721</f>
        <v>720</v>
      </c>
      <c r="D721" s="6" t="str">
        <f>IFERROR(__xludf.DUMMYFUNCTION("""COMPUTED_VALUE"""),"Kale Salad Kit")</f>
        <v>Kale Salad Kit</v>
      </c>
      <c r="E721" s="6" t="str">
        <f>'Raw Data Sales'!F721</f>
        <v>Home</v>
      </c>
      <c r="F721" s="6">
        <f>'Raw Data Sales'!M721</f>
        <v>90</v>
      </c>
      <c r="G721" s="6">
        <f>'Raw Data Sales'!N721</f>
        <v>2683.33</v>
      </c>
      <c r="H721" s="6" t="str">
        <f>'Raw Data Sales'!O721</f>
        <v>PayPal</v>
      </c>
    </row>
    <row r="722">
      <c r="A722" s="6">
        <f>'Raw Data Sales'!A722</f>
        <v>721</v>
      </c>
      <c r="D722" s="6" t="str">
        <f>IFERROR(__xludf.DUMMYFUNCTION("""COMPUTED_VALUE"""),"Hiking Boots")</f>
        <v>Hiking Boots</v>
      </c>
      <c r="E722" s="6" t="str">
        <f>'Raw Data Sales'!F722</f>
        <v>Clothing - Tops</v>
      </c>
      <c r="F722" s="6">
        <f>'Raw Data Sales'!M722</f>
        <v>99</v>
      </c>
      <c r="G722" s="6">
        <f>'Raw Data Sales'!N722</f>
        <v>9352.52</v>
      </c>
      <c r="H722" s="6" t="str">
        <f>'Raw Data Sales'!O722</f>
        <v>PayPal</v>
      </c>
    </row>
    <row r="723">
      <c r="A723" s="6">
        <f>'Raw Data Sales'!A723</f>
        <v>722</v>
      </c>
      <c r="D723" s="6" t="str">
        <f>IFERROR(__xludf.DUMMYFUNCTION("""COMPUTED_VALUE"""),"Athletic Compression Tights")</f>
        <v>Athletic Compression Tights</v>
      </c>
      <c r="E723" s="6" t="str">
        <f>'Raw Data Sales'!F723</f>
        <v>Food - Grains</v>
      </c>
      <c r="F723" s="6">
        <f>'Raw Data Sales'!M723</f>
        <v>63</v>
      </c>
      <c r="G723" s="6">
        <f>'Raw Data Sales'!N723</f>
        <v>7749.97</v>
      </c>
      <c r="H723" s="6" t="str">
        <f>'Raw Data Sales'!O723</f>
        <v>Credit Card</v>
      </c>
    </row>
    <row r="724">
      <c r="A724" s="6">
        <f>'Raw Data Sales'!A724</f>
        <v>723</v>
      </c>
      <c r="D724" s="6" t="str">
        <f>IFERROR(__xludf.DUMMYFUNCTION("""COMPUTED_VALUE"""),"Foldable Electric Scooter")</f>
        <v>Foldable Electric Scooter</v>
      </c>
      <c r="E724" s="6" t="str">
        <f>'Raw Data Sales'!F724</f>
        <v>Food - Dairy</v>
      </c>
      <c r="F724" s="6">
        <f>'Raw Data Sales'!M724</f>
        <v>44</v>
      </c>
      <c r="G724" s="6">
        <f>'Raw Data Sales'!N724</f>
        <v>8679.3</v>
      </c>
      <c r="H724" s="6" t="str">
        <f>'Raw Data Sales'!O724</f>
        <v>PayPal</v>
      </c>
    </row>
    <row r="725">
      <c r="A725" s="6">
        <f>'Raw Data Sales'!A725</f>
        <v>724</v>
      </c>
      <c r="D725" s="6" t="str">
        <f>IFERROR(__xludf.DUMMYFUNCTION("""COMPUTED_VALUE"""),"Decorative Wall Tapestry")</f>
        <v>Decorative Wall Tapestry</v>
      </c>
      <c r="E725" s="6" t="str">
        <f>'Raw Data Sales'!F725</f>
        <v>Food - Nuts</v>
      </c>
      <c r="F725" s="6">
        <f>'Raw Data Sales'!M725</f>
        <v>93</v>
      </c>
      <c r="G725" s="6">
        <f>'Raw Data Sales'!N725</f>
        <v>4455.07</v>
      </c>
      <c r="H725" s="6" t="str">
        <f>'Raw Data Sales'!O725</f>
        <v>Cash</v>
      </c>
    </row>
    <row r="726">
      <c r="A726" s="6">
        <f>'Raw Data Sales'!A726</f>
        <v>725</v>
      </c>
      <c r="D726" s="6" t="str">
        <f>IFERROR(__xludf.DUMMYFUNCTION("""COMPUTED_VALUE"""),"Peanut Butter Banana Smoothie Mix")</f>
        <v>Peanut Butter Banana Smoothie Mix</v>
      </c>
      <c r="E726" s="6" t="str">
        <f>'Raw Data Sales'!F726</f>
        <v>Food - Canned Goods</v>
      </c>
      <c r="F726" s="6">
        <f>'Raw Data Sales'!M726</f>
        <v>56</v>
      </c>
      <c r="G726" s="6">
        <f>'Raw Data Sales'!N726</f>
        <v>1673.04</v>
      </c>
      <c r="H726" s="6" t="str">
        <f>'Raw Data Sales'!O726</f>
        <v>PayPal</v>
      </c>
    </row>
    <row r="727">
      <c r="A727" s="6">
        <f>'Raw Data Sales'!A727</f>
        <v>726</v>
      </c>
      <c r="D727" s="6" t="str">
        <f>IFERROR(__xludf.DUMMYFUNCTION("""COMPUTED_VALUE"""),"Electric Butter Churn")</f>
        <v>Electric Butter Churn</v>
      </c>
      <c r="E727" s="6" t="str">
        <f>'Raw Data Sales'!F727</f>
        <v>Food - Sides</v>
      </c>
      <c r="F727" s="6">
        <f>'Raw Data Sales'!M727</f>
        <v>30</v>
      </c>
      <c r="G727" s="6">
        <f>'Raw Data Sales'!N727</f>
        <v>7443.05</v>
      </c>
      <c r="H727" s="6" t="str">
        <f>'Raw Data Sales'!O727</f>
        <v>Cash</v>
      </c>
    </row>
    <row r="728">
      <c r="A728" s="6">
        <f>'Raw Data Sales'!A728</f>
        <v>727</v>
      </c>
      <c r="D728" s="6" t="str">
        <f>IFERROR(__xludf.DUMMYFUNCTION("""COMPUTED_VALUE"""),"Garlic Herb Cream Cheese")</f>
        <v>Garlic Herb Cream Cheese</v>
      </c>
      <c r="E728" s="6" t="str">
        <f>'Raw Data Sales'!F728</f>
        <v>Home</v>
      </c>
      <c r="F728" s="6">
        <f>'Raw Data Sales'!M728</f>
        <v>79</v>
      </c>
      <c r="G728" s="6">
        <f>'Raw Data Sales'!N728</f>
        <v>8864.78</v>
      </c>
      <c r="H728" s="6" t="str">
        <f>'Raw Data Sales'!O728</f>
        <v>Credit Card</v>
      </c>
    </row>
    <row r="729">
      <c r="A729" s="6">
        <f>'Raw Data Sales'!A729</f>
        <v>728</v>
      </c>
      <c r="D729" s="6" t="str">
        <f>IFERROR(__xludf.DUMMYFUNCTION("""COMPUTED_VALUE"""),"Smart Air Purifier")</f>
        <v>Smart Air Purifier</v>
      </c>
      <c r="E729" s="6" t="str">
        <f>'Raw Data Sales'!F729</f>
        <v>Kitchen</v>
      </c>
      <c r="F729" s="6">
        <f>'Raw Data Sales'!M729</f>
        <v>41</v>
      </c>
      <c r="G729" s="6">
        <f>'Raw Data Sales'!N729</f>
        <v>3614.19</v>
      </c>
      <c r="H729" s="6" t="str">
        <f>'Raw Data Sales'!O729</f>
        <v>PayPal</v>
      </c>
    </row>
    <row r="730">
      <c r="A730" s="6">
        <f>'Raw Data Sales'!A730</f>
        <v>729</v>
      </c>
      <c r="D730" s="6" t="str">
        <f>IFERROR(__xludf.DUMMYFUNCTION("""COMPUTED_VALUE"""),"Phone Case")</f>
        <v>Phone Case</v>
      </c>
      <c r="E730" s="6" t="str">
        <f>'Raw Data Sales'!F730</f>
        <v>Kitchen</v>
      </c>
      <c r="F730" s="6">
        <f>'Raw Data Sales'!M730</f>
        <v>40</v>
      </c>
      <c r="G730" s="6">
        <f>'Raw Data Sales'!N730</f>
        <v>2220.69</v>
      </c>
      <c r="H730" s="6" t="str">
        <f>'Raw Data Sales'!O730</f>
        <v>Cash</v>
      </c>
    </row>
    <row r="731">
      <c r="A731" s="6">
        <f>'Raw Data Sales'!A731</f>
        <v>730</v>
      </c>
      <c r="D731" s="6" t="str">
        <f>IFERROR(__xludf.DUMMYFUNCTION("""COMPUTED_VALUE"""),"Spinach and Cheese Stuffed Shells")</f>
        <v>Spinach and Cheese Stuffed Shells</v>
      </c>
      <c r="E731" s="6" t="str">
        <f>'Raw Data Sales'!F731</f>
        <v>Books</v>
      </c>
      <c r="F731" s="6">
        <f>'Raw Data Sales'!M731</f>
        <v>65</v>
      </c>
      <c r="G731" s="6">
        <f>'Raw Data Sales'!N731</f>
        <v>1217.71</v>
      </c>
      <c r="H731" s="6" t="str">
        <f>'Raw Data Sales'!O731</f>
        <v>Cash</v>
      </c>
    </row>
    <row r="732">
      <c r="A732" s="6">
        <f>'Raw Data Sales'!A732</f>
        <v>731</v>
      </c>
      <c r="D732" s="6" t="str">
        <f>IFERROR(__xludf.DUMMYFUNCTION("""COMPUTED_VALUE"""),"Chocolate Coconut Granola")</f>
        <v>Chocolate Coconut Granola</v>
      </c>
      <c r="E732" s="6" t="str">
        <f>'Raw Data Sales'!F732</f>
        <v>Food - Prepared Meals</v>
      </c>
      <c r="F732" s="6">
        <f>'Raw Data Sales'!M732</f>
        <v>1</v>
      </c>
      <c r="G732" s="6">
        <f>'Raw Data Sales'!N732</f>
        <v>4528.11</v>
      </c>
      <c r="H732" s="6" t="str">
        <f>'Raw Data Sales'!O732</f>
        <v>PayPal</v>
      </c>
    </row>
    <row r="733">
      <c r="A733" s="6">
        <f>'Raw Data Sales'!A733</f>
        <v>732</v>
      </c>
      <c r="D733" s="6" t="str">
        <f>IFERROR(__xludf.DUMMYFUNCTION("""COMPUTED_VALUE"""),"Self-Cleaning Cat Litter Box")</f>
        <v>Self-Cleaning Cat Litter Box</v>
      </c>
      <c r="E733" s="6" t="str">
        <f>'Raw Data Sales'!F733</f>
        <v>Food - Cereal</v>
      </c>
      <c r="F733" s="6">
        <f>'Raw Data Sales'!M733</f>
        <v>76</v>
      </c>
      <c r="G733" s="6">
        <f>'Raw Data Sales'!N733</f>
        <v>8165.38</v>
      </c>
      <c r="H733" s="6" t="str">
        <f>'Raw Data Sales'!O733</f>
        <v>PayPal</v>
      </c>
    </row>
    <row r="734">
      <c r="A734" s="6">
        <f>'Raw Data Sales'!A734</f>
        <v>733</v>
      </c>
      <c r="D734" s="6" t="str">
        <f>IFERROR(__xludf.DUMMYFUNCTION("""COMPUTED_VALUE"""),"Personal Blender with Cups")</f>
        <v>Personal Blender with Cups</v>
      </c>
      <c r="E734" s="6" t="str">
        <f>'Raw Data Sales'!F734</f>
        <v>Food - Sides</v>
      </c>
      <c r="F734" s="6">
        <f>'Raw Data Sales'!M734</f>
        <v>93</v>
      </c>
      <c r="G734" s="6">
        <f>'Raw Data Sales'!N734</f>
        <v>4610.52</v>
      </c>
      <c r="H734" s="6" t="str">
        <f>'Raw Data Sales'!O734</f>
        <v>Credit Card</v>
      </c>
    </row>
    <row r="735">
      <c r="A735" s="6">
        <f>'Raw Data Sales'!A735</f>
        <v>734</v>
      </c>
      <c r="D735" s="6" t="str">
        <f>IFERROR(__xludf.DUMMYFUNCTION("""COMPUTED_VALUE"""),"Falafel Mix")</f>
        <v>Falafel Mix</v>
      </c>
      <c r="E735" s="6" t="str">
        <f>'Raw Data Sales'!F735</f>
        <v>Food - Snacks</v>
      </c>
      <c r="F735" s="6">
        <f>'Raw Data Sales'!M735</f>
        <v>81</v>
      </c>
      <c r="G735" s="6">
        <f>'Raw Data Sales'!N735</f>
        <v>5690.73</v>
      </c>
      <c r="H735" s="6" t="str">
        <f>'Raw Data Sales'!O735</f>
        <v>Cash</v>
      </c>
    </row>
    <row r="736">
      <c r="A736" s="6">
        <f>'Raw Data Sales'!A736</f>
        <v>735</v>
      </c>
      <c r="D736" s="6" t="str">
        <f>IFERROR(__xludf.DUMMYFUNCTION("""COMPUTED_VALUE"""),"Chocolate Hazelnut Granola")</f>
        <v>Chocolate Hazelnut Granola</v>
      </c>
      <c r="E736" s="6" t="str">
        <f>'Raw Data Sales'!F736</f>
        <v>Home</v>
      </c>
      <c r="F736" s="6">
        <f>'Raw Data Sales'!M736</f>
        <v>51</v>
      </c>
      <c r="G736" s="6">
        <f>'Raw Data Sales'!N736</f>
        <v>3449.62</v>
      </c>
      <c r="H736" s="6" t="str">
        <f>'Raw Data Sales'!O736</f>
        <v>PayPal</v>
      </c>
    </row>
    <row r="737">
      <c r="A737" s="6">
        <f>'Raw Data Sales'!A737</f>
        <v>736</v>
      </c>
      <c r="D737" s="6" t="str">
        <f>IFERROR(__xludf.DUMMYFUNCTION("""COMPUTED_VALUE"""),"Chocolate Coconut Protein Balls")</f>
        <v>Chocolate Coconut Protein Balls</v>
      </c>
      <c r="E737" s="6" t="str">
        <f>'Raw Data Sales'!F737</f>
        <v>Food - Condiments</v>
      </c>
      <c r="F737" s="6">
        <f>'Raw Data Sales'!M737</f>
        <v>84</v>
      </c>
      <c r="G737" s="6">
        <f>'Raw Data Sales'!N737</f>
        <v>2747.38</v>
      </c>
      <c r="H737" s="6" t="str">
        <f>'Raw Data Sales'!O737</f>
        <v>Credit Card</v>
      </c>
    </row>
    <row r="738">
      <c r="A738" s="6">
        <f>'Raw Data Sales'!A738</f>
        <v>737</v>
      </c>
      <c r="D738" s="6" t="str">
        <f>IFERROR(__xludf.DUMMYFUNCTION("""COMPUTED_VALUE"""),"Kettle Chip Variety Pack")</f>
        <v>Kettle Chip Variety Pack</v>
      </c>
      <c r="E738" s="6" t="str">
        <f>'Raw Data Sales'!F738</f>
        <v>Food - Snacks</v>
      </c>
      <c r="F738" s="6">
        <f>'Raw Data Sales'!M738</f>
        <v>1</v>
      </c>
      <c r="G738" s="6">
        <f>'Raw Data Sales'!N738</f>
        <v>8609.99</v>
      </c>
      <c r="H738" s="6" t="str">
        <f>'Raw Data Sales'!O738</f>
        <v>PayPal</v>
      </c>
    </row>
    <row r="739">
      <c r="A739" s="6">
        <f>'Raw Data Sales'!A739</f>
        <v>738</v>
      </c>
      <c r="D739" s="6" t="str">
        <f>IFERROR(__xludf.DUMMYFUNCTION("""COMPUTED_VALUE"""),"Coconut Water")</f>
        <v>Coconut Water</v>
      </c>
      <c r="E739" s="6" t="str">
        <f>'Raw Data Sales'!F739</f>
        <v>Home</v>
      </c>
      <c r="F739" s="6">
        <f>'Raw Data Sales'!M739</f>
        <v>89</v>
      </c>
      <c r="G739" s="6">
        <f>'Raw Data Sales'!N739</f>
        <v>51.42</v>
      </c>
      <c r="H739" s="6" t="str">
        <f>'Raw Data Sales'!O739</f>
        <v>Cash</v>
      </c>
    </row>
    <row r="740">
      <c r="A740" s="6">
        <f>'Raw Data Sales'!A740</f>
        <v>739</v>
      </c>
      <c r="D740" s="6" t="str">
        <f>IFERROR(__xludf.DUMMYFUNCTION("""COMPUTED_VALUE"""),"Ice Cream Scoop")</f>
        <v>Ice Cream Scoop</v>
      </c>
      <c r="E740" s="6" t="str">
        <f>'Raw Data Sales'!F740</f>
        <v>Kitchen</v>
      </c>
      <c r="F740" s="6">
        <f>'Raw Data Sales'!M740</f>
        <v>33</v>
      </c>
      <c r="G740" s="6">
        <f>'Raw Data Sales'!N740</f>
        <v>3432.5</v>
      </c>
      <c r="H740" s="6" t="str">
        <f>'Raw Data Sales'!O740</f>
        <v>PayPal</v>
      </c>
    </row>
    <row r="741">
      <c r="A741" s="6">
        <f>'Raw Data Sales'!A741</f>
        <v>740</v>
      </c>
      <c r="D741" s="6" t="str">
        <f>IFERROR(__xludf.DUMMYFUNCTION("""COMPUTED_VALUE"""),"Safety Goggles")</f>
        <v>Safety Goggles</v>
      </c>
      <c r="E741" s="6" t="str">
        <f>'Raw Data Sales'!F741</f>
        <v>Kitchen</v>
      </c>
      <c r="F741" s="6">
        <f>'Raw Data Sales'!M741</f>
        <v>25</v>
      </c>
      <c r="G741" s="6">
        <f>'Raw Data Sales'!N741</f>
        <v>7873.34</v>
      </c>
      <c r="H741" s="6" t="str">
        <f>'Raw Data Sales'!O741</f>
        <v>Cash</v>
      </c>
    </row>
    <row r="742">
      <c r="A742" s="6">
        <f>'Raw Data Sales'!A742</f>
        <v>741</v>
      </c>
      <c r="D742" s="6" t="str">
        <f>IFERROR(__xludf.DUMMYFUNCTION("""COMPUTED_VALUE"""),"Italian Marinara Sauce")</f>
        <v>Italian Marinara Sauce</v>
      </c>
      <c r="E742" s="6" t="str">
        <f>'Raw Data Sales'!F742</f>
        <v>Clothing - Outerwear</v>
      </c>
      <c r="F742" s="6">
        <f>'Raw Data Sales'!M742</f>
        <v>98</v>
      </c>
      <c r="G742" s="6">
        <f>'Raw Data Sales'!N742</f>
        <v>4350.84</v>
      </c>
      <c r="H742" s="6" t="str">
        <f>'Raw Data Sales'!O742</f>
        <v>Cash</v>
      </c>
    </row>
    <row r="743">
      <c r="A743" s="6">
        <f>'Raw Data Sales'!A743</f>
        <v>742</v>
      </c>
      <c r="D743" s="6" t="str">
        <f>IFERROR(__xludf.DUMMYFUNCTION("""COMPUTED_VALUE"""),"Feta Cheese")</f>
        <v>Feta Cheese</v>
      </c>
      <c r="E743" s="6" t="str">
        <f>'Raw Data Sales'!F743</f>
        <v>Food - Snacks</v>
      </c>
      <c r="F743" s="6">
        <f>'Raw Data Sales'!M743</f>
        <v>12</v>
      </c>
      <c r="G743" s="6">
        <f>'Raw Data Sales'!N743</f>
        <v>1238.99</v>
      </c>
      <c r="H743" s="6" t="str">
        <f>'Raw Data Sales'!O743</f>
        <v>PayPal</v>
      </c>
    </row>
    <row r="744">
      <c r="A744" s="6">
        <f>'Raw Data Sales'!A744</f>
        <v>743</v>
      </c>
      <c r="D744" s="6" t="str">
        <f>IFERROR(__xludf.DUMMYFUNCTION("""COMPUTED_VALUE"""),"Ultraviolet Phone Sanitizer")</f>
        <v>Ultraviolet Phone Sanitizer</v>
      </c>
      <c r="E744" s="6" t="str">
        <f>'Raw Data Sales'!F744</f>
        <v>Food - Fruits</v>
      </c>
      <c r="F744" s="6">
        <f>'Raw Data Sales'!M744</f>
        <v>34</v>
      </c>
      <c r="G744" s="6">
        <f>'Raw Data Sales'!N744</f>
        <v>7377.44</v>
      </c>
      <c r="H744" s="6" t="str">
        <f>'Raw Data Sales'!O744</f>
        <v>PayPal</v>
      </c>
    </row>
    <row r="745">
      <c r="A745" s="6">
        <f>'Raw Data Sales'!A745</f>
        <v>744</v>
      </c>
      <c r="D745" s="6" t="str">
        <f>IFERROR(__xludf.DUMMYFUNCTION("""COMPUTED_VALUE"""),"Outdoor String Lights")</f>
        <v>Outdoor String Lights</v>
      </c>
      <c r="E745" s="6" t="str">
        <f>'Raw Data Sales'!F745</f>
        <v>Pets</v>
      </c>
      <c r="F745" s="6">
        <f>'Raw Data Sales'!M745</f>
        <v>19</v>
      </c>
      <c r="G745" s="6">
        <f>'Raw Data Sales'!N745</f>
        <v>6417.68</v>
      </c>
      <c r="H745" s="6" t="str">
        <f>'Raw Data Sales'!O745</f>
        <v>Cash</v>
      </c>
    </row>
    <row r="746">
      <c r="A746" s="6">
        <f>'Raw Data Sales'!A746</f>
        <v>745</v>
      </c>
      <c r="D746" s="6" t="str">
        <f>IFERROR(__xludf.DUMMYFUNCTION("""COMPUTED_VALUE"""),"Tattoo Kit")</f>
        <v>Tattoo Kit</v>
      </c>
      <c r="E746" s="6" t="str">
        <f>'Raw Data Sales'!F746</f>
        <v>Food - Frozen Foods</v>
      </c>
      <c r="F746" s="6">
        <f>'Raw Data Sales'!M746</f>
        <v>28</v>
      </c>
      <c r="G746" s="6">
        <f>'Raw Data Sales'!N746</f>
        <v>9964.39</v>
      </c>
      <c r="H746" s="6" t="str">
        <f>'Raw Data Sales'!O746</f>
        <v>PayPal</v>
      </c>
    </row>
    <row r="747">
      <c r="A747" s="6">
        <f>'Raw Data Sales'!A747</f>
        <v>746</v>
      </c>
      <c r="D747" s="6" t="str">
        <f>IFERROR(__xludf.DUMMYFUNCTION("""COMPUTED_VALUE"""),"Chipotle Seasoning Blend")</f>
        <v>Chipotle Seasoning Blend</v>
      </c>
      <c r="E747" s="6" t="str">
        <f>'Raw Data Sales'!F747</f>
        <v>Food - Pasta</v>
      </c>
      <c r="F747" s="6">
        <f>'Raw Data Sales'!M747</f>
        <v>2</v>
      </c>
      <c r="G747" s="6">
        <f>'Raw Data Sales'!N747</f>
        <v>852.72</v>
      </c>
      <c r="H747" s="6" t="str">
        <f>'Raw Data Sales'!O747</f>
        <v>Cash</v>
      </c>
    </row>
    <row r="748">
      <c r="A748" s="6">
        <f>'Raw Data Sales'!A748</f>
        <v>747</v>
      </c>
      <c r="D748" s="6" t="str">
        <f>IFERROR(__xludf.DUMMYFUNCTION("""COMPUTED_VALUE"""),"Zesty Cilantro Lime Dressing")</f>
        <v>Zesty Cilantro Lime Dressing</v>
      </c>
      <c r="E748" s="6" t="str">
        <f>'Raw Data Sales'!F748</f>
        <v>Food - Dressings</v>
      </c>
      <c r="F748" s="6">
        <f>'Raw Data Sales'!M748</f>
        <v>23</v>
      </c>
      <c r="G748" s="6">
        <f>'Raw Data Sales'!N748</f>
        <v>9407.93</v>
      </c>
      <c r="H748" s="6" t="str">
        <f>'Raw Data Sales'!O748</f>
        <v>Cash</v>
      </c>
    </row>
    <row r="749">
      <c r="A749" s="6">
        <f>'Raw Data Sales'!A749</f>
        <v>748</v>
      </c>
      <c r="D749" s="6" t="str">
        <f>IFERROR(__xludf.DUMMYFUNCTION("""COMPUTED_VALUE"""),"Handmade Leather Wallet")</f>
        <v>Handmade Leather Wallet</v>
      </c>
      <c r="E749" s="6" t="str">
        <f>'Raw Data Sales'!F749</f>
        <v>Tools</v>
      </c>
      <c r="F749" s="6">
        <f>'Raw Data Sales'!M749</f>
        <v>59</v>
      </c>
      <c r="G749" s="6">
        <f>'Raw Data Sales'!N749</f>
        <v>681.36</v>
      </c>
      <c r="H749" s="6" t="str">
        <f>'Raw Data Sales'!O749</f>
        <v>Cash</v>
      </c>
    </row>
    <row r="750">
      <c r="A750" s="6">
        <f>'Raw Data Sales'!A750</f>
        <v>749</v>
      </c>
      <c r="D750" s="6" t="str">
        <f>IFERROR(__xludf.DUMMYFUNCTION("""COMPUTED_VALUE"""),"Tomato Basil Soup")</f>
        <v>Tomato Basil Soup</v>
      </c>
      <c r="E750" s="6" t="str">
        <f>'Raw Data Sales'!F750</f>
        <v>Food - Canned Goods</v>
      </c>
      <c r="F750" s="6">
        <f>'Raw Data Sales'!M750</f>
        <v>38</v>
      </c>
      <c r="G750" s="6">
        <f>'Raw Data Sales'!N750</f>
        <v>6862.19</v>
      </c>
      <c r="H750" s="6" t="str">
        <f>'Raw Data Sales'!O750</f>
        <v>PayPal</v>
      </c>
    </row>
    <row r="751">
      <c r="A751" s="6">
        <f>'Raw Data Sales'!A751</f>
        <v>750</v>
      </c>
      <c r="D751" s="6" t="str">
        <f>IFERROR(__xludf.DUMMYFUNCTION("""COMPUTED_VALUE"""),"Applewood Smoked Bacon")</f>
        <v>Applewood Smoked Bacon</v>
      </c>
      <c r="E751" s="6" t="str">
        <f>'Raw Data Sales'!F751</f>
        <v>Food - Condiments</v>
      </c>
      <c r="F751" s="6">
        <f>'Raw Data Sales'!M751</f>
        <v>58</v>
      </c>
      <c r="G751" s="6">
        <f>'Raw Data Sales'!N751</f>
        <v>6015.59</v>
      </c>
      <c r="H751" s="6" t="str">
        <f>'Raw Data Sales'!O751</f>
        <v>PayPal</v>
      </c>
    </row>
    <row r="752">
      <c r="A752" s="6">
        <f>'Raw Data Sales'!A752</f>
        <v>751</v>
      </c>
      <c r="D752" s="6" t="str">
        <f>IFERROR(__xludf.DUMMYFUNCTION("""COMPUTED_VALUE"""),"Chiffon Blouse")</f>
        <v>Chiffon Blouse</v>
      </c>
      <c r="E752" s="6" t="str">
        <f>'Raw Data Sales'!F752</f>
        <v>Toys</v>
      </c>
      <c r="F752" s="6">
        <f>'Raw Data Sales'!M752</f>
        <v>95</v>
      </c>
      <c r="G752" s="6">
        <f>'Raw Data Sales'!N752</f>
        <v>3295.14</v>
      </c>
      <c r="H752" s="6" t="str">
        <f>'Raw Data Sales'!O752</f>
        <v>Credit Card</v>
      </c>
    </row>
    <row r="753">
      <c r="A753" s="6">
        <f>'Raw Data Sales'!A753</f>
        <v>752</v>
      </c>
      <c r="D753" s="6" t="str">
        <f>IFERROR(__xludf.DUMMYFUNCTION("""COMPUTED_VALUE"""),"Organic Baby Spinach")</f>
        <v>Organic Baby Spinach</v>
      </c>
      <c r="E753" s="6" t="str">
        <f>'Raw Data Sales'!F753</f>
        <v>Fitness</v>
      </c>
      <c r="F753" s="6">
        <f>'Raw Data Sales'!M753</f>
        <v>17</v>
      </c>
      <c r="G753" s="6">
        <f>'Raw Data Sales'!N753</f>
        <v>1715.95</v>
      </c>
      <c r="H753" s="6" t="str">
        <f>'Raw Data Sales'!O753</f>
        <v>Cash</v>
      </c>
    </row>
    <row r="754">
      <c r="A754" s="6">
        <f>'Raw Data Sales'!A754</f>
        <v>753</v>
      </c>
      <c r="D754" s="6" t="str">
        <f>IFERROR(__xludf.DUMMYFUNCTION("""COMPUTED_VALUE"""),"Hibiscus Herbal Tea")</f>
        <v>Hibiscus Herbal Tea</v>
      </c>
      <c r="E754" s="6" t="str">
        <f>'Raw Data Sales'!F754</f>
        <v>Food - Nuts</v>
      </c>
      <c r="F754" s="6">
        <f>'Raw Data Sales'!M754</f>
        <v>99</v>
      </c>
      <c r="G754" s="6">
        <f>'Raw Data Sales'!N754</f>
        <v>3676.36</v>
      </c>
      <c r="H754" s="6" t="str">
        <f>'Raw Data Sales'!O754</f>
        <v>Credit Card</v>
      </c>
    </row>
    <row r="755">
      <c r="A755" s="6">
        <f>'Raw Data Sales'!A755</f>
        <v>754</v>
      </c>
      <c r="D755" s="6" t="str">
        <f>IFERROR(__xludf.DUMMYFUNCTION("""COMPUTED_VALUE"""),"Asian Noodle Salad Kit")</f>
        <v>Asian Noodle Salad Kit</v>
      </c>
      <c r="E755" s="6" t="str">
        <f>'Raw Data Sales'!F755</f>
        <v>Food - Soups</v>
      </c>
      <c r="F755" s="6">
        <f>'Raw Data Sales'!M755</f>
        <v>95</v>
      </c>
      <c r="G755" s="6">
        <f>'Raw Data Sales'!N755</f>
        <v>5745.78</v>
      </c>
      <c r="H755" s="6" t="str">
        <f>'Raw Data Sales'!O755</f>
        <v>PayPal</v>
      </c>
    </row>
    <row r="756">
      <c r="A756" s="6">
        <f>'Raw Data Sales'!A756</f>
        <v>755</v>
      </c>
      <c r="D756" s="6" t="str">
        <f>IFERROR(__xludf.DUMMYFUNCTION("""COMPUTED_VALUE"""),"Cranberry Almond Biscotti")</f>
        <v>Cranberry Almond Biscotti</v>
      </c>
      <c r="E756" s="6" t="str">
        <f>'Raw Data Sales'!F756</f>
        <v>Garden</v>
      </c>
      <c r="F756" s="6">
        <f>'Raw Data Sales'!M756</f>
        <v>12</v>
      </c>
      <c r="G756" s="6">
        <f>'Raw Data Sales'!N756</f>
        <v>6353.37</v>
      </c>
      <c r="H756" s="6" t="str">
        <f>'Raw Data Sales'!O756</f>
        <v>PayPal</v>
      </c>
    </row>
    <row r="757">
      <c r="A757" s="6">
        <f>'Raw Data Sales'!A757</f>
        <v>756</v>
      </c>
      <c r="D757" s="6" t="str">
        <f>IFERROR(__xludf.DUMMYFUNCTION("""COMPUTED_VALUE"""),"Desk Organizer Set")</f>
        <v>Desk Organizer Set</v>
      </c>
      <c r="E757" s="6" t="str">
        <f>'Raw Data Sales'!F757</f>
        <v>Home</v>
      </c>
      <c r="F757" s="6">
        <f>'Raw Data Sales'!M757</f>
        <v>78</v>
      </c>
      <c r="G757" s="6">
        <f>'Raw Data Sales'!N757</f>
        <v>16.78</v>
      </c>
      <c r="H757" s="6" t="str">
        <f>'Raw Data Sales'!O757</f>
        <v>Credit Card</v>
      </c>
    </row>
    <row r="758">
      <c r="A758" s="6">
        <f>'Raw Data Sales'!A758</f>
        <v>757</v>
      </c>
      <c r="D758" s="6" t="str">
        <f>IFERROR(__xludf.DUMMYFUNCTION("""COMPUTED_VALUE"""),"Spice Rack")</f>
        <v>Spice Rack</v>
      </c>
      <c r="E758" s="6" t="str">
        <f>'Raw Data Sales'!F758</f>
        <v>Food - Sauces</v>
      </c>
      <c r="F758" s="6">
        <f>'Raw Data Sales'!M758</f>
        <v>70</v>
      </c>
      <c r="G758" s="6">
        <f>'Raw Data Sales'!N758</f>
        <v>7517.01</v>
      </c>
      <c r="H758" s="6" t="str">
        <f>'Raw Data Sales'!O758</f>
        <v>Cash</v>
      </c>
    </row>
    <row r="759">
      <c r="A759" s="6">
        <f>'Raw Data Sales'!A759</f>
        <v>758</v>
      </c>
      <c r="D759" s="6" t="str">
        <f>IFERROR(__xludf.DUMMYFUNCTION("""COMPUTED_VALUE"""),"Creamy Spinach Dip")</f>
        <v>Creamy Spinach Dip</v>
      </c>
      <c r="E759" s="6" t="str">
        <f>'Raw Data Sales'!F759</f>
        <v>Food - Vegetables</v>
      </c>
      <c r="F759" s="6">
        <f>'Raw Data Sales'!M759</f>
        <v>52</v>
      </c>
      <c r="G759" s="6">
        <f>'Raw Data Sales'!N759</f>
        <v>2520.92</v>
      </c>
      <c r="H759" s="6" t="str">
        <f>'Raw Data Sales'!O759</f>
        <v>Credit Card</v>
      </c>
    </row>
    <row r="760">
      <c r="A760" s="6">
        <f>'Raw Data Sales'!A760</f>
        <v>759</v>
      </c>
      <c r="D760" s="6" t="str">
        <f>IFERROR(__xludf.DUMMYFUNCTION("""COMPUTED_VALUE"""),"Pesto Pasta Salad")</f>
        <v>Pesto Pasta Salad</v>
      </c>
      <c r="E760" s="6" t="str">
        <f>'Raw Data Sales'!F760</f>
        <v>Pets</v>
      </c>
      <c r="F760" s="6">
        <f>'Raw Data Sales'!M760</f>
        <v>99</v>
      </c>
      <c r="G760" s="6">
        <f>'Raw Data Sales'!N760</f>
        <v>5053.15</v>
      </c>
      <c r="H760" s="6" t="str">
        <f>'Raw Data Sales'!O760</f>
        <v>Cash</v>
      </c>
    </row>
    <row r="761">
      <c r="A761" s="6">
        <f>'Raw Data Sales'!A761</f>
        <v>760</v>
      </c>
      <c r="D761" s="6" t="str">
        <f>IFERROR(__xludf.DUMMYFUNCTION("""COMPUTED_VALUE"""),"Beef Tacos")</f>
        <v>Beef Tacos</v>
      </c>
      <c r="E761" s="6" t="str">
        <f>'Raw Data Sales'!F761</f>
        <v>Food - Produce</v>
      </c>
      <c r="F761" s="6">
        <f>'Raw Data Sales'!M761</f>
        <v>83</v>
      </c>
      <c r="G761" s="6">
        <f>'Raw Data Sales'!N761</f>
        <v>2833.17</v>
      </c>
      <c r="H761" s="6" t="str">
        <f>'Raw Data Sales'!O761</f>
        <v>Credit Card</v>
      </c>
    </row>
    <row r="762">
      <c r="A762" s="6">
        <f>'Raw Data Sales'!A762</f>
        <v>761</v>
      </c>
      <c r="D762" s="6" t="str">
        <f>IFERROR(__xludf.DUMMYFUNCTION("""COMPUTED_VALUE"""),"Professional Chef Knife")</f>
        <v>Professional Chef Knife</v>
      </c>
      <c r="E762" s="6" t="str">
        <f>'Raw Data Sales'!F762</f>
        <v>Kitchen</v>
      </c>
      <c r="F762" s="6">
        <f>'Raw Data Sales'!M762</f>
        <v>25</v>
      </c>
      <c r="G762" s="6">
        <f>'Raw Data Sales'!N762</f>
        <v>8504</v>
      </c>
      <c r="H762" s="6" t="str">
        <f>'Raw Data Sales'!O762</f>
        <v>PayPal</v>
      </c>
    </row>
    <row r="763">
      <c r="A763" s="6">
        <f>'Raw Data Sales'!A763</f>
        <v>762</v>
      </c>
      <c r="D763" s="6" t="str">
        <f>IFERROR(__xludf.DUMMYFUNCTION("""COMPUTED_VALUE"""),"Cereal Dispenser with Portion Control")</f>
        <v>Cereal Dispenser with Portion Control</v>
      </c>
      <c r="E763" s="6" t="str">
        <f>'Raw Data Sales'!F763</f>
        <v>Food - Sauces</v>
      </c>
      <c r="F763" s="6">
        <f>'Raw Data Sales'!M763</f>
        <v>57</v>
      </c>
      <c r="G763" s="6">
        <f>'Raw Data Sales'!N763</f>
        <v>5939.67</v>
      </c>
      <c r="H763" s="6" t="str">
        <f>'Raw Data Sales'!O763</f>
        <v>PayPal</v>
      </c>
    </row>
    <row r="764">
      <c r="A764" s="6">
        <f>'Raw Data Sales'!A764</f>
        <v>763</v>
      </c>
      <c r="D764" s="6" t="str">
        <f>IFERROR(__xludf.DUMMYFUNCTION("""COMPUTED_VALUE"""),"Chicken Parmesan Dinner Kit")</f>
        <v>Chicken Parmesan Dinner Kit</v>
      </c>
      <c r="E764" s="6" t="str">
        <f>'Raw Data Sales'!F764</f>
        <v>Food - Prepared Foods</v>
      </c>
      <c r="F764" s="6">
        <f>'Raw Data Sales'!M764</f>
        <v>86</v>
      </c>
      <c r="G764" s="6">
        <f>'Raw Data Sales'!N764</f>
        <v>7010.92</v>
      </c>
      <c r="H764" s="6" t="str">
        <f>'Raw Data Sales'!O764</f>
        <v>Cash</v>
      </c>
    </row>
    <row r="765">
      <c r="A765" s="6">
        <f>'Raw Data Sales'!A765</f>
        <v>764</v>
      </c>
      <c r="D765" s="6" t="str">
        <f>IFERROR(__xludf.DUMMYFUNCTION("""COMPUTED_VALUE"""),"Silicone Cooking Utensils Set")</f>
        <v>Silicone Cooking Utensils Set</v>
      </c>
      <c r="E765" s="6" t="str">
        <f>'Raw Data Sales'!F765</f>
        <v>Food - Frozen Foods</v>
      </c>
      <c r="F765" s="6">
        <f>'Raw Data Sales'!M765</f>
        <v>59</v>
      </c>
      <c r="G765" s="6">
        <f>'Raw Data Sales'!N765</f>
        <v>9572.94</v>
      </c>
      <c r="H765" s="6" t="str">
        <f>'Raw Data Sales'!O765</f>
        <v>Credit Card</v>
      </c>
    </row>
    <row r="766">
      <c r="A766" s="6">
        <f>'Raw Data Sales'!A766</f>
        <v>765</v>
      </c>
      <c r="D766" s="6" t="str">
        <f>IFERROR(__xludf.DUMMYFUNCTION("""COMPUTED_VALUE"""),"Peanut Butter Protein Balls")</f>
        <v>Peanut Butter Protein Balls</v>
      </c>
      <c r="E766" s="6" t="str">
        <f>'Raw Data Sales'!F766</f>
        <v>Food - Snacks</v>
      </c>
      <c r="F766" s="6">
        <f>'Raw Data Sales'!M766</f>
        <v>95</v>
      </c>
      <c r="G766" s="6">
        <f>'Raw Data Sales'!N766</f>
        <v>2442.74</v>
      </c>
      <c r="H766" s="6" t="str">
        <f>'Raw Data Sales'!O766</f>
        <v>PayPal</v>
      </c>
    </row>
    <row r="767">
      <c r="A767" s="6">
        <f>'Raw Data Sales'!A767</f>
        <v>766</v>
      </c>
      <c r="D767" s="6" t="str">
        <f>IFERROR(__xludf.DUMMYFUNCTION("""COMPUTED_VALUE"""),"Vegetable Sushi Rolls")</f>
        <v>Vegetable Sushi Rolls</v>
      </c>
      <c r="E767" s="6" t="str">
        <f>'Raw Data Sales'!F767</f>
        <v>Kitchen</v>
      </c>
      <c r="F767" s="6">
        <f>'Raw Data Sales'!M767</f>
        <v>85</v>
      </c>
      <c r="G767" s="6">
        <f>'Raw Data Sales'!N767</f>
        <v>5979.91</v>
      </c>
      <c r="H767" s="6" t="str">
        <f>'Raw Data Sales'!O767</f>
        <v>PayPal</v>
      </c>
    </row>
    <row r="768">
      <c r="A768" s="6">
        <f>'Raw Data Sales'!A768</f>
        <v>767</v>
      </c>
      <c r="D768" s="6" t="str">
        <f>IFERROR(__xludf.DUMMYFUNCTION("""COMPUTED_VALUE"""),"Outdoor Picnic Blanket")</f>
        <v>Outdoor Picnic Blanket</v>
      </c>
      <c r="E768" s="6" t="str">
        <f>'Raw Data Sales'!F768</f>
        <v>Fitness</v>
      </c>
      <c r="F768" s="6">
        <f>'Raw Data Sales'!M768</f>
        <v>81</v>
      </c>
      <c r="G768" s="6">
        <f>'Raw Data Sales'!N768</f>
        <v>7907.18</v>
      </c>
      <c r="H768" s="6" t="str">
        <f>'Raw Data Sales'!O768</f>
        <v>PayPal</v>
      </c>
    </row>
    <row r="769">
      <c r="A769" s="6">
        <f>'Raw Data Sales'!A769</f>
        <v>768</v>
      </c>
      <c r="D769" s="6" t="str">
        <f>IFERROR(__xludf.DUMMYFUNCTION("""COMPUTED_VALUE"""),"Peach Preserves")</f>
        <v>Peach Preserves</v>
      </c>
      <c r="E769" s="6" t="str">
        <f>'Raw Data Sales'!F769</f>
        <v>Food - Frozen Foods</v>
      </c>
      <c r="F769" s="6">
        <f>'Raw Data Sales'!M769</f>
        <v>35</v>
      </c>
      <c r="G769" s="6">
        <f>'Raw Data Sales'!N769</f>
        <v>6578.16</v>
      </c>
      <c r="H769" s="6" t="str">
        <f>'Raw Data Sales'!O769</f>
        <v>Credit Card</v>
      </c>
    </row>
    <row r="770">
      <c r="A770" s="6">
        <f>'Raw Data Sales'!A770</f>
        <v>769</v>
      </c>
      <c r="D770" s="6" t="str">
        <f>IFERROR(__xludf.DUMMYFUNCTION("""COMPUTED_VALUE"""),"Paprika")</f>
        <v>Paprika</v>
      </c>
      <c r="E770" s="6" t="str">
        <f>'Raw Data Sales'!F770</f>
        <v>Food - Dairy Alternatives</v>
      </c>
      <c r="F770" s="6">
        <f>'Raw Data Sales'!M770</f>
        <v>82</v>
      </c>
      <c r="G770" s="6">
        <f>'Raw Data Sales'!N770</f>
        <v>9243.93</v>
      </c>
      <c r="H770" s="6" t="str">
        <f>'Raw Data Sales'!O770</f>
        <v>Credit Card</v>
      </c>
    </row>
    <row r="771">
      <c r="A771" s="6">
        <f>'Raw Data Sales'!A771</f>
        <v>770</v>
      </c>
      <c r="D771" s="6" t="str">
        <f>IFERROR(__xludf.DUMMYFUNCTION("""COMPUTED_VALUE"""),"Fashionable Belt Bag")</f>
        <v>Fashionable Belt Bag</v>
      </c>
      <c r="E771" s="6" t="str">
        <f>'Raw Data Sales'!F771</f>
        <v>Fitness</v>
      </c>
      <c r="F771" s="6">
        <f>'Raw Data Sales'!M771</f>
        <v>90</v>
      </c>
      <c r="G771" s="6">
        <f>'Raw Data Sales'!N771</f>
        <v>5423.73</v>
      </c>
      <c r="H771" s="6" t="str">
        <f>'Raw Data Sales'!O771</f>
        <v>Cash</v>
      </c>
    </row>
    <row r="772">
      <c r="A772" s="6">
        <f>'Raw Data Sales'!A772</f>
        <v>771</v>
      </c>
      <c r="D772" s="6" t="str">
        <f>IFERROR(__xludf.DUMMYFUNCTION("""COMPUTED_VALUE"""),"Whole Wheat Pasta")</f>
        <v>Whole Wheat Pasta</v>
      </c>
      <c r="E772" s="6" t="str">
        <f>'Raw Data Sales'!F772</f>
        <v>Garden</v>
      </c>
      <c r="F772" s="6">
        <f>'Raw Data Sales'!M772</f>
        <v>93</v>
      </c>
      <c r="G772" s="6">
        <f>'Raw Data Sales'!N772</f>
        <v>8660.97</v>
      </c>
      <c r="H772" s="6" t="str">
        <f>'Raw Data Sales'!O772</f>
        <v>Credit Card</v>
      </c>
    </row>
    <row r="773">
      <c r="A773" s="6">
        <f>'Raw Data Sales'!A773</f>
        <v>772</v>
      </c>
      <c r="D773" s="6" t="str">
        <f>IFERROR(__xludf.DUMMYFUNCTION("""COMPUTED_VALUE"""),"Blueberry Oatmeal Cups")</f>
        <v>Blueberry Oatmeal Cups</v>
      </c>
      <c r="E773" s="6" t="str">
        <f>'Raw Data Sales'!F773</f>
        <v>Food - Snacks</v>
      </c>
      <c r="F773" s="6">
        <f>'Raw Data Sales'!M773</f>
        <v>1</v>
      </c>
      <c r="G773" s="6">
        <f>'Raw Data Sales'!N773</f>
        <v>6246.65</v>
      </c>
      <c r="H773" s="6" t="str">
        <f>'Raw Data Sales'!O773</f>
        <v>PayPal</v>
      </c>
    </row>
    <row r="774">
      <c r="A774" s="6">
        <f>'Raw Data Sales'!A774</f>
        <v>773</v>
      </c>
      <c r="D774" s="6" t="str">
        <f>IFERROR(__xludf.DUMMYFUNCTION("""COMPUTED_VALUE"""),"Fitness Tracker Watch")</f>
        <v>Fitness Tracker Watch</v>
      </c>
      <c r="E774" s="6" t="str">
        <f>'Raw Data Sales'!F774</f>
        <v>Audio</v>
      </c>
      <c r="F774" s="6">
        <f>'Raw Data Sales'!M774</f>
        <v>60</v>
      </c>
      <c r="G774" s="6">
        <f>'Raw Data Sales'!N774</f>
        <v>4992.68</v>
      </c>
      <c r="H774" s="6" t="str">
        <f>'Raw Data Sales'!O774</f>
        <v>PayPal</v>
      </c>
    </row>
    <row r="775">
      <c r="A775" s="6">
        <f>'Raw Data Sales'!A775</f>
        <v>774</v>
      </c>
      <c r="D775" s="6" t="str">
        <f>IFERROR(__xludf.DUMMYFUNCTION("""COMPUTED_VALUE"""),"Organic Quinoa")</f>
        <v>Organic Quinoa</v>
      </c>
      <c r="E775" s="6" t="str">
        <f>'Raw Data Sales'!F775</f>
        <v>Food - Seafood</v>
      </c>
      <c r="F775" s="6">
        <f>'Raw Data Sales'!M775</f>
        <v>86</v>
      </c>
      <c r="G775" s="6">
        <f>'Raw Data Sales'!N775</f>
        <v>310.04</v>
      </c>
      <c r="H775" s="6" t="str">
        <f>'Raw Data Sales'!O775</f>
        <v>Cash</v>
      </c>
    </row>
    <row r="776">
      <c r="A776" s="6">
        <f>'Raw Data Sales'!A776</f>
        <v>775</v>
      </c>
    </row>
    <row r="777">
      <c r="A777" s="6">
        <f>'Raw Data Sales'!A777</f>
        <v>776</v>
      </c>
    </row>
    <row r="778">
      <c r="A778" s="6">
        <f>'Raw Data Sales'!A778</f>
        <v>777</v>
      </c>
    </row>
    <row r="779">
      <c r="A779" s="6">
        <f>'Raw Data Sales'!A779</f>
        <v>778</v>
      </c>
    </row>
    <row r="780">
      <c r="A780" s="6">
        <f>'Raw Data Sales'!A780</f>
        <v>779</v>
      </c>
    </row>
    <row r="781">
      <c r="A781" s="6">
        <f>'Raw Data Sales'!A781</f>
        <v>780</v>
      </c>
    </row>
    <row r="782">
      <c r="A782" s="6">
        <f>'Raw Data Sales'!A782</f>
        <v>781</v>
      </c>
    </row>
    <row r="783">
      <c r="A783" s="6">
        <f>'Raw Data Sales'!A783</f>
        <v>782</v>
      </c>
    </row>
    <row r="784">
      <c r="A784" s="6">
        <f>'Raw Data Sales'!A784</f>
        <v>783</v>
      </c>
    </row>
    <row r="785">
      <c r="A785" s="6">
        <f>'Raw Data Sales'!A785</f>
        <v>784</v>
      </c>
    </row>
    <row r="786">
      <c r="A786" s="6">
        <f>'Raw Data Sales'!A786</f>
        <v>785</v>
      </c>
    </row>
    <row r="787">
      <c r="A787" s="6">
        <f>'Raw Data Sales'!A787</f>
        <v>786</v>
      </c>
    </row>
    <row r="788">
      <c r="A788" s="6">
        <f>'Raw Data Sales'!A788</f>
        <v>787</v>
      </c>
    </row>
    <row r="789">
      <c r="A789" s="6">
        <f>'Raw Data Sales'!A789</f>
        <v>788</v>
      </c>
    </row>
    <row r="790">
      <c r="A790" s="6">
        <f>'Raw Data Sales'!A790</f>
        <v>789</v>
      </c>
    </row>
    <row r="791">
      <c r="A791" s="6">
        <f>'Raw Data Sales'!A791</f>
        <v>790</v>
      </c>
    </row>
    <row r="792">
      <c r="A792" s="6">
        <f>'Raw Data Sales'!A792</f>
        <v>791</v>
      </c>
    </row>
    <row r="793">
      <c r="A793" s="6">
        <f>'Raw Data Sales'!A793</f>
        <v>792</v>
      </c>
    </row>
    <row r="794">
      <c r="A794" s="6">
        <f>'Raw Data Sales'!A794</f>
        <v>793</v>
      </c>
    </row>
    <row r="795">
      <c r="A795" s="6">
        <f>'Raw Data Sales'!A795</f>
        <v>794</v>
      </c>
    </row>
    <row r="796">
      <c r="A796" s="6">
        <f>'Raw Data Sales'!A796</f>
        <v>795</v>
      </c>
    </row>
    <row r="797">
      <c r="A797" s="6">
        <f>'Raw Data Sales'!A797</f>
        <v>796</v>
      </c>
    </row>
    <row r="798">
      <c r="A798" s="6">
        <f>'Raw Data Sales'!A798</f>
        <v>797</v>
      </c>
    </row>
    <row r="799">
      <c r="A799" s="6">
        <f>'Raw Data Sales'!A799</f>
        <v>798</v>
      </c>
    </row>
    <row r="800">
      <c r="A800" s="6">
        <f>'Raw Data Sales'!A800</f>
        <v>799</v>
      </c>
    </row>
    <row r="801">
      <c r="A801" s="6">
        <f>'Raw Data Sales'!A801</f>
        <v>800</v>
      </c>
    </row>
    <row r="802">
      <c r="A802" s="6">
        <f>'Raw Data Sales'!A802</f>
        <v>801</v>
      </c>
    </row>
    <row r="803">
      <c r="A803" s="6">
        <f>'Raw Data Sales'!A803</f>
        <v>802</v>
      </c>
    </row>
    <row r="804">
      <c r="A804" s="6">
        <f>'Raw Data Sales'!A804</f>
        <v>803</v>
      </c>
    </row>
    <row r="805">
      <c r="A805" s="6">
        <f>'Raw Data Sales'!A805</f>
        <v>804</v>
      </c>
    </row>
    <row r="806">
      <c r="A806" s="6">
        <f>'Raw Data Sales'!A806</f>
        <v>805</v>
      </c>
    </row>
    <row r="807">
      <c r="A807" s="6">
        <f>'Raw Data Sales'!A807</f>
        <v>806</v>
      </c>
    </row>
    <row r="808">
      <c r="A808" s="6">
        <f>'Raw Data Sales'!A808</f>
        <v>807</v>
      </c>
    </row>
    <row r="809">
      <c r="A809" s="6">
        <f>'Raw Data Sales'!A809</f>
        <v>808</v>
      </c>
    </row>
    <row r="810">
      <c r="A810" s="6">
        <f>'Raw Data Sales'!A810</f>
        <v>809</v>
      </c>
    </row>
    <row r="811">
      <c r="A811" s="6">
        <f>'Raw Data Sales'!A811</f>
        <v>810</v>
      </c>
    </row>
    <row r="812">
      <c r="A812" s="6">
        <f>'Raw Data Sales'!A812</f>
        <v>811</v>
      </c>
    </row>
    <row r="813">
      <c r="A813" s="6">
        <f>'Raw Data Sales'!A813</f>
        <v>812</v>
      </c>
    </row>
    <row r="814">
      <c r="A814" s="6">
        <f>'Raw Data Sales'!A814</f>
        <v>813</v>
      </c>
    </row>
    <row r="815">
      <c r="A815" s="6">
        <f>'Raw Data Sales'!A815</f>
        <v>814</v>
      </c>
    </row>
    <row r="816">
      <c r="A816" s="6">
        <f>'Raw Data Sales'!A816</f>
        <v>815</v>
      </c>
    </row>
    <row r="817">
      <c r="A817" s="6">
        <f>'Raw Data Sales'!A817</f>
        <v>816</v>
      </c>
    </row>
    <row r="818">
      <c r="A818" s="6">
        <f>'Raw Data Sales'!A818</f>
        <v>817</v>
      </c>
    </row>
    <row r="819">
      <c r="A819" s="6">
        <f>'Raw Data Sales'!A819</f>
        <v>818</v>
      </c>
    </row>
    <row r="820">
      <c r="A820" s="6">
        <f>'Raw Data Sales'!A820</f>
        <v>819</v>
      </c>
    </row>
    <row r="821">
      <c r="A821" s="6">
        <f>'Raw Data Sales'!A821</f>
        <v>820</v>
      </c>
    </row>
    <row r="822">
      <c r="A822" s="6">
        <f>'Raw Data Sales'!A822</f>
        <v>821</v>
      </c>
    </row>
    <row r="823">
      <c r="A823" s="6">
        <f>'Raw Data Sales'!A823</f>
        <v>822</v>
      </c>
    </row>
    <row r="824">
      <c r="A824" s="6">
        <f>'Raw Data Sales'!A824</f>
        <v>823</v>
      </c>
    </row>
    <row r="825">
      <c r="A825" s="6">
        <f>'Raw Data Sales'!A825</f>
        <v>824</v>
      </c>
    </row>
    <row r="826">
      <c r="A826" s="6">
        <f>'Raw Data Sales'!A826</f>
        <v>825</v>
      </c>
    </row>
    <row r="827">
      <c r="A827" s="6">
        <f>'Raw Data Sales'!A827</f>
        <v>826</v>
      </c>
    </row>
    <row r="828">
      <c r="A828" s="6">
        <f>'Raw Data Sales'!A828</f>
        <v>827</v>
      </c>
    </row>
    <row r="829">
      <c r="A829" s="6">
        <f>'Raw Data Sales'!A829</f>
        <v>828</v>
      </c>
    </row>
    <row r="830">
      <c r="A830" s="6">
        <f>'Raw Data Sales'!A830</f>
        <v>829</v>
      </c>
    </row>
    <row r="831">
      <c r="A831" s="6">
        <f>'Raw Data Sales'!A831</f>
        <v>830</v>
      </c>
    </row>
    <row r="832">
      <c r="A832" s="6">
        <f>'Raw Data Sales'!A832</f>
        <v>831</v>
      </c>
    </row>
    <row r="833">
      <c r="A833" s="6">
        <f>'Raw Data Sales'!A833</f>
        <v>832</v>
      </c>
    </row>
    <row r="834">
      <c r="A834" s="6">
        <f>'Raw Data Sales'!A834</f>
        <v>833</v>
      </c>
    </row>
    <row r="835">
      <c r="A835" s="6">
        <f>'Raw Data Sales'!A835</f>
        <v>834</v>
      </c>
    </row>
    <row r="836">
      <c r="A836" s="6">
        <f>'Raw Data Sales'!A836</f>
        <v>835</v>
      </c>
    </row>
    <row r="837">
      <c r="A837" s="6">
        <f>'Raw Data Sales'!A837</f>
        <v>836</v>
      </c>
    </row>
    <row r="838">
      <c r="A838" s="6">
        <f>'Raw Data Sales'!A838</f>
        <v>837</v>
      </c>
    </row>
    <row r="839">
      <c r="A839" s="6">
        <f>'Raw Data Sales'!A839</f>
        <v>838</v>
      </c>
    </row>
    <row r="840">
      <c r="A840" s="6">
        <f>'Raw Data Sales'!A840</f>
        <v>839</v>
      </c>
    </row>
    <row r="841">
      <c r="A841" s="6">
        <f>'Raw Data Sales'!A841</f>
        <v>840</v>
      </c>
    </row>
    <row r="842">
      <c r="A842" s="6">
        <f>'Raw Data Sales'!A842</f>
        <v>841</v>
      </c>
    </row>
    <row r="843">
      <c r="A843" s="6">
        <f>'Raw Data Sales'!A843</f>
        <v>842</v>
      </c>
    </row>
    <row r="844">
      <c r="A844" s="6">
        <f>'Raw Data Sales'!A844</f>
        <v>843</v>
      </c>
    </row>
    <row r="845">
      <c r="A845" s="6">
        <f>'Raw Data Sales'!A845</f>
        <v>844</v>
      </c>
    </row>
    <row r="846">
      <c r="A846" s="6">
        <f>'Raw Data Sales'!A846</f>
        <v>845</v>
      </c>
    </row>
    <row r="847">
      <c r="A847" s="6">
        <f>'Raw Data Sales'!A847</f>
        <v>846</v>
      </c>
    </row>
    <row r="848">
      <c r="A848" s="6">
        <f>'Raw Data Sales'!A848</f>
        <v>847</v>
      </c>
    </row>
    <row r="849">
      <c r="A849" s="6">
        <f>'Raw Data Sales'!A849</f>
        <v>848</v>
      </c>
    </row>
    <row r="850">
      <c r="A850" s="6">
        <f>'Raw Data Sales'!A850</f>
        <v>849</v>
      </c>
    </row>
    <row r="851">
      <c r="A851" s="6">
        <f>'Raw Data Sales'!A851</f>
        <v>850</v>
      </c>
    </row>
    <row r="852">
      <c r="A852" s="6">
        <f>'Raw Data Sales'!A852</f>
        <v>851</v>
      </c>
    </row>
    <row r="853">
      <c r="A853" s="6">
        <f>'Raw Data Sales'!A853</f>
        <v>852</v>
      </c>
    </row>
    <row r="854">
      <c r="A854" s="6">
        <f>'Raw Data Sales'!A854</f>
        <v>853</v>
      </c>
    </row>
    <row r="855">
      <c r="A855" s="6">
        <f>'Raw Data Sales'!A855</f>
        <v>854</v>
      </c>
    </row>
    <row r="856">
      <c r="A856" s="6">
        <f>'Raw Data Sales'!A856</f>
        <v>855</v>
      </c>
    </row>
    <row r="857">
      <c r="A857" s="6">
        <f>'Raw Data Sales'!A857</f>
        <v>856</v>
      </c>
    </row>
    <row r="858">
      <c r="A858" s="6">
        <f>'Raw Data Sales'!A858</f>
        <v>857</v>
      </c>
    </row>
    <row r="859">
      <c r="A859" s="6">
        <f>'Raw Data Sales'!A859</f>
        <v>858</v>
      </c>
    </row>
    <row r="860">
      <c r="A860" s="6">
        <f>'Raw Data Sales'!A860</f>
        <v>859</v>
      </c>
    </row>
    <row r="861">
      <c r="A861" s="6">
        <f>'Raw Data Sales'!A861</f>
        <v>860</v>
      </c>
    </row>
    <row r="862">
      <c r="A862" s="6">
        <f>'Raw Data Sales'!A862</f>
        <v>861</v>
      </c>
    </row>
    <row r="863">
      <c r="A863" s="6">
        <f>'Raw Data Sales'!A863</f>
        <v>862</v>
      </c>
    </row>
    <row r="864">
      <c r="A864" s="6">
        <f>'Raw Data Sales'!A864</f>
        <v>863</v>
      </c>
    </row>
    <row r="865">
      <c r="A865" s="6">
        <f>'Raw Data Sales'!A865</f>
        <v>864</v>
      </c>
    </row>
    <row r="866">
      <c r="A866" s="6">
        <f>'Raw Data Sales'!A866</f>
        <v>865</v>
      </c>
    </row>
    <row r="867">
      <c r="A867" s="6">
        <f>'Raw Data Sales'!A867</f>
        <v>866</v>
      </c>
    </row>
    <row r="868">
      <c r="A868" s="6">
        <f>'Raw Data Sales'!A868</f>
        <v>867</v>
      </c>
    </row>
    <row r="869">
      <c r="A869" s="6">
        <f>'Raw Data Sales'!A869</f>
        <v>868</v>
      </c>
    </row>
    <row r="870">
      <c r="A870" s="6">
        <f>'Raw Data Sales'!A870</f>
        <v>869</v>
      </c>
    </row>
    <row r="871">
      <c r="A871" s="6">
        <f>'Raw Data Sales'!A871</f>
        <v>870</v>
      </c>
    </row>
    <row r="872">
      <c r="A872" s="6">
        <f>'Raw Data Sales'!A872</f>
        <v>871</v>
      </c>
    </row>
    <row r="873">
      <c r="A873" s="6">
        <f>'Raw Data Sales'!A873</f>
        <v>872</v>
      </c>
    </row>
    <row r="874">
      <c r="A874" s="6">
        <f>'Raw Data Sales'!A874</f>
        <v>873</v>
      </c>
    </row>
    <row r="875">
      <c r="A875" s="6">
        <f>'Raw Data Sales'!A875</f>
        <v>874</v>
      </c>
    </row>
    <row r="876">
      <c r="A876" s="6">
        <f>'Raw Data Sales'!A876</f>
        <v>875</v>
      </c>
    </row>
    <row r="877">
      <c r="A877" s="6">
        <f>'Raw Data Sales'!A877</f>
        <v>876</v>
      </c>
    </row>
    <row r="878">
      <c r="A878" s="6">
        <f>'Raw Data Sales'!A878</f>
        <v>877</v>
      </c>
    </row>
    <row r="879">
      <c r="A879" s="6">
        <f>'Raw Data Sales'!A879</f>
        <v>878</v>
      </c>
    </row>
    <row r="880">
      <c r="A880" s="6">
        <f>'Raw Data Sales'!A880</f>
        <v>879</v>
      </c>
    </row>
    <row r="881">
      <c r="A881" s="6">
        <f>'Raw Data Sales'!A881</f>
        <v>880</v>
      </c>
    </row>
    <row r="882">
      <c r="A882" s="6">
        <f>'Raw Data Sales'!A882</f>
        <v>881</v>
      </c>
    </row>
    <row r="883">
      <c r="A883" s="6">
        <f>'Raw Data Sales'!A883</f>
        <v>882</v>
      </c>
    </row>
    <row r="884">
      <c r="A884" s="6">
        <f>'Raw Data Sales'!A884</f>
        <v>883</v>
      </c>
    </row>
    <row r="885">
      <c r="A885" s="6">
        <f>'Raw Data Sales'!A885</f>
        <v>884</v>
      </c>
    </row>
    <row r="886">
      <c r="A886" s="6">
        <f>'Raw Data Sales'!A886</f>
        <v>885</v>
      </c>
    </row>
    <row r="887">
      <c r="A887" s="6">
        <f>'Raw Data Sales'!A887</f>
        <v>886</v>
      </c>
    </row>
    <row r="888">
      <c r="A888" s="6">
        <f>'Raw Data Sales'!A888</f>
        <v>887</v>
      </c>
    </row>
    <row r="889">
      <c r="A889" s="6">
        <f>'Raw Data Sales'!A889</f>
        <v>888</v>
      </c>
    </row>
    <row r="890">
      <c r="A890" s="6">
        <f>'Raw Data Sales'!A890</f>
        <v>889</v>
      </c>
    </row>
    <row r="891">
      <c r="A891" s="6">
        <f>'Raw Data Sales'!A891</f>
        <v>890</v>
      </c>
    </row>
    <row r="892">
      <c r="A892" s="6">
        <f>'Raw Data Sales'!A892</f>
        <v>891</v>
      </c>
    </row>
    <row r="893">
      <c r="A893" s="6">
        <f>'Raw Data Sales'!A893</f>
        <v>892</v>
      </c>
    </row>
    <row r="894">
      <c r="A894" s="6">
        <f>'Raw Data Sales'!A894</f>
        <v>893</v>
      </c>
    </row>
    <row r="895">
      <c r="A895" s="6">
        <f>'Raw Data Sales'!A895</f>
        <v>894</v>
      </c>
    </row>
    <row r="896">
      <c r="A896" s="6">
        <f>'Raw Data Sales'!A896</f>
        <v>895</v>
      </c>
    </row>
    <row r="897">
      <c r="A897" s="6">
        <f>'Raw Data Sales'!A897</f>
        <v>896</v>
      </c>
    </row>
    <row r="898">
      <c r="A898" s="6">
        <f>'Raw Data Sales'!A898</f>
        <v>897</v>
      </c>
    </row>
    <row r="899">
      <c r="A899" s="6">
        <f>'Raw Data Sales'!A899</f>
        <v>898</v>
      </c>
    </row>
    <row r="900">
      <c r="A900" s="6">
        <f>'Raw Data Sales'!A900</f>
        <v>899</v>
      </c>
    </row>
    <row r="901">
      <c r="A901" s="6">
        <f>'Raw Data Sales'!A901</f>
        <v>900</v>
      </c>
    </row>
    <row r="902">
      <c r="A902" s="6">
        <f>'Raw Data Sales'!A902</f>
        <v>901</v>
      </c>
    </row>
    <row r="903">
      <c r="A903" s="6">
        <f>'Raw Data Sales'!A903</f>
        <v>902</v>
      </c>
    </row>
    <row r="904">
      <c r="A904" s="6">
        <f>'Raw Data Sales'!A904</f>
        <v>903</v>
      </c>
    </row>
    <row r="905">
      <c r="A905" s="6">
        <f>'Raw Data Sales'!A905</f>
        <v>904</v>
      </c>
    </row>
    <row r="906">
      <c r="A906" s="6">
        <f>'Raw Data Sales'!A906</f>
        <v>905</v>
      </c>
    </row>
    <row r="907">
      <c r="A907" s="6">
        <f>'Raw Data Sales'!A907</f>
        <v>906</v>
      </c>
    </row>
    <row r="908">
      <c r="A908" s="6">
        <f>'Raw Data Sales'!A908</f>
        <v>907</v>
      </c>
    </row>
    <row r="909">
      <c r="A909" s="6">
        <f>'Raw Data Sales'!A909</f>
        <v>908</v>
      </c>
    </row>
    <row r="910">
      <c r="A910" s="6">
        <f>'Raw Data Sales'!A910</f>
        <v>909</v>
      </c>
    </row>
    <row r="911">
      <c r="A911" s="6">
        <f>'Raw Data Sales'!A911</f>
        <v>910</v>
      </c>
    </row>
    <row r="912">
      <c r="A912" s="6">
        <f>'Raw Data Sales'!A912</f>
        <v>911</v>
      </c>
    </row>
    <row r="913">
      <c r="A913" s="6">
        <f>'Raw Data Sales'!A913</f>
        <v>912</v>
      </c>
    </row>
    <row r="914">
      <c r="A914" s="6">
        <f>'Raw Data Sales'!A914</f>
        <v>913</v>
      </c>
    </row>
    <row r="915">
      <c r="A915" s="6">
        <f>'Raw Data Sales'!A915</f>
        <v>914</v>
      </c>
    </row>
    <row r="916">
      <c r="A916" s="6">
        <f>'Raw Data Sales'!A916</f>
        <v>915</v>
      </c>
    </row>
    <row r="917">
      <c r="A917" s="6">
        <f>'Raw Data Sales'!A917</f>
        <v>916</v>
      </c>
    </row>
    <row r="918">
      <c r="A918" s="6">
        <f>'Raw Data Sales'!A918</f>
        <v>917</v>
      </c>
    </row>
    <row r="919">
      <c r="A919" s="6">
        <f>'Raw Data Sales'!A919</f>
        <v>918</v>
      </c>
    </row>
    <row r="920">
      <c r="A920" s="6">
        <f>'Raw Data Sales'!A920</f>
        <v>919</v>
      </c>
    </row>
    <row r="921">
      <c r="A921" s="6">
        <f>'Raw Data Sales'!A921</f>
        <v>920</v>
      </c>
    </row>
    <row r="922">
      <c r="A922" s="6">
        <f>'Raw Data Sales'!A922</f>
        <v>921</v>
      </c>
    </row>
    <row r="923">
      <c r="A923" s="6">
        <f>'Raw Data Sales'!A923</f>
        <v>922</v>
      </c>
    </row>
    <row r="924">
      <c r="A924" s="6">
        <f>'Raw Data Sales'!A924</f>
        <v>923</v>
      </c>
    </row>
    <row r="925">
      <c r="A925" s="6">
        <f>'Raw Data Sales'!A925</f>
        <v>924</v>
      </c>
    </row>
    <row r="926">
      <c r="A926" s="6">
        <f>'Raw Data Sales'!A926</f>
        <v>925</v>
      </c>
    </row>
    <row r="927">
      <c r="A927" s="6">
        <f>'Raw Data Sales'!A927</f>
        <v>926</v>
      </c>
    </row>
    <row r="928">
      <c r="A928" s="6">
        <f>'Raw Data Sales'!A928</f>
        <v>927</v>
      </c>
    </row>
    <row r="929">
      <c r="A929" s="6">
        <f>'Raw Data Sales'!A929</f>
        <v>928</v>
      </c>
    </row>
    <row r="930">
      <c r="A930" s="6">
        <f>'Raw Data Sales'!A930</f>
        <v>929</v>
      </c>
    </row>
    <row r="931">
      <c r="A931" s="6">
        <f>'Raw Data Sales'!A931</f>
        <v>930</v>
      </c>
    </row>
    <row r="932">
      <c r="A932" s="6">
        <f>'Raw Data Sales'!A932</f>
        <v>931</v>
      </c>
    </row>
    <row r="933">
      <c r="A933" s="6">
        <f>'Raw Data Sales'!A933</f>
        <v>932</v>
      </c>
    </row>
    <row r="934">
      <c r="A934" s="6">
        <f>'Raw Data Sales'!A934</f>
        <v>933</v>
      </c>
    </row>
    <row r="935">
      <c r="A935" s="6">
        <f>'Raw Data Sales'!A935</f>
        <v>934</v>
      </c>
    </row>
    <row r="936">
      <c r="A936" s="6">
        <f>'Raw Data Sales'!A936</f>
        <v>935</v>
      </c>
    </row>
    <row r="937">
      <c r="A937" s="6">
        <f>'Raw Data Sales'!A937</f>
        <v>936</v>
      </c>
    </row>
    <row r="938">
      <c r="A938" s="6">
        <f>'Raw Data Sales'!A938</f>
        <v>937</v>
      </c>
    </row>
    <row r="939">
      <c r="A939" s="6">
        <f>'Raw Data Sales'!A939</f>
        <v>938</v>
      </c>
    </row>
    <row r="940">
      <c r="A940" s="6">
        <f>'Raw Data Sales'!A940</f>
        <v>939</v>
      </c>
    </row>
    <row r="941">
      <c r="A941" s="6">
        <f>'Raw Data Sales'!A941</f>
        <v>940</v>
      </c>
    </row>
    <row r="942">
      <c r="A942" s="6">
        <f>'Raw Data Sales'!A942</f>
        <v>941</v>
      </c>
    </row>
    <row r="943">
      <c r="A943" s="6">
        <f>'Raw Data Sales'!A943</f>
        <v>942</v>
      </c>
    </row>
    <row r="944">
      <c r="A944" s="6">
        <f>'Raw Data Sales'!A944</f>
        <v>943</v>
      </c>
    </row>
    <row r="945">
      <c r="A945" s="6">
        <f>'Raw Data Sales'!A945</f>
        <v>944</v>
      </c>
    </row>
    <row r="946">
      <c r="A946" s="6">
        <f>'Raw Data Sales'!A946</f>
        <v>945</v>
      </c>
    </row>
    <row r="947">
      <c r="A947" s="6">
        <f>'Raw Data Sales'!A947</f>
        <v>946</v>
      </c>
    </row>
    <row r="948">
      <c r="A948" s="6">
        <f>'Raw Data Sales'!A948</f>
        <v>947</v>
      </c>
    </row>
    <row r="949">
      <c r="A949" s="6">
        <f>'Raw Data Sales'!A949</f>
        <v>948</v>
      </c>
    </row>
    <row r="950">
      <c r="A950" s="6">
        <f>'Raw Data Sales'!A950</f>
        <v>949</v>
      </c>
    </row>
    <row r="951">
      <c r="A951" s="6">
        <f>'Raw Data Sales'!A951</f>
        <v>950</v>
      </c>
    </row>
    <row r="952">
      <c r="A952" s="6">
        <f>'Raw Data Sales'!A952</f>
        <v>951</v>
      </c>
    </row>
    <row r="953">
      <c r="A953" s="6">
        <f>'Raw Data Sales'!A953</f>
        <v>952</v>
      </c>
    </row>
    <row r="954">
      <c r="A954" s="6">
        <f>'Raw Data Sales'!A954</f>
        <v>953</v>
      </c>
    </row>
    <row r="955">
      <c r="A955" s="6">
        <f>'Raw Data Sales'!A955</f>
        <v>954</v>
      </c>
    </row>
    <row r="956">
      <c r="A956" s="6">
        <f>'Raw Data Sales'!A956</f>
        <v>955</v>
      </c>
    </row>
    <row r="957">
      <c r="A957" s="6">
        <f>'Raw Data Sales'!A957</f>
        <v>956</v>
      </c>
    </row>
    <row r="958">
      <c r="A958" s="6">
        <f>'Raw Data Sales'!A958</f>
        <v>957</v>
      </c>
    </row>
    <row r="959">
      <c r="A959" s="6">
        <f>'Raw Data Sales'!A959</f>
        <v>958</v>
      </c>
    </row>
    <row r="960">
      <c r="A960" s="6">
        <f>'Raw Data Sales'!A960</f>
        <v>959</v>
      </c>
    </row>
    <row r="961">
      <c r="A961" s="6">
        <f>'Raw Data Sales'!A961</f>
        <v>960</v>
      </c>
    </row>
    <row r="962">
      <c r="A962" s="6">
        <f>'Raw Data Sales'!A962</f>
        <v>961</v>
      </c>
    </row>
    <row r="963">
      <c r="A963" s="6">
        <f>'Raw Data Sales'!A963</f>
        <v>962</v>
      </c>
    </row>
    <row r="964">
      <c r="A964" s="6">
        <f>'Raw Data Sales'!A964</f>
        <v>963</v>
      </c>
    </row>
    <row r="965">
      <c r="A965" s="6">
        <f>'Raw Data Sales'!A965</f>
        <v>964</v>
      </c>
    </row>
    <row r="966">
      <c r="A966" s="6">
        <f>'Raw Data Sales'!A966</f>
        <v>965</v>
      </c>
    </row>
    <row r="967">
      <c r="A967" s="6">
        <f>'Raw Data Sales'!A967</f>
        <v>966</v>
      </c>
    </row>
    <row r="968">
      <c r="A968" s="6">
        <f>'Raw Data Sales'!A968</f>
        <v>967</v>
      </c>
    </row>
    <row r="969">
      <c r="A969" s="6">
        <f>'Raw Data Sales'!A969</f>
        <v>968</v>
      </c>
    </row>
    <row r="970">
      <c r="A970" s="6">
        <f>'Raw Data Sales'!A970</f>
        <v>969</v>
      </c>
    </row>
    <row r="971">
      <c r="A971" s="6">
        <f>'Raw Data Sales'!A971</f>
        <v>970</v>
      </c>
    </row>
    <row r="972">
      <c r="A972" s="6">
        <f>'Raw Data Sales'!A972</f>
        <v>971</v>
      </c>
    </row>
    <row r="973">
      <c r="A973" s="6">
        <f>'Raw Data Sales'!A973</f>
        <v>972</v>
      </c>
    </row>
    <row r="974">
      <c r="A974" s="6">
        <f>'Raw Data Sales'!A974</f>
        <v>973</v>
      </c>
    </row>
    <row r="975">
      <c r="A975" s="6">
        <f>'Raw Data Sales'!A975</f>
        <v>974</v>
      </c>
    </row>
    <row r="976">
      <c r="A976" s="6">
        <f>'Raw Data Sales'!A976</f>
        <v>975</v>
      </c>
    </row>
    <row r="977">
      <c r="A977" s="6">
        <f>'Raw Data Sales'!A977</f>
        <v>976</v>
      </c>
    </row>
    <row r="978">
      <c r="A978" s="6">
        <f>'Raw Data Sales'!A978</f>
        <v>977</v>
      </c>
    </row>
    <row r="979">
      <c r="A979" s="6">
        <f>'Raw Data Sales'!A979</f>
        <v>978</v>
      </c>
    </row>
    <row r="980">
      <c r="A980" s="6">
        <f>'Raw Data Sales'!A980</f>
        <v>979</v>
      </c>
    </row>
    <row r="981">
      <c r="A981" s="6">
        <f>'Raw Data Sales'!A981</f>
        <v>980</v>
      </c>
    </row>
    <row r="982">
      <c r="A982" s="6">
        <f>'Raw Data Sales'!A982</f>
        <v>981</v>
      </c>
    </row>
    <row r="983">
      <c r="A983" s="6">
        <f>'Raw Data Sales'!A983</f>
        <v>982</v>
      </c>
    </row>
    <row r="984">
      <c r="A984" s="6">
        <f>'Raw Data Sales'!A984</f>
        <v>983</v>
      </c>
    </row>
    <row r="985">
      <c r="A985" s="6">
        <f>'Raw Data Sales'!A985</f>
        <v>984</v>
      </c>
    </row>
    <row r="986">
      <c r="A986" s="6">
        <f>'Raw Data Sales'!A986</f>
        <v>985</v>
      </c>
    </row>
    <row r="987">
      <c r="A987" s="6">
        <f>'Raw Data Sales'!A987</f>
        <v>986</v>
      </c>
    </row>
    <row r="988">
      <c r="A988" s="6">
        <f>'Raw Data Sales'!A988</f>
        <v>987</v>
      </c>
    </row>
    <row r="989">
      <c r="A989" s="6">
        <f>'Raw Data Sales'!A989</f>
        <v>988</v>
      </c>
    </row>
    <row r="990">
      <c r="A990" s="6">
        <f>'Raw Data Sales'!A990</f>
        <v>989</v>
      </c>
    </row>
    <row r="991">
      <c r="A991" s="6">
        <f>'Raw Data Sales'!A991</f>
        <v>990</v>
      </c>
    </row>
    <row r="992">
      <c r="A992" s="6">
        <f>'Raw Data Sales'!A992</f>
        <v>991</v>
      </c>
    </row>
    <row r="993">
      <c r="A993" s="6">
        <f>'Raw Data Sales'!A993</f>
        <v>992</v>
      </c>
    </row>
    <row r="994">
      <c r="A994" s="6">
        <f>'Raw Data Sales'!A994</f>
        <v>993</v>
      </c>
    </row>
    <row r="995">
      <c r="A995" s="6">
        <f>'Raw Data Sales'!A995</f>
        <v>994</v>
      </c>
    </row>
    <row r="996">
      <c r="A996" s="6">
        <f>'Raw Data Sales'!A996</f>
        <v>995</v>
      </c>
    </row>
    <row r="997">
      <c r="A997" s="6">
        <f>'Raw Data Sales'!A997</f>
        <v>996</v>
      </c>
    </row>
    <row r="998">
      <c r="A998" s="6">
        <f>'Raw Data Sales'!A998</f>
        <v>997</v>
      </c>
    </row>
    <row r="999">
      <c r="A999" s="6">
        <f>'Raw Data Sales'!A999</f>
        <v>998</v>
      </c>
    </row>
    <row r="1000">
      <c r="A1000" s="6">
        <f>'Raw Data Sales'!A1000</f>
        <v>999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2.25"/>
    <col customWidth="1" min="3" max="3" width="11.63"/>
    <col customWidth="1" min="4" max="4" width="14.5"/>
    <col customWidth="1" min="5" max="5" width="23.75"/>
    <col customWidth="1" min="6" max="6" width="16.25"/>
    <col customWidth="1" min="7" max="7" width="21.0"/>
    <col customWidth="1" min="8" max="8" width="27.63"/>
  </cols>
  <sheetData>
    <row r="1">
      <c r="A1" s="4" t="s">
        <v>6198</v>
      </c>
      <c r="B1" s="9" t="s">
        <v>6199</v>
      </c>
    </row>
    <row r="2">
      <c r="A2" s="10" t="s">
        <v>6192</v>
      </c>
      <c r="B2" s="11">
        <v>4987553.69</v>
      </c>
    </row>
    <row r="3">
      <c r="A3" s="10" t="s">
        <v>6190</v>
      </c>
      <c r="B3" s="11">
        <v>1000.0</v>
      </c>
    </row>
    <row r="4">
      <c r="A4" s="10" t="s">
        <v>6200</v>
      </c>
      <c r="B4" s="11" t="s">
        <v>1709</v>
      </c>
    </row>
    <row r="5">
      <c r="A5" s="10" t="s">
        <v>6201</v>
      </c>
      <c r="B5" s="11" t="s">
        <v>32</v>
      </c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