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lasingenieria\Documents\"/>
    </mc:Choice>
  </mc:AlternateContent>
  <bookViews>
    <workbookView xWindow="0" yWindow="0" windowWidth="16590" windowHeight="4545" activeTab="3"/>
  </bookViews>
  <sheets>
    <sheet name="Inventario inicial" sheetId="4" r:id="rId1"/>
    <sheet name="Capacidad de la bodega" sheetId="6" r:id="rId2"/>
    <sheet name="Analisis del comportamiento" sheetId="7" r:id="rId3"/>
    <sheet name="Conclusiones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8" l="1"/>
  <c r="N17" i="8"/>
  <c r="N16" i="8"/>
  <c r="N12" i="8"/>
  <c r="N11" i="8"/>
  <c r="N10" i="8"/>
  <c r="N5" i="8"/>
  <c r="N6" i="8"/>
  <c r="N4" i="8"/>
  <c r="E15" i="8"/>
  <c r="E14" i="8"/>
  <c r="D15" i="8"/>
  <c r="D14" i="8"/>
  <c r="T33" i="4"/>
  <c r="Q33" i="4"/>
  <c r="AD4" i="6"/>
  <c r="AC4" i="6"/>
  <c r="AC5" i="6" s="1"/>
  <c r="AC6" i="6" s="1"/>
  <c r="AC7" i="6" s="1"/>
  <c r="AC8" i="6" s="1"/>
  <c r="AC9" i="6" s="1"/>
  <c r="AC10" i="6" s="1"/>
  <c r="AC11" i="6" s="1"/>
  <c r="AC12" i="6" s="1"/>
  <c r="AC13" i="6" s="1"/>
  <c r="AC14" i="6" s="1"/>
  <c r="AC15" i="6" s="1"/>
  <c r="AC16" i="6" s="1"/>
  <c r="AC17" i="6" s="1"/>
  <c r="AC18" i="6" s="1"/>
  <c r="AC19" i="6" s="1"/>
  <c r="AC20" i="6" s="1"/>
  <c r="AC21" i="6" s="1"/>
  <c r="AC22" i="6" s="1"/>
  <c r="AC23" i="6" s="1"/>
  <c r="AC24" i="6" s="1"/>
  <c r="AC25" i="6" s="1"/>
  <c r="AC26" i="6" s="1"/>
  <c r="AC27" i="6" s="1"/>
  <c r="AC28" i="6" s="1"/>
  <c r="AC29" i="6" s="1"/>
  <c r="AC30" i="6" s="1"/>
  <c r="AC31" i="6" s="1"/>
  <c r="AC32" i="6" s="1"/>
  <c r="AC33" i="6" s="1"/>
  <c r="Q44" i="4"/>
  <c r="Q41" i="4"/>
  <c r="T37" i="4"/>
  <c r="T41" i="4" s="1"/>
  <c r="Q25" i="4"/>
  <c r="Q26" i="4" s="1"/>
  <c r="T21" i="4"/>
  <c r="T16" i="4"/>
  <c r="L6" i="8" s="1"/>
  <c r="Q16" i="4"/>
  <c r="T13" i="4"/>
  <c r="T11" i="4"/>
  <c r="T4" i="4"/>
  <c r="T8" i="4" s="1"/>
  <c r="T9" i="4" s="1"/>
  <c r="Q11" i="4"/>
  <c r="Q4" i="4"/>
  <c r="Q8" i="4"/>
  <c r="Q9" i="4" s="1"/>
  <c r="Q13" i="4" s="1"/>
  <c r="Q14" i="4" s="1"/>
  <c r="M39" i="4"/>
  <c r="L39" i="4"/>
  <c r="M39" i="6"/>
  <c r="L39" i="6"/>
  <c r="F39" i="7"/>
  <c r="E39" i="7"/>
  <c r="I33" i="7"/>
  <c r="H33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4" i="7"/>
  <c r="E39" i="4"/>
  <c r="E39" i="6"/>
  <c r="F39" i="6"/>
  <c r="F39" i="4"/>
  <c r="M5" i="7"/>
  <c r="R5" i="7" s="1"/>
  <c r="M6" i="7"/>
  <c r="R6" i="7" s="1"/>
  <c r="M7" i="7"/>
  <c r="R7" i="7" s="1"/>
  <c r="M8" i="7"/>
  <c r="R8" i="7" s="1"/>
  <c r="M9" i="7"/>
  <c r="R9" i="7" s="1"/>
  <c r="M10" i="7"/>
  <c r="R10" i="7" s="1"/>
  <c r="M11" i="7"/>
  <c r="R11" i="7" s="1"/>
  <c r="M12" i="7"/>
  <c r="R12" i="7" s="1"/>
  <c r="M13" i="7"/>
  <c r="R13" i="7" s="1"/>
  <c r="M14" i="7"/>
  <c r="R14" i="7" s="1"/>
  <c r="M15" i="7"/>
  <c r="R15" i="7" s="1"/>
  <c r="M16" i="7"/>
  <c r="R16" i="7" s="1"/>
  <c r="M17" i="7"/>
  <c r="R17" i="7" s="1"/>
  <c r="M18" i="7"/>
  <c r="R18" i="7" s="1"/>
  <c r="M19" i="7"/>
  <c r="R19" i="7" s="1"/>
  <c r="M20" i="7"/>
  <c r="R20" i="7" s="1"/>
  <c r="M21" i="7"/>
  <c r="R21" i="7" s="1"/>
  <c r="M22" i="7"/>
  <c r="R22" i="7" s="1"/>
  <c r="M23" i="7"/>
  <c r="R23" i="7" s="1"/>
  <c r="M24" i="7"/>
  <c r="R24" i="7" s="1"/>
  <c r="M25" i="7"/>
  <c r="R25" i="7" s="1"/>
  <c r="M26" i="7"/>
  <c r="R26" i="7" s="1"/>
  <c r="M27" i="7"/>
  <c r="R27" i="7" s="1"/>
  <c r="M28" i="7"/>
  <c r="R28" i="7" s="1"/>
  <c r="M29" i="7"/>
  <c r="R29" i="7" s="1"/>
  <c r="M30" i="7"/>
  <c r="R30" i="7" s="1"/>
  <c r="M31" i="7"/>
  <c r="R31" i="7" s="1"/>
  <c r="M32" i="7"/>
  <c r="R32" i="7" s="1"/>
  <c r="M33" i="7"/>
  <c r="R33" i="7" s="1"/>
  <c r="M4" i="7"/>
  <c r="P4" i="7" s="1"/>
  <c r="L5" i="7"/>
  <c r="Q5" i="7" s="1"/>
  <c r="L6" i="7"/>
  <c r="Q6" i="7" s="1"/>
  <c r="L7" i="7"/>
  <c r="Q7" i="7" s="1"/>
  <c r="L8" i="7"/>
  <c r="Q8" i="7" s="1"/>
  <c r="L9" i="7"/>
  <c r="Q9" i="7" s="1"/>
  <c r="L10" i="7"/>
  <c r="Q10" i="7" s="1"/>
  <c r="L11" i="7"/>
  <c r="Q11" i="7" s="1"/>
  <c r="L12" i="7"/>
  <c r="Q12" i="7" s="1"/>
  <c r="L13" i="7"/>
  <c r="Q13" i="7" s="1"/>
  <c r="L14" i="7"/>
  <c r="Q14" i="7" s="1"/>
  <c r="L15" i="7"/>
  <c r="Q15" i="7" s="1"/>
  <c r="L16" i="7"/>
  <c r="Q16" i="7" s="1"/>
  <c r="L17" i="7"/>
  <c r="Q17" i="7" s="1"/>
  <c r="L18" i="7"/>
  <c r="Q18" i="7" s="1"/>
  <c r="L19" i="7"/>
  <c r="Q19" i="7" s="1"/>
  <c r="L20" i="7"/>
  <c r="Q20" i="7" s="1"/>
  <c r="L21" i="7"/>
  <c r="Q21" i="7" s="1"/>
  <c r="L22" i="7"/>
  <c r="Q22" i="7" s="1"/>
  <c r="L23" i="7"/>
  <c r="Q23" i="7" s="1"/>
  <c r="L24" i="7"/>
  <c r="Q24" i="7" s="1"/>
  <c r="L25" i="7"/>
  <c r="Q25" i="7" s="1"/>
  <c r="L26" i="7"/>
  <c r="Q26" i="7" s="1"/>
  <c r="L27" i="7"/>
  <c r="Q27" i="7" s="1"/>
  <c r="L28" i="7"/>
  <c r="Q28" i="7" s="1"/>
  <c r="L29" i="7"/>
  <c r="Q29" i="7" s="1"/>
  <c r="L30" i="7"/>
  <c r="Q30" i="7" s="1"/>
  <c r="L31" i="7"/>
  <c r="Q31" i="7" s="1"/>
  <c r="L32" i="7"/>
  <c r="Q32" i="7" s="1"/>
  <c r="L33" i="7"/>
  <c r="Q33" i="7" s="1"/>
  <c r="L4" i="7"/>
  <c r="Q4" i="7" s="1"/>
  <c r="N5" i="7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4" i="7"/>
  <c r="O4" i="7" s="1"/>
  <c r="G5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4" i="7"/>
  <c r="F5" i="7"/>
  <c r="F4" i="7"/>
  <c r="D5" i="7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4" i="7"/>
  <c r="C4" i="7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M6" i="6"/>
  <c r="M7" i="6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5" i="6"/>
  <c r="M4" i="6"/>
  <c r="F6" i="6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5" i="6"/>
  <c r="E4" i="6"/>
  <c r="E4" i="7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K7" i="6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6" i="6"/>
  <c r="K5" i="6"/>
  <c r="K4" i="6"/>
  <c r="D4" i="6"/>
  <c r="C4" i="6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AD5" i="6" l="1"/>
  <c r="AD6" i="6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E5" i="6"/>
  <c r="Q46" i="4"/>
  <c r="Q47" i="4" s="1"/>
  <c r="Q49" i="4"/>
  <c r="T46" i="4"/>
  <c r="T47" i="4" s="1"/>
  <c r="T44" i="4"/>
  <c r="T49" i="4" s="1"/>
  <c r="L18" i="8" s="1"/>
  <c r="T25" i="4"/>
  <c r="T26" i="4" s="1"/>
  <c r="Q30" i="4"/>
  <c r="Q28" i="4"/>
  <c r="E4" i="8"/>
  <c r="E5" i="8"/>
  <c r="T14" i="4"/>
  <c r="R4" i="7"/>
  <c r="F42" i="4"/>
  <c r="K6" i="8" s="1"/>
  <c r="D5" i="8" s="1"/>
  <c r="O5" i="7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F6" i="7"/>
  <c r="F7" i="7" s="1"/>
  <c r="F8" i="7" s="1"/>
  <c r="F9" i="7" s="1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L35" i="6"/>
  <c r="L4" i="4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M4" i="4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C4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AD35" i="6" l="1"/>
  <c r="AE6" i="6"/>
  <c r="AE7" i="6" s="1"/>
  <c r="AE8" i="6" s="1"/>
  <c r="AE9" i="6" s="1"/>
  <c r="AE10" i="6" s="1"/>
  <c r="AE11" i="6" s="1"/>
  <c r="AE12" i="6" s="1"/>
  <c r="AE13" i="6" s="1"/>
  <c r="AE14" i="6" s="1"/>
  <c r="AE15" i="6" s="1"/>
  <c r="AE16" i="6" s="1"/>
  <c r="AE17" i="6" s="1"/>
  <c r="AE18" i="6" s="1"/>
  <c r="AE19" i="6" s="1"/>
  <c r="AE20" i="6" s="1"/>
  <c r="AE21" i="6" s="1"/>
  <c r="AE22" i="6" s="1"/>
  <c r="AE23" i="6" s="1"/>
  <c r="AE24" i="6" s="1"/>
  <c r="AE25" i="6" s="1"/>
  <c r="AE26" i="6" s="1"/>
  <c r="AE27" i="6" s="1"/>
  <c r="AE28" i="6" s="1"/>
  <c r="AE29" i="6" s="1"/>
  <c r="AE30" i="6" s="1"/>
  <c r="AE31" i="6" s="1"/>
  <c r="AE32" i="6" s="1"/>
  <c r="K12" i="8"/>
  <c r="T30" i="4"/>
  <c r="T28" i="4"/>
  <c r="D4" i="8"/>
  <c r="P5" i="7"/>
  <c r="F10" i="7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O35" i="7"/>
  <c r="N39" i="7" s="1"/>
  <c r="G35" i="7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M35" i="6"/>
  <c r="L30" i="4"/>
  <c r="L31" i="4" s="1"/>
  <c r="L32" i="4" s="1"/>
  <c r="L33" i="4" s="1"/>
  <c r="M30" i="4"/>
  <c r="M31" i="4" s="1"/>
  <c r="M32" i="4" s="1"/>
  <c r="M33" i="4" s="1"/>
  <c r="M35" i="4" s="1"/>
  <c r="F4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E4" i="4"/>
  <c r="D9" i="8" l="1"/>
  <c r="D10" i="8"/>
  <c r="AE35" i="6"/>
  <c r="L12" i="8"/>
  <c r="P6" i="7"/>
  <c r="F35" i="7"/>
  <c r="E35" i="6"/>
  <c r="F35" i="6"/>
  <c r="L35" i="4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9" i="8" l="1"/>
  <c r="E10" i="8"/>
  <c r="P7" i="7"/>
  <c r="E35" i="4"/>
  <c r="P8" i="7" l="1"/>
  <c r="F35" i="4"/>
  <c r="P9" i="7" l="1"/>
  <c r="P10" i="7" l="1"/>
  <c r="P11" i="7" l="1"/>
  <c r="P12" i="7" l="1"/>
  <c r="P13" i="7" l="1"/>
  <c r="P14" i="7" l="1"/>
  <c r="P15" i="7" l="1"/>
  <c r="P16" i="7" l="1"/>
  <c r="P17" i="7" l="1"/>
  <c r="P18" i="7" l="1"/>
  <c r="P19" i="7" l="1"/>
  <c r="P20" i="7" l="1"/>
  <c r="P21" i="7" l="1"/>
  <c r="P22" i="7" l="1"/>
  <c r="P23" i="7" l="1"/>
  <c r="P24" i="7" l="1"/>
  <c r="P25" i="7" l="1"/>
  <c r="P26" i="7" l="1"/>
  <c r="P27" i="7" l="1"/>
  <c r="P28" i="7" l="1"/>
  <c r="P29" i="7" l="1"/>
  <c r="P30" i="7" l="1"/>
  <c r="P31" i="7" l="1"/>
  <c r="P32" i="7" l="1"/>
  <c r="P33" i="7" s="1"/>
  <c r="P35" i="7" s="1"/>
  <c r="O39" i="7" s="1"/>
</calcChain>
</file>

<file path=xl/sharedStrings.xml><?xml version="1.0" encoding="utf-8"?>
<sst xmlns="http://schemas.openxmlformats.org/spreadsheetml/2006/main" count="156" uniqueCount="34">
  <si>
    <t>Oferta</t>
  </si>
  <si>
    <t>demanda</t>
  </si>
  <si>
    <t>Inventario</t>
  </si>
  <si>
    <t xml:space="preserve">Inventario </t>
  </si>
  <si>
    <t xml:space="preserve">Arriendo mensual </t>
  </si>
  <si>
    <t>Costo de inventario</t>
  </si>
  <si>
    <t>Datos iniciales</t>
  </si>
  <si>
    <t>Euler</t>
  </si>
  <si>
    <t>Adams</t>
  </si>
  <si>
    <t>Admas</t>
  </si>
  <si>
    <t>Bodega</t>
  </si>
  <si>
    <t>Oferta 100</t>
  </si>
  <si>
    <t>Oferta 50</t>
  </si>
  <si>
    <t>Inventario 100</t>
  </si>
  <si>
    <t>Inventario 50</t>
  </si>
  <si>
    <t>Inventario  100</t>
  </si>
  <si>
    <t>s</t>
  </si>
  <si>
    <t>h</t>
  </si>
  <si>
    <t>Inventario inicial 30</t>
  </si>
  <si>
    <t>inventario inicial 0</t>
  </si>
  <si>
    <t>Capacidad de la bodega</t>
  </si>
  <si>
    <t>Analisis de comportamiento</t>
  </si>
  <si>
    <t>max 50</t>
  </si>
  <si>
    <t>max 100</t>
  </si>
  <si>
    <t xml:space="preserve">Ganacia por unidad </t>
  </si>
  <si>
    <t>Costo por unidad</t>
  </si>
  <si>
    <t>Ganancia</t>
  </si>
  <si>
    <t>EOQ</t>
  </si>
  <si>
    <t xml:space="preserve">Vendido </t>
  </si>
  <si>
    <t>Vendido</t>
  </si>
  <si>
    <t>Q</t>
  </si>
  <si>
    <t>D</t>
  </si>
  <si>
    <t>Costo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</si>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</sst>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2" xfId="0" applyBorder="1"/>
    <xf numFmtId="0" fontId="2" fillId="0" borderId="1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0" applyNumberForma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7" xfId="0" applyBorder="1"/>
    <xf numFmtId="0" fontId="2" fillId="0" borderId="18" xfId="0" applyFont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21" xfId="0" applyBorder="1"/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1" fontId="0" fillId="0" borderId="23" xfId="0" applyNumberFormat="1" applyBorder="1" applyAlignment="1">
      <alignment horizontal="center"/>
    </xf>
    <xf numFmtId="1" fontId="0" fillId="0" borderId="1" xfId="0" applyNumberFormat="1" applyBorder="1"/>
    <xf numFmtId="9" fontId="0" fillId="0" borderId="1" xfId="2" applyFont="1" applyBorder="1" applyAlignment="1">
      <alignment horizontal="center"/>
    </xf>
    <xf numFmtId="44" fontId="0" fillId="0" borderId="1" xfId="1" applyFont="1" applyBorder="1"/>
    <xf numFmtId="44" fontId="0" fillId="0" borderId="0" xfId="1" applyFont="1" applyAlignment="1">
      <alignment horizontal="center"/>
    </xf>
    <xf numFmtId="44" fontId="0" fillId="2" borderId="0" xfId="1" applyFont="1" applyFill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9" fontId="0" fillId="0" borderId="0" xfId="2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Inventario</a:t>
            </a:r>
          </a:p>
        </c:rich>
      </c:tx>
      <c:layout>
        <c:manualLayout>
          <c:xMode val="edge"/>
          <c:yMode val="edge"/>
          <c:x val="0.39481233595800524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'Inventario inicial'!$B$4:$B$33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'Inventario inicial'!$E$4:$E$33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0.19999999999999929</c:v>
                </c:pt>
                <c:pt idx="3">
                  <c:v>1</c:v>
                </c:pt>
                <c:pt idx="4">
                  <c:v>2.3999999999999986</c:v>
                </c:pt>
                <c:pt idx="5">
                  <c:v>4.3999999999999986</c:v>
                </c:pt>
                <c:pt idx="6">
                  <c:v>7</c:v>
                </c:pt>
                <c:pt idx="7">
                  <c:v>10.199999999999996</c:v>
                </c:pt>
                <c:pt idx="8">
                  <c:v>13.999999999999993</c:v>
                </c:pt>
                <c:pt idx="9">
                  <c:v>18.399999999999991</c:v>
                </c:pt>
                <c:pt idx="10">
                  <c:v>23.399999999999991</c:v>
                </c:pt>
                <c:pt idx="11">
                  <c:v>29</c:v>
                </c:pt>
                <c:pt idx="12">
                  <c:v>35.199999999999989</c:v>
                </c:pt>
                <c:pt idx="13">
                  <c:v>41.999999999999986</c:v>
                </c:pt>
                <c:pt idx="14">
                  <c:v>49.399999999999977</c:v>
                </c:pt>
                <c:pt idx="15">
                  <c:v>57.399999999999977</c:v>
                </c:pt>
                <c:pt idx="16">
                  <c:v>65.999999999999972</c:v>
                </c:pt>
                <c:pt idx="17">
                  <c:v>75.199999999999989</c:v>
                </c:pt>
                <c:pt idx="18">
                  <c:v>85</c:v>
                </c:pt>
                <c:pt idx="19">
                  <c:v>95.399999999999977</c:v>
                </c:pt>
                <c:pt idx="20">
                  <c:v>106.39999999999998</c:v>
                </c:pt>
                <c:pt idx="21">
                  <c:v>117.99999999999997</c:v>
                </c:pt>
                <c:pt idx="22">
                  <c:v>130.19999999999999</c:v>
                </c:pt>
                <c:pt idx="23">
                  <c:v>143</c:v>
                </c:pt>
                <c:pt idx="24">
                  <c:v>156.39999999999998</c:v>
                </c:pt>
                <c:pt idx="25">
                  <c:v>170.39999999999998</c:v>
                </c:pt>
                <c:pt idx="26">
                  <c:v>185</c:v>
                </c:pt>
                <c:pt idx="27">
                  <c:v>200.2</c:v>
                </c:pt>
                <c:pt idx="28">
                  <c:v>216</c:v>
                </c:pt>
                <c:pt idx="29">
                  <c:v>232.39999999999998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D-45AF-AE7D-0B5ED13EE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118096"/>
        <c:axId val="1179115600"/>
      </c:scatterChart>
      <c:valAx>
        <c:axId val="117911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9115600"/>
        <c:crosses val="autoZero"/>
        <c:crossBetween val="midCat"/>
      </c:valAx>
      <c:valAx>
        <c:axId val="11791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Inventario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91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Inventario</a:t>
            </a:r>
          </a:p>
        </c:rich>
      </c:tx>
      <c:layout>
        <c:manualLayout>
          <c:xMode val="edge"/>
          <c:yMode val="edge"/>
          <c:x val="0.427921728698098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'Analisis del comportamiento'!$B$4:$B$33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'Analisis del comportamiento'!$G$4:$G$33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0.19999999999999929</c:v>
                </c:pt>
                <c:pt idx="3">
                  <c:v>1</c:v>
                </c:pt>
                <c:pt idx="4">
                  <c:v>2.3999999999999986</c:v>
                </c:pt>
                <c:pt idx="5">
                  <c:v>4.3999999999999986</c:v>
                </c:pt>
                <c:pt idx="6">
                  <c:v>7</c:v>
                </c:pt>
                <c:pt idx="7">
                  <c:v>10.199999999999996</c:v>
                </c:pt>
                <c:pt idx="8">
                  <c:v>13.999999999999993</c:v>
                </c:pt>
                <c:pt idx="9">
                  <c:v>18.399999999999991</c:v>
                </c:pt>
                <c:pt idx="10">
                  <c:v>23.399999999999991</c:v>
                </c:pt>
                <c:pt idx="11">
                  <c:v>29</c:v>
                </c:pt>
                <c:pt idx="12">
                  <c:v>35.199999999999989</c:v>
                </c:pt>
                <c:pt idx="13">
                  <c:v>41.999999999999986</c:v>
                </c:pt>
                <c:pt idx="14">
                  <c:v>49.399999999999977</c:v>
                </c:pt>
                <c:pt idx="15">
                  <c:v>57.399999999999977</c:v>
                </c:pt>
                <c:pt idx="16">
                  <c:v>65.999999999999972</c:v>
                </c:pt>
                <c:pt idx="17">
                  <c:v>75.199999999999989</c:v>
                </c:pt>
                <c:pt idx="18">
                  <c:v>85</c:v>
                </c:pt>
                <c:pt idx="19">
                  <c:v>95.399999999999977</c:v>
                </c:pt>
                <c:pt idx="20">
                  <c:v>106.39999999999998</c:v>
                </c:pt>
                <c:pt idx="21">
                  <c:v>117.99999999999997</c:v>
                </c:pt>
                <c:pt idx="22">
                  <c:v>130.19999999999999</c:v>
                </c:pt>
                <c:pt idx="23">
                  <c:v>143</c:v>
                </c:pt>
                <c:pt idx="24">
                  <c:v>156.39999999999998</c:v>
                </c:pt>
                <c:pt idx="25">
                  <c:v>168.39999999999998</c:v>
                </c:pt>
                <c:pt idx="26">
                  <c:v>177.39999999999998</c:v>
                </c:pt>
                <c:pt idx="27">
                  <c:v>183.39999999999998</c:v>
                </c:pt>
                <c:pt idx="28">
                  <c:v>186.39999999999998</c:v>
                </c:pt>
                <c:pt idx="29">
                  <c:v>186.39999999999998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6-4964-8B0A-20E1DC7DC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77216"/>
        <c:axId val="1104980128"/>
      </c:scatterChart>
      <c:valAx>
        <c:axId val="110497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4980128"/>
        <c:crosses val="autoZero"/>
        <c:crossBetween val="midCat"/>
      </c:valAx>
      <c:valAx>
        <c:axId val="11049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Inventario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497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Inventario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'Analisis del comportamiento'!$K$4:$K$33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'Analisis del comportamiento'!$O$4:$O$33</c:f>
              <c:numCache>
                <c:formatCode>0</c:formatCode>
                <c:ptCount val="30"/>
                <c:pt idx="0">
                  <c:v>0</c:v>
                </c:pt>
                <c:pt idx="1">
                  <c:v>7</c:v>
                </c:pt>
                <c:pt idx="2">
                  <c:v>5</c:v>
                </c:pt>
                <c:pt idx="3">
                  <c:v>12</c:v>
                </c:pt>
                <c:pt idx="4">
                  <c:v>11</c:v>
                </c:pt>
                <c:pt idx="5">
                  <c:v>19</c:v>
                </c:pt>
                <c:pt idx="6">
                  <c:v>19</c:v>
                </c:pt>
                <c:pt idx="7">
                  <c:v>29</c:v>
                </c:pt>
                <c:pt idx="8">
                  <c:v>31</c:v>
                </c:pt>
                <c:pt idx="9">
                  <c:v>41</c:v>
                </c:pt>
                <c:pt idx="10">
                  <c:v>45</c:v>
                </c:pt>
                <c:pt idx="11">
                  <c:v>49</c:v>
                </c:pt>
                <c:pt idx="12">
                  <c:v>50</c:v>
                </c:pt>
                <c:pt idx="13">
                  <c:v>48</c:v>
                </c:pt>
                <c:pt idx="14">
                  <c:v>43</c:v>
                </c:pt>
                <c:pt idx="15">
                  <c:v>35</c:v>
                </c:pt>
                <c:pt idx="16">
                  <c:v>24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9-46B4-BF5B-79919D9FA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584015"/>
        <c:axId val="1796597743"/>
      </c:scatterChart>
      <c:valAx>
        <c:axId val="179658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6597743"/>
        <c:crosses val="autoZero"/>
        <c:crossBetween val="midCat"/>
      </c:valAx>
      <c:valAx>
        <c:axId val="179659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Inventario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658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Inventario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'Analisis del comportamiento'!$K$4:$K$33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'Analisis del comportamiento'!$P$4:$P$33</c:f>
              <c:numCache>
                <c:formatCode>0</c:formatCode>
                <c:ptCount val="30"/>
                <c:pt idx="0">
                  <c:v>31</c:v>
                </c:pt>
                <c:pt idx="1">
                  <c:v>38</c:v>
                </c:pt>
                <c:pt idx="2">
                  <c:v>36</c:v>
                </c:pt>
                <c:pt idx="3">
                  <c:v>43</c:v>
                </c:pt>
                <c:pt idx="4">
                  <c:v>42</c:v>
                </c:pt>
                <c:pt idx="5">
                  <c:v>50</c:v>
                </c:pt>
                <c:pt idx="6">
                  <c:v>50</c:v>
                </c:pt>
                <c:pt idx="7">
                  <c:v>60</c:v>
                </c:pt>
                <c:pt idx="8">
                  <c:v>62</c:v>
                </c:pt>
                <c:pt idx="9">
                  <c:v>73</c:v>
                </c:pt>
                <c:pt idx="10">
                  <c:v>77</c:v>
                </c:pt>
                <c:pt idx="11">
                  <c:v>90</c:v>
                </c:pt>
                <c:pt idx="12">
                  <c:v>96</c:v>
                </c:pt>
                <c:pt idx="13">
                  <c:v>101</c:v>
                </c:pt>
                <c:pt idx="14">
                  <c:v>108</c:v>
                </c:pt>
                <c:pt idx="15">
                  <c:v>125</c:v>
                </c:pt>
                <c:pt idx="16">
                  <c:v>134</c:v>
                </c:pt>
                <c:pt idx="17">
                  <c:v>153</c:v>
                </c:pt>
                <c:pt idx="18">
                  <c:v>164</c:v>
                </c:pt>
                <c:pt idx="19">
                  <c:v>184</c:v>
                </c:pt>
                <c:pt idx="20">
                  <c:v>197</c:v>
                </c:pt>
                <c:pt idx="21">
                  <c:v>219</c:v>
                </c:pt>
                <c:pt idx="22">
                  <c:v>234</c:v>
                </c:pt>
                <c:pt idx="23">
                  <c:v>252</c:v>
                </c:pt>
                <c:pt idx="24">
                  <c:v>267</c:v>
                </c:pt>
                <c:pt idx="25">
                  <c:v>279</c:v>
                </c:pt>
                <c:pt idx="26">
                  <c:v>288</c:v>
                </c:pt>
                <c:pt idx="27">
                  <c:v>294</c:v>
                </c:pt>
                <c:pt idx="28">
                  <c:v>297</c:v>
                </c:pt>
                <c:pt idx="29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5-404E-B1E9-4D25846C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593999"/>
        <c:axId val="1796586095"/>
      </c:scatterChart>
      <c:valAx>
        <c:axId val="179659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6586095"/>
        <c:crosses val="autoZero"/>
        <c:crossBetween val="midCat"/>
      </c:valAx>
      <c:valAx>
        <c:axId val="179658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Inventario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659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Inventario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'Inventario inicial'!$B$4:$B$33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'Inventario inicial'!$F$4:$F$33</c:f>
              <c:numCache>
                <c:formatCode>0</c:formatCode>
                <c:ptCount val="30"/>
                <c:pt idx="0">
                  <c:v>29</c:v>
                </c:pt>
                <c:pt idx="1">
                  <c:v>28.6</c:v>
                </c:pt>
                <c:pt idx="2">
                  <c:v>28.799999999999997</c:v>
                </c:pt>
                <c:pt idx="3">
                  <c:v>29.599999999999994</c:v>
                </c:pt>
                <c:pt idx="4">
                  <c:v>30.999999999999993</c:v>
                </c:pt>
                <c:pt idx="5">
                  <c:v>32.999999999999993</c:v>
                </c:pt>
                <c:pt idx="6">
                  <c:v>35.599999999999994</c:v>
                </c:pt>
                <c:pt idx="7">
                  <c:v>38.799999999999983</c:v>
                </c:pt>
                <c:pt idx="8">
                  <c:v>42.59999999999998</c:v>
                </c:pt>
                <c:pt idx="9">
                  <c:v>46.999999999999972</c:v>
                </c:pt>
                <c:pt idx="10">
                  <c:v>51.999999999999972</c:v>
                </c:pt>
                <c:pt idx="11">
                  <c:v>57.599999999999966</c:v>
                </c:pt>
                <c:pt idx="12">
                  <c:v>63.799999999999955</c:v>
                </c:pt>
                <c:pt idx="13">
                  <c:v>70.599999999999952</c:v>
                </c:pt>
                <c:pt idx="14">
                  <c:v>77.999999999999943</c:v>
                </c:pt>
                <c:pt idx="15">
                  <c:v>85.999999999999943</c:v>
                </c:pt>
                <c:pt idx="16">
                  <c:v>94.599999999999937</c:v>
                </c:pt>
                <c:pt idx="17">
                  <c:v>103.79999999999995</c:v>
                </c:pt>
                <c:pt idx="18">
                  <c:v>113.59999999999997</c:v>
                </c:pt>
                <c:pt idx="19">
                  <c:v>123.99999999999994</c:v>
                </c:pt>
                <c:pt idx="20">
                  <c:v>134.99999999999994</c:v>
                </c:pt>
                <c:pt idx="21">
                  <c:v>146.59999999999994</c:v>
                </c:pt>
                <c:pt idx="22">
                  <c:v>158.79999999999995</c:v>
                </c:pt>
                <c:pt idx="23">
                  <c:v>171.59999999999997</c:v>
                </c:pt>
                <c:pt idx="24">
                  <c:v>184.99999999999994</c:v>
                </c:pt>
                <c:pt idx="25">
                  <c:v>198.99999999999994</c:v>
                </c:pt>
                <c:pt idx="26">
                  <c:v>213.59999999999991</c:v>
                </c:pt>
                <c:pt idx="27">
                  <c:v>228.7999999999999</c:v>
                </c:pt>
                <c:pt idx="28">
                  <c:v>244.59999999999991</c:v>
                </c:pt>
                <c:pt idx="29">
                  <c:v>260.99999999999989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F-4518-AC4E-EF09F8334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77216"/>
        <c:axId val="1104980128"/>
      </c:scatterChart>
      <c:valAx>
        <c:axId val="110497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4980128"/>
        <c:crosses val="autoZero"/>
        <c:crossBetween val="midCat"/>
      </c:valAx>
      <c:valAx>
        <c:axId val="11049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Inventario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497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Inventario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'Inventario inicial'!$I$4:$I$33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'Inventario inicial'!$L$4:$L$33</c:f>
              <c:numCache>
                <c:formatCode>0</c:formatCode>
                <c:ptCount val="30"/>
                <c:pt idx="0">
                  <c:v>0</c:v>
                </c:pt>
                <c:pt idx="1">
                  <c:v>7</c:v>
                </c:pt>
                <c:pt idx="2">
                  <c:v>5</c:v>
                </c:pt>
                <c:pt idx="3">
                  <c:v>12</c:v>
                </c:pt>
                <c:pt idx="4">
                  <c:v>11</c:v>
                </c:pt>
                <c:pt idx="5">
                  <c:v>19</c:v>
                </c:pt>
                <c:pt idx="6">
                  <c:v>19</c:v>
                </c:pt>
                <c:pt idx="7">
                  <c:v>29</c:v>
                </c:pt>
                <c:pt idx="8">
                  <c:v>31</c:v>
                </c:pt>
                <c:pt idx="9">
                  <c:v>42</c:v>
                </c:pt>
                <c:pt idx="10">
                  <c:v>46</c:v>
                </c:pt>
                <c:pt idx="11">
                  <c:v>59</c:v>
                </c:pt>
                <c:pt idx="12">
                  <c:v>65</c:v>
                </c:pt>
                <c:pt idx="13">
                  <c:v>70</c:v>
                </c:pt>
                <c:pt idx="14">
                  <c:v>77</c:v>
                </c:pt>
                <c:pt idx="15">
                  <c:v>94</c:v>
                </c:pt>
                <c:pt idx="16">
                  <c:v>103</c:v>
                </c:pt>
                <c:pt idx="17">
                  <c:v>122</c:v>
                </c:pt>
                <c:pt idx="18">
                  <c:v>133</c:v>
                </c:pt>
                <c:pt idx="19">
                  <c:v>153</c:v>
                </c:pt>
                <c:pt idx="20">
                  <c:v>166</c:v>
                </c:pt>
                <c:pt idx="21">
                  <c:v>188</c:v>
                </c:pt>
                <c:pt idx="22">
                  <c:v>203</c:v>
                </c:pt>
                <c:pt idx="23">
                  <c:v>227</c:v>
                </c:pt>
                <c:pt idx="24">
                  <c:v>243</c:v>
                </c:pt>
                <c:pt idx="25">
                  <c:v>269</c:v>
                </c:pt>
                <c:pt idx="26">
                  <c:v>287</c:v>
                </c:pt>
                <c:pt idx="27">
                  <c:v>315</c:v>
                </c:pt>
                <c:pt idx="28">
                  <c:v>335</c:v>
                </c:pt>
                <c:pt idx="29">
                  <c:v>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C-43C9-BD11-C3DA0C9F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584015"/>
        <c:axId val="1796597743"/>
      </c:scatterChart>
      <c:valAx>
        <c:axId val="179658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6597743"/>
        <c:crosses val="autoZero"/>
        <c:crossBetween val="midCat"/>
      </c:valAx>
      <c:valAx>
        <c:axId val="179659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Inventario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658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Inventario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'Inventario inicial'!$I$4:$I$33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'Inventario inicial'!$M$4:$M$33</c:f>
              <c:numCache>
                <c:formatCode>0</c:formatCode>
                <c:ptCount val="30"/>
                <c:pt idx="0">
                  <c:v>31</c:v>
                </c:pt>
                <c:pt idx="1">
                  <c:v>38</c:v>
                </c:pt>
                <c:pt idx="2">
                  <c:v>36</c:v>
                </c:pt>
                <c:pt idx="3">
                  <c:v>43</c:v>
                </c:pt>
                <c:pt idx="4">
                  <c:v>42</c:v>
                </c:pt>
                <c:pt idx="5">
                  <c:v>50</c:v>
                </c:pt>
                <c:pt idx="6">
                  <c:v>50</c:v>
                </c:pt>
                <c:pt idx="7">
                  <c:v>60</c:v>
                </c:pt>
                <c:pt idx="8">
                  <c:v>62</c:v>
                </c:pt>
                <c:pt idx="9">
                  <c:v>73</c:v>
                </c:pt>
                <c:pt idx="10">
                  <c:v>77</c:v>
                </c:pt>
                <c:pt idx="11">
                  <c:v>90</c:v>
                </c:pt>
                <c:pt idx="12">
                  <c:v>96</c:v>
                </c:pt>
                <c:pt idx="13">
                  <c:v>101</c:v>
                </c:pt>
                <c:pt idx="14">
                  <c:v>108</c:v>
                </c:pt>
                <c:pt idx="15">
                  <c:v>125</c:v>
                </c:pt>
                <c:pt idx="16">
                  <c:v>134</c:v>
                </c:pt>
                <c:pt idx="17">
                  <c:v>153</c:v>
                </c:pt>
                <c:pt idx="18">
                  <c:v>164</c:v>
                </c:pt>
                <c:pt idx="19">
                  <c:v>184</c:v>
                </c:pt>
                <c:pt idx="20">
                  <c:v>197</c:v>
                </c:pt>
                <c:pt idx="21">
                  <c:v>219</c:v>
                </c:pt>
                <c:pt idx="22">
                  <c:v>234</c:v>
                </c:pt>
                <c:pt idx="23">
                  <c:v>258</c:v>
                </c:pt>
                <c:pt idx="24">
                  <c:v>274</c:v>
                </c:pt>
                <c:pt idx="25">
                  <c:v>300</c:v>
                </c:pt>
                <c:pt idx="26">
                  <c:v>318</c:v>
                </c:pt>
                <c:pt idx="27">
                  <c:v>346</c:v>
                </c:pt>
                <c:pt idx="28">
                  <c:v>366</c:v>
                </c:pt>
                <c:pt idx="29">
                  <c:v>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C-440A-9609-AF0500EF0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593999"/>
        <c:axId val="1796586095"/>
      </c:scatterChart>
      <c:valAx>
        <c:axId val="179659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6586095"/>
        <c:crosses val="autoZero"/>
        <c:crossBetween val="midCat"/>
      </c:valAx>
      <c:valAx>
        <c:axId val="179658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Inventario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659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Inventario</a:t>
            </a:r>
          </a:p>
        </c:rich>
      </c:tx>
      <c:layout>
        <c:manualLayout>
          <c:xMode val="edge"/>
          <c:yMode val="edge"/>
          <c:x val="0.39481233595800524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'Capacidad de la bodega'!$B$4:$B$33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'Capacidad de la bodega'!$E$4:$E$33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0.19999999999999929</c:v>
                </c:pt>
                <c:pt idx="3">
                  <c:v>1</c:v>
                </c:pt>
                <c:pt idx="4">
                  <c:v>2.3999999999999986</c:v>
                </c:pt>
                <c:pt idx="5">
                  <c:v>4.3999999999999986</c:v>
                </c:pt>
                <c:pt idx="6">
                  <c:v>7</c:v>
                </c:pt>
                <c:pt idx="7">
                  <c:v>10.199999999999996</c:v>
                </c:pt>
                <c:pt idx="8">
                  <c:v>13.999999999999993</c:v>
                </c:pt>
                <c:pt idx="9">
                  <c:v>18.399999999999991</c:v>
                </c:pt>
                <c:pt idx="10">
                  <c:v>23.399999999999991</c:v>
                </c:pt>
                <c:pt idx="11">
                  <c:v>29</c:v>
                </c:pt>
                <c:pt idx="12">
                  <c:v>35.199999999999989</c:v>
                </c:pt>
                <c:pt idx="13">
                  <c:v>41.999999999999986</c:v>
                </c:pt>
                <c:pt idx="14">
                  <c:v>49.399999999999977</c:v>
                </c:pt>
                <c:pt idx="15">
                  <c:v>57.399999999999977</c:v>
                </c:pt>
                <c:pt idx="16">
                  <c:v>65.999999999999972</c:v>
                </c:pt>
                <c:pt idx="17">
                  <c:v>75.199999999999989</c:v>
                </c:pt>
                <c:pt idx="18">
                  <c:v>85</c:v>
                </c:pt>
                <c:pt idx="19">
                  <c:v>95.399999999999977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5-4386-84B3-EFB28662C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118096"/>
        <c:axId val="1179115600"/>
      </c:scatterChart>
      <c:valAx>
        <c:axId val="117911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9115600"/>
        <c:crosses val="autoZero"/>
        <c:crossBetween val="midCat"/>
      </c:valAx>
      <c:valAx>
        <c:axId val="11791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Inventario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91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Inventario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'Capacidad de la bodega'!$B$4:$B$33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'Capacidad de la bodega'!$F$4:$F$33</c:f>
              <c:numCache>
                <c:formatCode>0</c:formatCode>
                <c:ptCount val="30"/>
                <c:pt idx="0">
                  <c:v>0</c:v>
                </c:pt>
                <c:pt idx="1">
                  <c:v>-0.40000000000000036</c:v>
                </c:pt>
                <c:pt idx="2">
                  <c:v>-0.20000000000000284</c:v>
                </c:pt>
                <c:pt idx="3">
                  <c:v>0.59999999999999787</c:v>
                </c:pt>
                <c:pt idx="4">
                  <c:v>1.9999999999999964</c:v>
                </c:pt>
                <c:pt idx="5">
                  <c:v>3.9999999999999964</c:v>
                </c:pt>
                <c:pt idx="6">
                  <c:v>6.5999999999999943</c:v>
                </c:pt>
                <c:pt idx="7">
                  <c:v>9.7999999999999901</c:v>
                </c:pt>
                <c:pt idx="8">
                  <c:v>13.599999999999987</c:v>
                </c:pt>
                <c:pt idx="9">
                  <c:v>17.999999999999986</c:v>
                </c:pt>
                <c:pt idx="10">
                  <c:v>22.999999999999986</c:v>
                </c:pt>
                <c:pt idx="11">
                  <c:v>28.599999999999994</c:v>
                </c:pt>
                <c:pt idx="12">
                  <c:v>34.799999999999983</c:v>
                </c:pt>
                <c:pt idx="13">
                  <c:v>41.59999999999998</c:v>
                </c:pt>
                <c:pt idx="14">
                  <c:v>48.999999999999972</c:v>
                </c:pt>
                <c:pt idx="15">
                  <c:v>56.999999999999972</c:v>
                </c:pt>
                <c:pt idx="16">
                  <c:v>65.599999999999966</c:v>
                </c:pt>
                <c:pt idx="17">
                  <c:v>74.799999999999955</c:v>
                </c:pt>
                <c:pt idx="18">
                  <c:v>84.599999999999966</c:v>
                </c:pt>
                <c:pt idx="19">
                  <c:v>94.999999999999943</c:v>
                </c:pt>
                <c:pt idx="20">
                  <c:v>105.99999999999994</c:v>
                </c:pt>
                <c:pt idx="21">
                  <c:v>117.59999999999994</c:v>
                </c:pt>
                <c:pt idx="22">
                  <c:v>129.79999999999995</c:v>
                </c:pt>
                <c:pt idx="23">
                  <c:v>142.59999999999997</c:v>
                </c:pt>
                <c:pt idx="24">
                  <c:v>155.99999999999994</c:v>
                </c:pt>
                <c:pt idx="25">
                  <c:v>169.99999999999994</c:v>
                </c:pt>
                <c:pt idx="26">
                  <c:v>184.59999999999991</c:v>
                </c:pt>
                <c:pt idx="27">
                  <c:v>199.7999999999999</c:v>
                </c:pt>
                <c:pt idx="28">
                  <c:v>200</c:v>
                </c:pt>
                <c:pt idx="2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F-409C-8045-4DA78B382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77216"/>
        <c:axId val="1104980128"/>
      </c:scatterChart>
      <c:valAx>
        <c:axId val="110497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4980128"/>
        <c:crosses val="autoZero"/>
        <c:crossBetween val="midCat"/>
      </c:valAx>
      <c:valAx>
        <c:axId val="11049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Inventario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497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Inventario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'Capacidad de la bodega'!$I$4:$I$33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'Capacidad de la bodega'!$L$4:$L$33</c:f>
              <c:numCache>
                <c:formatCode>0</c:formatCode>
                <c:ptCount val="30"/>
                <c:pt idx="0">
                  <c:v>1</c:v>
                </c:pt>
                <c:pt idx="1">
                  <c:v>8</c:v>
                </c:pt>
                <c:pt idx="2">
                  <c:v>6</c:v>
                </c:pt>
                <c:pt idx="3">
                  <c:v>13</c:v>
                </c:pt>
                <c:pt idx="4">
                  <c:v>12</c:v>
                </c:pt>
                <c:pt idx="5">
                  <c:v>20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43</c:v>
                </c:pt>
                <c:pt idx="10">
                  <c:v>47</c:v>
                </c:pt>
                <c:pt idx="11">
                  <c:v>60</c:v>
                </c:pt>
                <c:pt idx="12">
                  <c:v>66</c:v>
                </c:pt>
                <c:pt idx="13">
                  <c:v>71</c:v>
                </c:pt>
                <c:pt idx="14">
                  <c:v>78</c:v>
                </c:pt>
                <c:pt idx="15">
                  <c:v>95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6-477E-AECB-817CD29CA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584015"/>
        <c:axId val="1796597743"/>
      </c:scatterChart>
      <c:valAx>
        <c:axId val="179658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6597743"/>
        <c:crosses val="autoZero"/>
        <c:crossBetween val="midCat"/>
      </c:valAx>
      <c:valAx>
        <c:axId val="179659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Inventario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658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Inventario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'Capacidad de la bodega'!$I$4:$I$33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'Capacidad de la bodega'!$M$4:$M$33</c:f>
              <c:numCache>
                <c:formatCode>0</c:formatCode>
                <c:ptCount val="30"/>
                <c:pt idx="0">
                  <c:v>1</c:v>
                </c:pt>
                <c:pt idx="1">
                  <c:v>8</c:v>
                </c:pt>
                <c:pt idx="2">
                  <c:v>6</c:v>
                </c:pt>
                <c:pt idx="3">
                  <c:v>13</c:v>
                </c:pt>
                <c:pt idx="4">
                  <c:v>12</c:v>
                </c:pt>
                <c:pt idx="5">
                  <c:v>20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43</c:v>
                </c:pt>
                <c:pt idx="10">
                  <c:v>47</c:v>
                </c:pt>
                <c:pt idx="11">
                  <c:v>60</c:v>
                </c:pt>
                <c:pt idx="12">
                  <c:v>66</c:v>
                </c:pt>
                <c:pt idx="13">
                  <c:v>71</c:v>
                </c:pt>
                <c:pt idx="14">
                  <c:v>78</c:v>
                </c:pt>
                <c:pt idx="15">
                  <c:v>95</c:v>
                </c:pt>
                <c:pt idx="16">
                  <c:v>104</c:v>
                </c:pt>
                <c:pt idx="17">
                  <c:v>123</c:v>
                </c:pt>
                <c:pt idx="18">
                  <c:v>134</c:v>
                </c:pt>
                <c:pt idx="19">
                  <c:v>154</c:v>
                </c:pt>
                <c:pt idx="20">
                  <c:v>167</c:v>
                </c:pt>
                <c:pt idx="21">
                  <c:v>189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D-4617-B02D-833A5614F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593999"/>
        <c:axId val="1796586095"/>
      </c:scatterChart>
      <c:valAx>
        <c:axId val="179659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6586095"/>
        <c:crosses val="autoZero"/>
        <c:crossBetween val="midCat"/>
      </c:valAx>
      <c:valAx>
        <c:axId val="179658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Inventario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659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Inventario</a:t>
            </a:r>
          </a:p>
        </c:rich>
      </c:tx>
      <c:layout>
        <c:manualLayout>
          <c:xMode val="edge"/>
          <c:yMode val="edge"/>
          <c:x val="0.39481233595800524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'Analisis del comportamiento'!$B$4:$B$33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'Analisis del comportamiento'!$F$4:$F$33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0.19999999999999929</c:v>
                </c:pt>
                <c:pt idx="3">
                  <c:v>1</c:v>
                </c:pt>
                <c:pt idx="4">
                  <c:v>2.3999999999999986</c:v>
                </c:pt>
                <c:pt idx="5">
                  <c:v>4.3999999999999986</c:v>
                </c:pt>
                <c:pt idx="6">
                  <c:v>7</c:v>
                </c:pt>
                <c:pt idx="7">
                  <c:v>10.199999999999996</c:v>
                </c:pt>
                <c:pt idx="8">
                  <c:v>13.999999999999993</c:v>
                </c:pt>
                <c:pt idx="9">
                  <c:v>18.399999999999991</c:v>
                </c:pt>
                <c:pt idx="10">
                  <c:v>23.399999999999991</c:v>
                </c:pt>
                <c:pt idx="11">
                  <c:v>27.399999999999991</c:v>
                </c:pt>
                <c:pt idx="12">
                  <c:v>28.399999999999991</c:v>
                </c:pt>
                <c:pt idx="13">
                  <c:v>26.399999999999991</c:v>
                </c:pt>
                <c:pt idx="14">
                  <c:v>21.399999999999991</c:v>
                </c:pt>
                <c:pt idx="15">
                  <c:v>13.399999999999991</c:v>
                </c:pt>
                <c:pt idx="16">
                  <c:v>2.3999999999999915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C-49B4-8491-12F6703C5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118096"/>
        <c:axId val="1179115600"/>
      </c:scatterChart>
      <c:valAx>
        <c:axId val="117911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9115600"/>
        <c:crosses val="autoZero"/>
        <c:crossBetween val="midCat"/>
      </c:valAx>
      <c:valAx>
        <c:axId val="11791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Inventario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91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43</xdr:row>
      <xdr:rowOff>95250</xdr:rowOff>
    </xdr:from>
    <xdr:to>
      <xdr:col>5</xdr:col>
      <xdr:colOff>714375</xdr:colOff>
      <xdr:row>57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433387</xdr:colOff>
      <xdr:row>58</xdr:row>
      <xdr:rowOff>152400</xdr:rowOff>
    </xdr:from>
    <xdr:to>
      <xdr:col>5</xdr:col>
      <xdr:colOff>519112</xdr:colOff>
      <xdr:row>73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542925</xdr:colOff>
      <xdr:row>42</xdr:row>
      <xdr:rowOff>180975</xdr:rowOff>
    </xdr:from>
    <xdr:to>
      <xdr:col>12</xdr:col>
      <xdr:colOff>781050</xdr:colOff>
      <xdr:row>57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60</xdr:row>
      <xdr:rowOff>28575</xdr:rowOff>
    </xdr:from>
    <xdr:to>
      <xdr:col>12</xdr:col>
      <xdr:colOff>666750</xdr:colOff>
      <xdr:row>74</xdr:row>
      <xdr:rowOff>104775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43</xdr:row>
      <xdr:rowOff>19050</xdr:rowOff>
    </xdr:from>
    <xdr:to>
      <xdr:col>5</xdr:col>
      <xdr:colOff>790575</xdr:colOff>
      <xdr:row>57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223837</xdr:colOff>
      <xdr:row>54</xdr:row>
      <xdr:rowOff>28575</xdr:rowOff>
    </xdr:from>
    <xdr:to>
      <xdr:col>6</xdr:col>
      <xdr:colOff>100012</xdr:colOff>
      <xdr:row>68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952500</xdr:colOff>
      <xdr:row>45</xdr:row>
      <xdr:rowOff>19050</xdr:rowOff>
    </xdr:from>
    <xdr:to>
      <xdr:col>13</xdr:col>
      <xdr:colOff>857250</xdr:colOff>
      <xdr:row>59</xdr:row>
      <xdr:rowOff>95250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400050</xdr:colOff>
      <xdr:row>54</xdr:row>
      <xdr:rowOff>47625</xdr:rowOff>
    </xdr:from>
    <xdr:to>
      <xdr:col>12</xdr:col>
      <xdr:colOff>533400</xdr:colOff>
      <xdr:row>68</xdr:row>
      <xdr:rowOff>123825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19050</xdr:rowOff>
    </xdr:from>
    <xdr:to>
      <xdr:col>6</xdr:col>
      <xdr:colOff>781050</xdr:colOff>
      <xdr:row>57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59</xdr:row>
      <xdr:rowOff>38100</xdr:rowOff>
    </xdr:from>
    <xdr:to>
      <xdr:col>6</xdr:col>
      <xdr:colOff>871537</xdr:colOff>
      <xdr:row>73</xdr:row>
      <xdr:rowOff>114300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45</xdr:row>
      <xdr:rowOff>85725</xdr:rowOff>
    </xdr:from>
    <xdr:to>
      <xdr:col>15</xdr:col>
      <xdr:colOff>733425</xdr:colOff>
      <xdr:row>59</xdr:row>
      <xdr:rowOff>161925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523875</xdr:colOff>
      <xdr:row>61</xdr:row>
      <xdr:rowOff>123825</xdr:rowOff>
    </xdr:from>
    <xdr:to>
      <xdr:col>15</xdr:col>
      <xdr:colOff>657225</xdr:colOff>
      <xdr:row>76</xdr:row>
      <xdr:rowOff>9525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5"/>
  <sheetViews>
    <sheetView workbookViewId="0">
      <selection activeCell="E36" sqref="A36:E36"/>
    </sheetView>
  </sheetViews>
  <sheetFormatPr baseColWidth="10" defaultRowHeight="15" x14ac:dyDescent="0.25"/>
  <cols>
    <col min="2" max="2" width="18.42578125" bestFit="1" customWidth="1"/>
    <col min="3" max="3" width="13" bestFit="1" customWidth="1"/>
    <col min="5" max="5" width="15.5703125" bestFit="1" customWidth="1"/>
    <col min="6" max="6" width="14.5703125" bestFit="1" customWidth="1"/>
    <col min="8" max="8" width="9.5703125" customWidth="1"/>
    <col min="9" max="9" width="16.42578125" customWidth="1"/>
    <col min="10" max="13" width="14.5703125" bestFit="1" customWidth="1"/>
    <col min="14" max="14" width="13" customWidth="1"/>
    <col min="17" max="17" width="15.5703125" bestFit="1" customWidth="1"/>
    <col min="20" max="20" width="18.28515625" bestFit="1" customWidth="1"/>
    <col min="21" max="21" width="14.5703125" bestFit="1" customWidth="1"/>
  </cols>
  <sheetData>
    <row r="1" spans="2:20" ht="15.75" thickBot="1" x14ac:dyDescent="0.3">
      <c r="B1" s="17" t="s">
        <v>7</v>
      </c>
      <c r="C1" s="18"/>
      <c r="D1" s="18"/>
      <c r="E1" s="18"/>
      <c r="F1" s="19"/>
      <c r="I1" s="17" t="s">
        <v>9</v>
      </c>
      <c r="J1" s="18"/>
      <c r="K1" s="18"/>
      <c r="L1" s="18"/>
      <c r="M1" s="19"/>
    </row>
    <row r="2" spans="2:20" ht="15.75" thickBot="1" x14ac:dyDescent="0.3">
      <c r="B2" s="15"/>
      <c r="C2" s="12" t="s">
        <v>0</v>
      </c>
      <c r="D2" s="13" t="s">
        <v>1</v>
      </c>
      <c r="E2" s="13" t="s">
        <v>2</v>
      </c>
      <c r="F2" s="14" t="s">
        <v>3</v>
      </c>
      <c r="I2" s="15"/>
      <c r="J2" s="12" t="s">
        <v>0</v>
      </c>
      <c r="K2" s="13" t="s">
        <v>1</v>
      </c>
      <c r="L2" s="13" t="s">
        <v>2</v>
      </c>
      <c r="M2" s="14" t="s">
        <v>3</v>
      </c>
    </row>
    <row r="3" spans="2:20" ht="15.75" thickBot="1" x14ac:dyDescent="0.3">
      <c r="B3" s="9" t="s">
        <v>6</v>
      </c>
      <c r="C3" s="10">
        <v>20</v>
      </c>
      <c r="D3" s="10">
        <v>10</v>
      </c>
      <c r="E3" s="10">
        <v>0</v>
      </c>
      <c r="F3" s="11">
        <v>30</v>
      </c>
      <c r="I3" s="9" t="s">
        <v>6</v>
      </c>
      <c r="J3" s="10">
        <v>20</v>
      </c>
      <c r="K3" s="10">
        <v>10</v>
      </c>
      <c r="L3" s="10">
        <v>0</v>
      </c>
      <c r="M3" s="11">
        <v>30</v>
      </c>
      <c r="P3" s="21" t="s">
        <v>27</v>
      </c>
      <c r="Q3" s="21"/>
      <c r="S3" s="21" t="s">
        <v>27</v>
      </c>
      <c r="T3" s="21"/>
    </row>
    <row r="4" spans="2:20" x14ac:dyDescent="0.25">
      <c r="B4" s="7">
        <v>1</v>
      </c>
      <c r="C4" s="8">
        <f>C3-(C3-1.2*D3)</f>
        <v>12</v>
      </c>
      <c r="D4" s="8">
        <f>3+D3</f>
        <v>13</v>
      </c>
      <c r="E4" s="8">
        <f>IF($E$3+$C$4-D4&lt;0,0,$E$3+$C$4-D4)</f>
        <v>0</v>
      </c>
      <c r="F4" s="8">
        <f>IF(F3+C4-D4&lt;0,0,F3+C4-D4)</f>
        <v>29</v>
      </c>
      <c r="I4" s="7">
        <v>1</v>
      </c>
      <c r="J4" s="8">
        <v>14</v>
      </c>
      <c r="K4" s="8">
        <f>3+K3</f>
        <v>13</v>
      </c>
      <c r="L4" s="8">
        <f>IF($E$3+$C$4-K4&lt;0,0,$E$3+$C$4-K4)</f>
        <v>0</v>
      </c>
      <c r="M4" s="8">
        <f>IF(M3+J4-K4&lt;0,0,M3+J4-K4)</f>
        <v>31</v>
      </c>
      <c r="P4" t="s">
        <v>31</v>
      </c>
      <c r="Q4" s="1">
        <f>SUM(K4:K33)</f>
        <v>1695</v>
      </c>
      <c r="S4" t="s">
        <v>31</v>
      </c>
      <c r="T4" s="1">
        <f>Q4</f>
        <v>1695</v>
      </c>
    </row>
    <row r="5" spans="2:20" x14ac:dyDescent="0.25">
      <c r="B5" s="5">
        <v>2</v>
      </c>
      <c r="C5" s="6">
        <f t="shared" ref="C5:C33" si="0">C4-(C4-1.2*D4)</f>
        <v>15.6</v>
      </c>
      <c r="D5" s="6">
        <f t="shared" ref="D5:D33" si="1">3+D4</f>
        <v>16</v>
      </c>
      <c r="E5" s="6">
        <f t="shared" ref="E5:E20" si="2">IF(E4+C5-D5&lt;0,0,E4+C5-D5)</f>
        <v>0</v>
      </c>
      <c r="F5" s="8">
        <f t="shared" ref="F5:F33" si="3">IF(F4+C5-D5&lt;0,0,F4+C5-D5)</f>
        <v>28.6</v>
      </c>
      <c r="I5" s="5">
        <v>2</v>
      </c>
      <c r="J5" s="6">
        <v>23</v>
      </c>
      <c r="K5" s="6">
        <f t="shared" ref="K5:K33" si="4">3+K4</f>
        <v>16</v>
      </c>
      <c r="L5" s="6">
        <f t="shared" ref="L5:L33" si="5">IF(L4+J5-K5&lt;0,0,L4+J5-K5)</f>
        <v>7</v>
      </c>
      <c r="M5" s="8">
        <f t="shared" ref="M5:M33" si="6">IF(M4+J5-K5&lt;0,0,M4+J5-K5)</f>
        <v>38</v>
      </c>
      <c r="P5" t="s">
        <v>16</v>
      </c>
      <c r="Q5" s="39">
        <v>30000</v>
      </c>
      <c r="S5" t="s">
        <v>16</v>
      </c>
      <c r="T5" s="39">
        <v>30000</v>
      </c>
    </row>
    <row r="6" spans="2:20" x14ac:dyDescent="0.25">
      <c r="B6" s="5">
        <v>3</v>
      </c>
      <c r="C6" s="6">
        <f t="shared" si="0"/>
        <v>19.2</v>
      </c>
      <c r="D6" s="6">
        <f t="shared" si="1"/>
        <v>19</v>
      </c>
      <c r="E6" s="6">
        <f t="shared" si="2"/>
        <v>0.19999999999999929</v>
      </c>
      <c r="F6" s="8">
        <f t="shared" si="3"/>
        <v>28.799999999999997</v>
      </c>
      <c r="I6" s="5">
        <v>3</v>
      </c>
      <c r="J6" s="6">
        <v>17</v>
      </c>
      <c r="K6" s="6">
        <f t="shared" si="4"/>
        <v>19</v>
      </c>
      <c r="L6" s="6">
        <f t="shared" si="5"/>
        <v>5</v>
      </c>
      <c r="M6" s="8">
        <f t="shared" si="6"/>
        <v>36</v>
      </c>
      <c r="P6" t="s">
        <v>17</v>
      </c>
      <c r="Q6" s="39">
        <v>25000</v>
      </c>
      <c r="S6" t="s">
        <v>17</v>
      </c>
      <c r="T6" s="39">
        <v>25000</v>
      </c>
    </row>
    <row r="7" spans="2:20" x14ac:dyDescent="0.25">
      <c r="B7" s="5">
        <v>4</v>
      </c>
      <c r="C7" s="6">
        <f t="shared" si="0"/>
        <v>22.8</v>
      </c>
      <c r="D7" s="6">
        <f t="shared" si="1"/>
        <v>22</v>
      </c>
      <c r="E7" s="6">
        <f t="shared" si="2"/>
        <v>1</v>
      </c>
      <c r="F7" s="8">
        <f t="shared" si="3"/>
        <v>29.599999999999994</v>
      </c>
      <c r="I7" s="5">
        <v>4</v>
      </c>
      <c r="J7" s="6">
        <v>29</v>
      </c>
      <c r="K7" s="6">
        <f t="shared" si="4"/>
        <v>22</v>
      </c>
      <c r="L7" s="6">
        <f t="shared" si="5"/>
        <v>12</v>
      </c>
      <c r="M7" s="8">
        <f t="shared" si="6"/>
        <v>43</v>
      </c>
      <c r="Q7" s="2"/>
      <c r="T7" s="2"/>
    </row>
    <row r="8" spans="2:20" x14ac:dyDescent="0.25">
      <c r="B8" s="5">
        <v>5</v>
      </c>
      <c r="C8" s="6">
        <f t="shared" si="0"/>
        <v>26.4</v>
      </c>
      <c r="D8" s="6">
        <f t="shared" si="1"/>
        <v>25</v>
      </c>
      <c r="E8" s="6">
        <f t="shared" si="2"/>
        <v>2.3999999999999986</v>
      </c>
      <c r="F8" s="8">
        <f t="shared" si="3"/>
        <v>30.999999999999993</v>
      </c>
      <c r="I8" s="5">
        <v>5</v>
      </c>
      <c r="J8" s="6">
        <v>24</v>
      </c>
      <c r="K8" s="6">
        <f t="shared" si="4"/>
        <v>25</v>
      </c>
      <c r="L8" s="6">
        <f t="shared" si="5"/>
        <v>11</v>
      </c>
      <c r="M8" s="8">
        <f t="shared" si="6"/>
        <v>42</v>
      </c>
      <c r="Q8" s="2">
        <f>2*Q4*Q5</f>
        <v>101700000</v>
      </c>
      <c r="T8" s="2">
        <f>2*T4*T5</f>
        <v>101700000</v>
      </c>
    </row>
    <row r="9" spans="2:20" x14ac:dyDescent="0.25">
      <c r="B9" s="5">
        <v>6</v>
      </c>
      <c r="C9" s="6">
        <f t="shared" si="0"/>
        <v>30</v>
      </c>
      <c r="D9" s="6">
        <f t="shared" si="1"/>
        <v>28</v>
      </c>
      <c r="E9" s="6">
        <f t="shared" si="2"/>
        <v>4.3999999999999986</v>
      </c>
      <c r="F9" s="8">
        <f t="shared" si="3"/>
        <v>32.999999999999993</v>
      </c>
      <c r="I9" s="5">
        <v>6</v>
      </c>
      <c r="J9" s="6">
        <v>36</v>
      </c>
      <c r="K9" s="6">
        <f t="shared" si="4"/>
        <v>28</v>
      </c>
      <c r="L9" s="6">
        <f t="shared" si="5"/>
        <v>19</v>
      </c>
      <c r="M9" s="8">
        <f t="shared" si="6"/>
        <v>50</v>
      </c>
      <c r="P9" t="s">
        <v>30</v>
      </c>
      <c r="Q9" s="1">
        <f>SQRT(Q8/Q6)</f>
        <v>63.7808748764079</v>
      </c>
      <c r="S9" t="s">
        <v>30</v>
      </c>
      <c r="T9" s="1">
        <f>SQRT(T8/T6)</f>
        <v>63.7808748764079</v>
      </c>
    </row>
    <row r="10" spans="2:20" x14ac:dyDescent="0.25">
      <c r="B10" s="5">
        <v>7</v>
      </c>
      <c r="C10" s="6">
        <f t="shared" si="0"/>
        <v>33.6</v>
      </c>
      <c r="D10" s="6">
        <f t="shared" si="1"/>
        <v>31</v>
      </c>
      <c r="E10" s="6">
        <f t="shared" si="2"/>
        <v>7</v>
      </c>
      <c r="F10" s="8">
        <f t="shared" si="3"/>
        <v>35.599999999999994</v>
      </c>
      <c r="I10" s="5">
        <v>7</v>
      </c>
      <c r="J10" s="6">
        <v>31</v>
      </c>
      <c r="K10" s="6">
        <f t="shared" si="4"/>
        <v>31</v>
      </c>
      <c r="L10" s="6">
        <f t="shared" si="5"/>
        <v>19</v>
      </c>
      <c r="M10" s="8">
        <f t="shared" si="6"/>
        <v>50</v>
      </c>
      <c r="Q10" s="2"/>
      <c r="T10" s="2"/>
    </row>
    <row r="11" spans="2:20" x14ac:dyDescent="0.25">
      <c r="B11" s="5">
        <v>8</v>
      </c>
      <c r="C11" s="6">
        <f t="shared" si="0"/>
        <v>37.199999999999996</v>
      </c>
      <c r="D11" s="6">
        <f t="shared" si="1"/>
        <v>34</v>
      </c>
      <c r="E11" s="6">
        <f t="shared" si="2"/>
        <v>10.199999999999996</v>
      </c>
      <c r="F11" s="8">
        <f t="shared" si="3"/>
        <v>38.799999999999983</v>
      </c>
      <c r="I11" s="5">
        <v>8</v>
      </c>
      <c r="J11" s="6">
        <v>44</v>
      </c>
      <c r="K11" s="6">
        <f t="shared" si="4"/>
        <v>34</v>
      </c>
      <c r="L11" s="6">
        <f t="shared" si="5"/>
        <v>29</v>
      </c>
      <c r="M11" s="8">
        <f t="shared" si="6"/>
        <v>60</v>
      </c>
      <c r="P11" t="s">
        <v>33</v>
      </c>
      <c r="Q11" s="1">
        <f>Q9*30</f>
        <v>1913.426246292237</v>
      </c>
      <c r="S11" t="s">
        <v>33</v>
      </c>
      <c r="T11" s="1">
        <f>T9*30+30</f>
        <v>1943.426246292237</v>
      </c>
    </row>
    <row r="12" spans="2:20" x14ac:dyDescent="0.25">
      <c r="B12" s="5">
        <v>9</v>
      </c>
      <c r="C12" s="6">
        <f t="shared" si="0"/>
        <v>40.799999999999997</v>
      </c>
      <c r="D12" s="6">
        <f t="shared" si="1"/>
        <v>37</v>
      </c>
      <c r="E12" s="6">
        <f t="shared" si="2"/>
        <v>13.999999999999993</v>
      </c>
      <c r="F12" s="8">
        <f t="shared" si="3"/>
        <v>42.59999999999998</v>
      </c>
      <c r="I12" s="5">
        <v>9</v>
      </c>
      <c r="J12" s="6">
        <v>39</v>
      </c>
      <c r="K12" s="6">
        <f t="shared" si="4"/>
        <v>37</v>
      </c>
      <c r="L12" s="6">
        <f t="shared" si="5"/>
        <v>31</v>
      </c>
      <c r="M12" s="8">
        <f t="shared" si="6"/>
        <v>62</v>
      </c>
      <c r="Q12" s="2"/>
      <c r="T12" s="2"/>
    </row>
    <row r="13" spans="2:20" x14ac:dyDescent="0.25">
      <c r="B13" s="5">
        <v>10</v>
      </c>
      <c r="C13" s="6">
        <f t="shared" si="0"/>
        <v>44.4</v>
      </c>
      <c r="D13" s="6">
        <f t="shared" si="1"/>
        <v>40</v>
      </c>
      <c r="E13" s="6">
        <f t="shared" si="2"/>
        <v>18.399999999999991</v>
      </c>
      <c r="F13" s="8">
        <f t="shared" si="3"/>
        <v>46.999999999999972</v>
      </c>
      <c r="I13" s="5">
        <v>10</v>
      </c>
      <c r="J13" s="6">
        <v>51</v>
      </c>
      <c r="K13" s="6">
        <f t="shared" si="4"/>
        <v>40</v>
      </c>
      <c r="L13" s="6">
        <f t="shared" si="5"/>
        <v>42</v>
      </c>
      <c r="M13" s="8">
        <f t="shared" si="6"/>
        <v>73</v>
      </c>
      <c r="Q13" s="2">
        <f>Q9/2</f>
        <v>31.89043743820395</v>
      </c>
      <c r="T13" s="2">
        <f>T9/2</f>
        <v>31.89043743820395</v>
      </c>
    </row>
    <row r="14" spans="2:20" x14ac:dyDescent="0.25">
      <c r="B14" s="5">
        <v>11</v>
      </c>
      <c r="C14" s="6">
        <f t="shared" si="0"/>
        <v>48</v>
      </c>
      <c r="D14" s="6">
        <f t="shared" si="1"/>
        <v>43</v>
      </c>
      <c r="E14" s="6">
        <f t="shared" si="2"/>
        <v>23.399999999999991</v>
      </c>
      <c r="F14" s="8">
        <f t="shared" si="3"/>
        <v>51.999999999999972</v>
      </c>
      <c r="I14" s="5">
        <v>11</v>
      </c>
      <c r="J14" s="6">
        <v>47</v>
      </c>
      <c r="K14" s="6">
        <f t="shared" si="4"/>
        <v>43</v>
      </c>
      <c r="L14" s="6">
        <f t="shared" si="5"/>
        <v>46</v>
      </c>
      <c r="M14" s="8">
        <f t="shared" si="6"/>
        <v>77</v>
      </c>
      <c r="P14" t="s">
        <v>32</v>
      </c>
      <c r="Q14" s="40">
        <f>Q13*Q6</f>
        <v>797260.93595509871</v>
      </c>
      <c r="S14" t="s">
        <v>32</v>
      </c>
      <c r="T14" s="40">
        <f>T13*T6</f>
        <v>797260.93595509871</v>
      </c>
    </row>
    <row r="15" spans="2:20" x14ac:dyDescent="0.25">
      <c r="B15" s="5">
        <v>12</v>
      </c>
      <c r="C15" s="6">
        <f t="shared" si="0"/>
        <v>51.6</v>
      </c>
      <c r="D15" s="6">
        <f t="shared" si="1"/>
        <v>46</v>
      </c>
      <c r="E15" s="6">
        <f t="shared" si="2"/>
        <v>29</v>
      </c>
      <c r="F15" s="8">
        <f t="shared" si="3"/>
        <v>57.599999999999966</v>
      </c>
      <c r="I15" s="5">
        <v>12</v>
      </c>
      <c r="J15" s="6">
        <v>59</v>
      </c>
      <c r="K15" s="6">
        <f t="shared" si="4"/>
        <v>46</v>
      </c>
      <c r="L15" s="6">
        <f t="shared" si="5"/>
        <v>59</v>
      </c>
      <c r="M15" s="8">
        <f t="shared" si="6"/>
        <v>90</v>
      </c>
      <c r="Q15" s="2"/>
      <c r="T15" s="2"/>
    </row>
    <row r="16" spans="2:20" x14ac:dyDescent="0.25">
      <c r="B16" s="5">
        <v>13</v>
      </c>
      <c r="C16" s="6">
        <f t="shared" si="0"/>
        <v>55.199999999999996</v>
      </c>
      <c r="D16" s="6">
        <f t="shared" si="1"/>
        <v>49</v>
      </c>
      <c r="E16" s="6">
        <f t="shared" si="2"/>
        <v>35.199999999999989</v>
      </c>
      <c r="F16" s="8">
        <f t="shared" si="3"/>
        <v>63.799999999999955</v>
      </c>
      <c r="I16" s="5">
        <v>13</v>
      </c>
      <c r="J16" s="6">
        <v>55</v>
      </c>
      <c r="K16" s="6">
        <f t="shared" si="4"/>
        <v>49</v>
      </c>
      <c r="L16" s="6">
        <f t="shared" si="5"/>
        <v>65</v>
      </c>
      <c r="M16" s="8">
        <f t="shared" si="6"/>
        <v>96</v>
      </c>
      <c r="P16" t="s">
        <v>26</v>
      </c>
      <c r="Q16" s="41">
        <f>Q4*$C$39-Q11*$C$40-Q14</f>
        <v>4401345.369661347</v>
      </c>
      <c r="S16" t="s">
        <v>26</v>
      </c>
      <c r="T16" s="41">
        <f>T4*$C$39-$C$40*T11-T14</f>
        <v>3951345.369661347</v>
      </c>
    </row>
    <row r="17" spans="2:20" x14ac:dyDescent="0.25">
      <c r="B17" s="5">
        <v>14</v>
      </c>
      <c r="C17" s="6">
        <f t="shared" si="0"/>
        <v>58.8</v>
      </c>
      <c r="D17" s="6">
        <f t="shared" si="1"/>
        <v>52</v>
      </c>
      <c r="E17" s="6">
        <f t="shared" si="2"/>
        <v>41.999999999999986</v>
      </c>
      <c r="F17" s="8">
        <f t="shared" si="3"/>
        <v>70.599999999999952</v>
      </c>
      <c r="I17" s="5">
        <v>14</v>
      </c>
      <c r="J17" s="6">
        <v>57</v>
      </c>
      <c r="K17" s="6">
        <f t="shared" si="4"/>
        <v>52</v>
      </c>
      <c r="L17" s="6">
        <f t="shared" si="5"/>
        <v>70</v>
      </c>
      <c r="M17" s="8">
        <f t="shared" si="6"/>
        <v>101</v>
      </c>
    </row>
    <row r="18" spans="2:20" x14ac:dyDescent="0.25">
      <c r="B18" s="5">
        <v>15</v>
      </c>
      <c r="C18" s="6">
        <f t="shared" si="0"/>
        <v>62.4</v>
      </c>
      <c r="D18" s="6">
        <f t="shared" si="1"/>
        <v>55</v>
      </c>
      <c r="E18" s="6">
        <f t="shared" si="2"/>
        <v>49.399999999999977</v>
      </c>
      <c r="F18" s="8">
        <f t="shared" si="3"/>
        <v>77.999999999999943</v>
      </c>
      <c r="I18" s="5">
        <v>15</v>
      </c>
      <c r="J18" s="6">
        <v>62</v>
      </c>
      <c r="K18" s="6">
        <f t="shared" si="4"/>
        <v>55</v>
      </c>
      <c r="L18" s="6">
        <f t="shared" si="5"/>
        <v>77</v>
      </c>
      <c r="M18" s="8">
        <f t="shared" si="6"/>
        <v>108</v>
      </c>
    </row>
    <row r="19" spans="2:20" x14ac:dyDescent="0.25">
      <c r="B19" s="5">
        <v>16</v>
      </c>
      <c r="C19" s="6">
        <f t="shared" si="0"/>
        <v>66</v>
      </c>
      <c r="D19" s="6">
        <f t="shared" si="1"/>
        <v>58</v>
      </c>
      <c r="E19" s="6">
        <f t="shared" si="2"/>
        <v>57.399999999999977</v>
      </c>
      <c r="F19" s="8">
        <f t="shared" si="3"/>
        <v>85.999999999999943</v>
      </c>
      <c r="I19" s="5">
        <v>16</v>
      </c>
      <c r="J19" s="6">
        <v>75</v>
      </c>
      <c r="K19" s="6">
        <f t="shared" si="4"/>
        <v>58</v>
      </c>
      <c r="L19" s="6">
        <f t="shared" si="5"/>
        <v>94</v>
      </c>
      <c r="M19" s="8">
        <f t="shared" si="6"/>
        <v>125</v>
      </c>
    </row>
    <row r="20" spans="2:20" x14ac:dyDescent="0.25">
      <c r="B20" s="5">
        <v>17</v>
      </c>
      <c r="C20" s="6">
        <f t="shared" si="0"/>
        <v>69.599999999999994</v>
      </c>
      <c r="D20" s="6">
        <f t="shared" si="1"/>
        <v>61</v>
      </c>
      <c r="E20" s="6">
        <f t="shared" si="2"/>
        <v>65.999999999999972</v>
      </c>
      <c r="F20" s="8">
        <f t="shared" si="3"/>
        <v>94.599999999999937</v>
      </c>
      <c r="I20" s="5">
        <v>17</v>
      </c>
      <c r="J20" s="6">
        <v>70</v>
      </c>
      <c r="K20" s="6">
        <f t="shared" si="4"/>
        <v>61</v>
      </c>
      <c r="L20" s="6">
        <f t="shared" si="5"/>
        <v>103</v>
      </c>
      <c r="M20" s="8">
        <f t="shared" si="6"/>
        <v>134</v>
      </c>
      <c r="P20" s="21" t="s">
        <v>27</v>
      </c>
      <c r="Q20" s="21"/>
      <c r="S20" s="21" t="s">
        <v>27</v>
      </c>
      <c r="T20" s="21"/>
    </row>
    <row r="21" spans="2:20" x14ac:dyDescent="0.25">
      <c r="B21" s="5">
        <v>18</v>
      </c>
      <c r="C21" s="6">
        <f t="shared" si="0"/>
        <v>73.2</v>
      </c>
      <c r="D21" s="6">
        <f t="shared" si="1"/>
        <v>64</v>
      </c>
      <c r="E21" s="6">
        <f t="shared" ref="E21:E33" si="7">IF(E20+C21-D21&lt;0,0,E20+C21-D21)</f>
        <v>75.199999999999989</v>
      </c>
      <c r="F21" s="8">
        <f t="shared" si="3"/>
        <v>103.79999999999995</v>
      </c>
      <c r="I21" s="5">
        <v>18</v>
      </c>
      <c r="J21" s="6">
        <v>83</v>
      </c>
      <c r="K21" s="6">
        <f t="shared" si="4"/>
        <v>64</v>
      </c>
      <c r="L21" s="6">
        <f t="shared" si="5"/>
        <v>122</v>
      </c>
      <c r="M21" s="8">
        <f t="shared" si="6"/>
        <v>153</v>
      </c>
      <c r="P21" t="s">
        <v>31</v>
      </c>
      <c r="Q21" s="1">
        <v>1695</v>
      </c>
      <c r="S21" t="s">
        <v>31</v>
      </c>
      <c r="T21" s="1">
        <f>Q21</f>
        <v>1695</v>
      </c>
    </row>
    <row r="22" spans="2:20" x14ac:dyDescent="0.25">
      <c r="B22" s="5">
        <v>19</v>
      </c>
      <c r="C22" s="6">
        <f t="shared" si="0"/>
        <v>76.8</v>
      </c>
      <c r="D22" s="6">
        <f t="shared" si="1"/>
        <v>67</v>
      </c>
      <c r="E22" s="6">
        <f t="shared" si="7"/>
        <v>85</v>
      </c>
      <c r="F22" s="8">
        <f t="shared" si="3"/>
        <v>113.59999999999997</v>
      </c>
      <c r="I22" s="5">
        <v>19</v>
      </c>
      <c r="J22" s="6">
        <v>78</v>
      </c>
      <c r="K22" s="6">
        <f t="shared" si="4"/>
        <v>67</v>
      </c>
      <c r="L22" s="6">
        <f t="shared" si="5"/>
        <v>133</v>
      </c>
      <c r="M22" s="8">
        <f t="shared" si="6"/>
        <v>164</v>
      </c>
      <c r="P22" t="s">
        <v>16</v>
      </c>
      <c r="Q22" s="39">
        <v>30000</v>
      </c>
      <c r="S22" t="s">
        <v>16</v>
      </c>
      <c r="T22" s="39">
        <v>30000</v>
      </c>
    </row>
    <row r="23" spans="2:20" x14ac:dyDescent="0.25">
      <c r="B23" s="5">
        <v>20</v>
      </c>
      <c r="C23" s="6">
        <f t="shared" si="0"/>
        <v>80.399999999999991</v>
      </c>
      <c r="D23" s="6">
        <f t="shared" si="1"/>
        <v>70</v>
      </c>
      <c r="E23" s="6">
        <f t="shared" si="7"/>
        <v>95.399999999999977</v>
      </c>
      <c r="F23" s="8">
        <f t="shared" si="3"/>
        <v>123.99999999999994</v>
      </c>
      <c r="I23" s="5">
        <v>20</v>
      </c>
      <c r="J23" s="6">
        <v>90</v>
      </c>
      <c r="K23" s="6">
        <f t="shared" si="4"/>
        <v>70</v>
      </c>
      <c r="L23" s="6">
        <f t="shared" si="5"/>
        <v>153</v>
      </c>
      <c r="M23" s="8">
        <f t="shared" si="6"/>
        <v>184</v>
      </c>
      <c r="P23" t="s">
        <v>17</v>
      </c>
      <c r="Q23" s="39">
        <v>25000</v>
      </c>
      <c r="S23" t="s">
        <v>17</v>
      </c>
      <c r="T23" s="39">
        <v>25000</v>
      </c>
    </row>
    <row r="24" spans="2:20" x14ac:dyDescent="0.25">
      <c r="B24" s="5">
        <v>21</v>
      </c>
      <c r="C24" s="6">
        <f t="shared" si="0"/>
        <v>84</v>
      </c>
      <c r="D24" s="6">
        <f t="shared" si="1"/>
        <v>73</v>
      </c>
      <c r="E24" s="6">
        <f t="shared" si="7"/>
        <v>106.39999999999998</v>
      </c>
      <c r="F24" s="8">
        <f t="shared" si="3"/>
        <v>134.99999999999994</v>
      </c>
      <c r="I24" s="5">
        <v>21</v>
      </c>
      <c r="J24" s="6">
        <v>86</v>
      </c>
      <c r="K24" s="6">
        <f t="shared" si="4"/>
        <v>73</v>
      </c>
      <c r="L24" s="6">
        <f t="shared" si="5"/>
        <v>166</v>
      </c>
      <c r="M24" s="8">
        <f t="shared" si="6"/>
        <v>197</v>
      </c>
      <c r="Q24" s="2"/>
      <c r="T24" s="2"/>
    </row>
    <row r="25" spans="2:20" x14ac:dyDescent="0.25">
      <c r="B25" s="5">
        <v>22</v>
      </c>
      <c r="C25" s="6">
        <f t="shared" si="0"/>
        <v>87.6</v>
      </c>
      <c r="D25" s="6">
        <f t="shared" si="1"/>
        <v>76</v>
      </c>
      <c r="E25" s="6">
        <f t="shared" si="7"/>
        <v>117.99999999999997</v>
      </c>
      <c r="F25" s="8">
        <f t="shared" si="3"/>
        <v>146.59999999999994</v>
      </c>
      <c r="I25" s="5">
        <v>22</v>
      </c>
      <c r="J25" s="6">
        <v>98</v>
      </c>
      <c r="K25" s="6">
        <f t="shared" si="4"/>
        <v>76</v>
      </c>
      <c r="L25" s="6">
        <f t="shared" si="5"/>
        <v>188</v>
      </c>
      <c r="M25" s="8">
        <f t="shared" si="6"/>
        <v>219</v>
      </c>
      <c r="Q25" s="2">
        <f>2*Q21*Q22</f>
        <v>101700000</v>
      </c>
      <c r="T25" s="2">
        <f>2*T21*T22</f>
        <v>101700000</v>
      </c>
    </row>
    <row r="26" spans="2:20" x14ac:dyDescent="0.25">
      <c r="B26" s="5">
        <v>23</v>
      </c>
      <c r="C26" s="6">
        <f t="shared" si="0"/>
        <v>91.2</v>
      </c>
      <c r="D26" s="6">
        <f t="shared" si="1"/>
        <v>79</v>
      </c>
      <c r="E26" s="6">
        <f t="shared" si="7"/>
        <v>130.19999999999999</v>
      </c>
      <c r="F26" s="8">
        <f t="shared" si="3"/>
        <v>158.79999999999995</v>
      </c>
      <c r="I26" s="5">
        <v>23</v>
      </c>
      <c r="J26" s="6">
        <v>94</v>
      </c>
      <c r="K26" s="6">
        <f t="shared" si="4"/>
        <v>79</v>
      </c>
      <c r="L26" s="6">
        <f t="shared" si="5"/>
        <v>203</v>
      </c>
      <c r="M26" s="8">
        <f t="shared" si="6"/>
        <v>234</v>
      </c>
      <c r="P26" t="s">
        <v>30</v>
      </c>
      <c r="Q26" s="1">
        <f>SQRT(Q25/Q23)</f>
        <v>63.7808748764079</v>
      </c>
      <c r="S26" t="s">
        <v>30</v>
      </c>
      <c r="T26" s="1">
        <f>SQRT(T25/T23)</f>
        <v>63.7808748764079</v>
      </c>
    </row>
    <row r="27" spans="2:20" x14ac:dyDescent="0.25">
      <c r="B27" s="5">
        <v>24</v>
      </c>
      <c r="C27" s="6">
        <f t="shared" si="0"/>
        <v>94.8</v>
      </c>
      <c r="D27" s="6">
        <f t="shared" si="1"/>
        <v>82</v>
      </c>
      <c r="E27" s="6">
        <f t="shared" si="7"/>
        <v>143</v>
      </c>
      <c r="F27" s="8">
        <f t="shared" si="3"/>
        <v>171.59999999999997</v>
      </c>
      <c r="I27" s="5">
        <v>24</v>
      </c>
      <c r="J27" s="6">
        <v>106</v>
      </c>
      <c r="K27" s="6">
        <f t="shared" si="4"/>
        <v>82</v>
      </c>
      <c r="L27" s="6">
        <f t="shared" si="5"/>
        <v>227</v>
      </c>
      <c r="M27" s="8">
        <f t="shared" si="6"/>
        <v>258</v>
      </c>
      <c r="Q27" s="2"/>
      <c r="T27" s="2"/>
    </row>
    <row r="28" spans="2:20" x14ac:dyDescent="0.25">
      <c r="B28" s="5">
        <v>25</v>
      </c>
      <c r="C28" s="6">
        <f t="shared" si="0"/>
        <v>98.399999999999991</v>
      </c>
      <c r="D28" s="6">
        <f t="shared" si="1"/>
        <v>85</v>
      </c>
      <c r="E28" s="6">
        <f t="shared" si="7"/>
        <v>156.39999999999998</v>
      </c>
      <c r="F28" s="8">
        <f t="shared" si="3"/>
        <v>184.99999999999994</v>
      </c>
      <c r="I28" s="5">
        <v>25</v>
      </c>
      <c r="J28" s="6">
        <v>101</v>
      </c>
      <c r="K28" s="6">
        <f t="shared" si="4"/>
        <v>85</v>
      </c>
      <c r="L28" s="6">
        <f t="shared" si="5"/>
        <v>243</v>
      </c>
      <c r="M28" s="8">
        <f t="shared" si="6"/>
        <v>274</v>
      </c>
      <c r="P28" t="s">
        <v>33</v>
      </c>
      <c r="Q28" s="1">
        <f>Q26*30</f>
        <v>1913.426246292237</v>
      </c>
      <c r="S28" t="s">
        <v>33</v>
      </c>
      <c r="T28" s="1">
        <f>T26*30+30</f>
        <v>1943.426246292237</v>
      </c>
    </row>
    <row r="29" spans="2:20" x14ac:dyDescent="0.25">
      <c r="B29" s="5">
        <v>26</v>
      </c>
      <c r="C29" s="6">
        <f t="shared" si="0"/>
        <v>102</v>
      </c>
      <c r="D29" s="6">
        <f t="shared" si="1"/>
        <v>88</v>
      </c>
      <c r="E29" s="6">
        <f t="shared" si="7"/>
        <v>170.39999999999998</v>
      </c>
      <c r="F29" s="8">
        <f t="shared" si="3"/>
        <v>198.99999999999994</v>
      </c>
      <c r="I29" s="5">
        <v>26</v>
      </c>
      <c r="J29" s="6">
        <v>114</v>
      </c>
      <c r="K29" s="6">
        <f t="shared" si="4"/>
        <v>88</v>
      </c>
      <c r="L29" s="6">
        <f t="shared" si="5"/>
        <v>269</v>
      </c>
      <c r="M29" s="8">
        <f t="shared" si="6"/>
        <v>300</v>
      </c>
      <c r="Q29" s="2"/>
      <c r="T29" s="2"/>
    </row>
    <row r="30" spans="2:20" x14ac:dyDescent="0.25">
      <c r="B30" s="5">
        <v>27</v>
      </c>
      <c r="C30" s="6">
        <f t="shared" si="0"/>
        <v>105.6</v>
      </c>
      <c r="D30" s="6">
        <f t="shared" si="1"/>
        <v>91</v>
      </c>
      <c r="E30" s="6">
        <f t="shared" si="7"/>
        <v>185</v>
      </c>
      <c r="F30" s="8">
        <f t="shared" si="3"/>
        <v>213.59999999999991</v>
      </c>
      <c r="I30" s="5">
        <v>27</v>
      </c>
      <c r="J30" s="6">
        <v>109</v>
      </c>
      <c r="K30" s="6">
        <f t="shared" si="4"/>
        <v>91</v>
      </c>
      <c r="L30" s="6">
        <f t="shared" si="5"/>
        <v>287</v>
      </c>
      <c r="M30" s="8">
        <f t="shared" si="6"/>
        <v>318</v>
      </c>
      <c r="Q30" s="2">
        <f>Q26/2</f>
        <v>31.89043743820395</v>
      </c>
      <c r="T30" s="2">
        <f>T26/2</f>
        <v>31.89043743820395</v>
      </c>
    </row>
    <row r="31" spans="2:20" x14ac:dyDescent="0.25">
      <c r="B31" s="5">
        <v>28</v>
      </c>
      <c r="C31" s="6">
        <f t="shared" si="0"/>
        <v>109.2</v>
      </c>
      <c r="D31" s="6">
        <f t="shared" si="1"/>
        <v>94</v>
      </c>
      <c r="E31" s="6">
        <f t="shared" si="7"/>
        <v>200.2</v>
      </c>
      <c r="F31" s="8">
        <f t="shared" si="3"/>
        <v>228.7999999999999</v>
      </c>
      <c r="I31" s="5">
        <v>28</v>
      </c>
      <c r="J31" s="6">
        <v>122</v>
      </c>
      <c r="K31" s="6">
        <f t="shared" si="4"/>
        <v>94</v>
      </c>
      <c r="L31" s="6">
        <f t="shared" si="5"/>
        <v>315</v>
      </c>
      <c r="M31" s="8">
        <f t="shared" si="6"/>
        <v>346</v>
      </c>
      <c r="P31" t="s">
        <v>32</v>
      </c>
      <c r="Q31" s="4">
        <v>881150</v>
      </c>
      <c r="S31" t="s">
        <v>32</v>
      </c>
      <c r="T31" s="4">
        <v>1687200</v>
      </c>
    </row>
    <row r="32" spans="2:20" x14ac:dyDescent="0.25">
      <c r="B32" s="5">
        <v>29</v>
      </c>
      <c r="C32" s="6">
        <f t="shared" si="0"/>
        <v>112.8</v>
      </c>
      <c r="D32" s="6">
        <f t="shared" si="1"/>
        <v>97</v>
      </c>
      <c r="E32" s="6">
        <f t="shared" si="7"/>
        <v>216</v>
      </c>
      <c r="F32" s="8">
        <f t="shared" si="3"/>
        <v>244.59999999999991</v>
      </c>
      <c r="I32" s="5">
        <v>29</v>
      </c>
      <c r="J32" s="6">
        <v>117</v>
      </c>
      <c r="K32" s="6">
        <f t="shared" si="4"/>
        <v>97</v>
      </c>
      <c r="L32" s="6">
        <f t="shared" si="5"/>
        <v>335</v>
      </c>
      <c r="M32" s="8">
        <f t="shared" si="6"/>
        <v>366</v>
      </c>
      <c r="Q32" s="2"/>
      <c r="T32" s="2"/>
    </row>
    <row r="33" spans="2:20" x14ac:dyDescent="0.25">
      <c r="B33" s="5">
        <v>30</v>
      </c>
      <c r="C33" s="6">
        <f t="shared" si="0"/>
        <v>116.39999999999999</v>
      </c>
      <c r="D33" s="6">
        <f t="shared" si="1"/>
        <v>100</v>
      </c>
      <c r="E33" s="6">
        <f t="shared" si="7"/>
        <v>232.39999999999998</v>
      </c>
      <c r="F33" s="8">
        <f t="shared" si="3"/>
        <v>260.99999999999989</v>
      </c>
      <c r="I33" s="5">
        <v>30</v>
      </c>
      <c r="J33" s="6">
        <v>129</v>
      </c>
      <c r="K33" s="6">
        <f t="shared" si="4"/>
        <v>100</v>
      </c>
      <c r="L33" s="6">
        <f t="shared" si="5"/>
        <v>364</v>
      </c>
      <c r="M33" s="8">
        <f t="shared" si="6"/>
        <v>395</v>
      </c>
      <c r="P33" t="s">
        <v>26</v>
      </c>
      <c r="Q33" s="41">
        <f>Q21*$C$39-Q28*$C$40-Q31</f>
        <v>4317456.3056164458</v>
      </c>
      <c r="S33" t="s">
        <v>26</v>
      </c>
      <c r="T33" s="41">
        <f>T21*$C$39-$C$40*T28-T31</f>
        <v>3061406.3056164458</v>
      </c>
    </row>
    <row r="35" spans="2:20" x14ac:dyDescent="0.25">
      <c r="B35" t="s">
        <v>4</v>
      </c>
      <c r="C35" s="3">
        <v>150000</v>
      </c>
      <c r="E35" s="4">
        <f>C35+SUM(E4:E33)*C36</f>
        <v>945760</v>
      </c>
      <c r="F35" s="4">
        <f>C35+SUM(F4:F33)*C36</f>
        <v>1246199.9999999995</v>
      </c>
      <c r="I35" t="s">
        <v>4</v>
      </c>
      <c r="J35" s="3">
        <v>150000</v>
      </c>
      <c r="L35" s="4">
        <f>J35+SUM(L4:L33)*J36</f>
        <v>1442900</v>
      </c>
      <c r="M35" s="4">
        <f>J35+SUM(M4:M33)*J36</f>
        <v>1768400</v>
      </c>
    </row>
    <row r="36" spans="2:20" x14ac:dyDescent="0.25">
      <c r="B36" t="s">
        <v>5</v>
      </c>
      <c r="C36" s="3">
        <v>350</v>
      </c>
      <c r="I36" t="s">
        <v>5</v>
      </c>
      <c r="J36" s="3">
        <v>350</v>
      </c>
      <c r="P36" s="21" t="s">
        <v>27</v>
      </c>
      <c r="Q36" s="21"/>
      <c r="S36" s="21" t="s">
        <v>27</v>
      </c>
      <c r="T36" s="21"/>
    </row>
    <row r="37" spans="2:20" x14ac:dyDescent="0.25">
      <c r="P37" t="s">
        <v>31</v>
      </c>
      <c r="Q37" s="1">
        <v>1695</v>
      </c>
      <c r="S37" t="s">
        <v>31</v>
      </c>
      <c r="T37" s="1">
        <f>Q37</f>
        <v>1695</v>
      </c>
    </row>
    <row r="38" spans="2:20" x14ac:dyDescent="0.25">
      <c r="E38" s="21" t="s">
        <v>26</v>
      </c>
      <c r="F38" s="21"/>
      <c r="L38" s="21" t="s">
        <v>26</v>
      </c>
      <c r="M38" s="21"/>
      <c r="P38" t="s">
        <v>16</v>
      </c>
      <c r="Q38" s="39">
        <v>30000</v>
      </c>
      <c r="S38" t="s">
        <v>16</v>
      </c>
      <c r="T38" s="39">
        <v>30000</v>
      </c>
    </row>
    <row r="39" spans="2:20" x14ac:dyDescent="0.25">
      <c r="B39" t="s">
        <v>24</v>
      </c>
      <c r="C39" s="3">
        <v>20000</v>
      </c>
      <c r="E39" s="22">
        <f>SUM($D$4:$D$33)*$C$39-SUM($C$4:$C$33)*$C$40-E35</f>
        <v>4064240</v>
      </c>
      <c r="F39" s="22">
        <f>SUM($D$4:$D$33)*$C$39-SUM($C$4:$C$33)*$C$40-F35</f>
        <v>3763800.0000000005</v>
      </c>
      <c r="L39" s="22">
        <f>SUM($D$4:$D$33)*$C$39-SUM($J$4:$J$33)*$C$40-L35</f>
        <v>1557100</v>
      </c>
      <c r="M39" s="22">
        <f>SUM($K$4:$K$33)*$C$39-SUM($J$4:$J$33)*$C$40-M35</f>
        <v>1231600</v>
      </c>
      <c r="P39" t="s">
        <v>17</v>
      </c>
      <c r="Q39" s="39">
        <v>25000</v>
      </c>
      <c r="S39" t="s">
        <v>17</v>
      </c>
      <c r="T39" s="39">
        <v>25000</v>
      </c>
    </row>
    <row r="40" spans="2:20" x14ac:dyDescent="0.25">
      <c r="B40" t="s">
        <v>25</v>
      </c>
      <c r="C40" s="3">
        <v>15000</v>
      </c>
      <c r="Q40" s="2"/>
      <c r="T40" s="2"/>
    </row>
    <row r="41" spans="2:20" x14ac:dyDescent="0.25">
      <c r="Q41" s="2">
        <f>2*Q37*Q38</f>
        <v>101700000</v>
      </c>
      <c r="T41" s="2">
        <f>2*T37*T38</f>
        <v>101700000</v>
      </c>
    </row>
    <row r="42" spans="2:20" x14ac:dyDescent="0.25">
      <c r="E42" s="20" t="s">
        <v>27</v>
      </c>
      <c r="F42" s="22">
        <f>Q16</f>
        <v>4401345.369661347</v>
      </c>
      <c r="P42" t="s">
        <v>30</v>
      </c>
      <c r="Q42" s="1">
        <v>62</v>
      </c>
      <c r="S42" t="s">
        <v>30</v>
      </c>
      <c r="T42" s="1">
        <v>63</v>
      </c>
    </row>
    <row r="43" spans="2:20" x14ac:dyDescent="0.25">
      <c r="Q43" s="2"/>
      <c r="T43" s="2"/>
    </row>
    <row r="44" spans="2:20" x14ac:dyDescent="0.25">
      <c r="P44" t="s">
        <v>33</v>
      </c>
      <c r="Q44" s="1">
        <f>Q42*30</f>
        <v>1860</v>
      </c>
      <c r="S44" t="s">
        <v>33</v>
      </c>
      <c r="T44" s="1">
        <f>T42*30+30</f>
        <v>1920</v>
      </c>
    </row>
    <row r="45" spans="2:20" x14ac:dyDescent="0.25">
      <c r="Q45" s="2"/>
      <c r="T45" s="2"/>
    </row>
    <row r="46" spans="2:20" x14ac:dyDescent="0.25">
      <c r="Q46" s="2">
        <f>Q42/2</f>
        <v>31</v>
      </c>
      <c r="T46" s="2">
        <f>T42/2</f>
        <v>31.5</v>
      </c>
    </row>
    <row r="47" spans="2:20" x14ac:dyDescent="0.25">
      <c r="P47" t="s">
        <v>32</v>
      </c>
      <c r="Q47" s="40">
        <f>Q46*Q39</f>
        <v>775000</v>
      </c>
      <c r="S47" t="s">
        <v>32</v>
      </c>
      <c r="T47" s="40">
        <f>T46*T39</f>
        <v>787500</v>
      </c>
    </row>
    <row r="48" spans="2:20" x14ac:dyDescent="0.25">
      <c r="Q48" s="2"/>
      <c r="T48" s="2"/>
    </row>
    <row r="49" spans="16:20" x14ac:dyDescent="0.25">
      <c r="P49" t="s">
        <v>26</v>
      </c>
      <c r="Q49" s="41">
        <f>Q37*$C$39-Q44*$C$40-Q47</f>
        <v>5225000</v>
      </c>
      <c r="S49" t="s">
        <v>26</v>
      </c>
      <c r="T49" s="41">
        <f>T37*$C$39-$C$40*T44-T47</f>
        <v>4312500</v>
      </c>
    </row>
    <row r="75" spans="10:11" x14ac:dyDescent="0.25">
      <c r="J75" s="4"/>
      <c r="K75" s="4"/>
    </row>
  </sheetData>
  <mergeCells count="10">
    <mergeCell ref="P36:Q36"/>
    <mergeCell ref="S36:T36"/>
    <mergeCell ref="P3:Q3"/>
    <mergeCell ref="S3:T3"/>
    <mergeCell ref="P20:Q20"/>
    <mergeCell ref="S20:T20"/>
    <mergeCell ref="B1:F1"/>
    <mergeCell ref="I1:M1"/>
    <mergeCell ref="E38:F38"/>
    <mergeCell ref="L38:M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75"/>
  <sheetViews>
    <sheetView topLeftCell="T1" workbookViewId="0">
      <selection activeCell="AD35" sqref="AD35:AE35"/>
    </sheetView>
  </sheetViews>
  <sheetFormatPr baseColWidth="10" defaultRowHeight="15" x14ac:dyDescent="0.25"/>
  <cols>
    <col min="2" max="2" width="18.42578125" bestFit="1" customWidth="1"/>
    <col min="3" max="3" width="13" bestFit="1" customWidth="1"/>
    <col min="5" max="6" width="14.5703125" bestFit="1" customWidth="1"/>
    <col min="8" max="8" width="9.5703125" customWidth="1"/>
    <col min="9" max="9" width="16.42578125" customWidth="1"/>
    <col min="10" max="13" width="14.5703125" bestFit="1" customWidth="1"/>
    <col min="14" max="14" width="13" customWidth="1"/>
    <col min="20" max="20" width="13" bestFit="1" customWidth="1"/>
    <col min="21" max="21" width="14.5703125" bestFit="1" customWidth="1"/>
    <col min="30" max="30" width="13" bestFit="1" customWidth="1"/>
    <col min="31" max="31" width="14.5703125" bestFit="1" customWidth="1"/>
  </cols>
  <sheetData>
    <row r="1" spans="2:31" ht="15.75" thickBot="1" x14ac:dyDescent="0.3">
      <c r="B1" s="17" t="s">
        <v>7</v>
      </c>
      <c r="C1" s="18"/>
      <c r="D1" s="18"/>
      <c r="E1" s="18"/>
      <c r="F1" s="19"/>
      <c r="I1" s="17" t="s">
        <v>9</v>
      </c>
      <c r="J1" s="18"/>
      <c r="K1" s="18"/>
      <c r="L1" s="18"/>
      <c r="M1" s="19"/>
      <c r="AA1" s="17" t="s">
        <v>7</v>
      </c>
      <c r="AB1" s="18"/>
      <c r="AC1" s="18"/>
      <c r="AD1" s="18"/>
      <c r="AE1" s="19"/>
    </row>
    <row r="2" spans="2:31" ht="15.75" thickBot="1" x14ac:dyDescent="0.3">
      <c r="B2" s="15"/>
      <c r="C2" s="12" t="s">
        <v>0</v>
      </c>
      <c r="D2" s="13" t="s">
        <v>1</v>
      </c>
      <c r="E2" s="13" t="s">
        <v>10</v>
      </c>
      <c r="F2" s="14" t="s">
        <v>10</v>
      </c>
      <c r="I2" s="15"/>
      <c r="J2" s="12" t="s">
        <v>0</v>
      </c>
      <c r="K2" s="13" t="s">
        <v>1</v>
      </c>
      <c r="L2" s="13" t="s">
        <v>10</v>
      </c>
      <c r="M2" s="14" t="s">
        <v>10</v>
      </c>
      <c r="AA2" s="15"/>
      <c r="AB2" s="12" t="s">
        <v>0</v>
      </c>
      <c r="AC2" s="13" t="s">
        <v>1</v>
      </c>
      <c r="AD2" s="13" t="s">
        <v>10</v>
      </c>
      <c r="AE2" s="14" t="s">
        <v>10</v>
      </c>
    </row>
    <row r="3" spans="2:31" ht="15.75" thickBot="1" x14ac:dyDescent="0.3">
      <c r="B3" s="9" t="s">
        <v>6</v>
      </c>
      <c r="C3" s="10">
        <v>20</v>
      </c>
      <c r="D3" s="10">
        <v>10</v>
      </c>
      <c r="E3" s="10">
        <v>100</v>
      </c>
      <c r="F3" s="11">
        <v>200</v>
      </c>
      <c r="I3" s="9" t="s">
        <v>6</v>
      </c>
      <c r="J3" s="10">
        <v>20</v>
      </c>
      <c r="K3" s="10">
        <v>10</v>
      </c>
      <c r="L3" s="10">
        <v>100</v>
      </c>
      <c r="M3" s="11">
        <v>200</v>
      </c>
      <c r="AA3" s="9" t="s">
        <v>6</v>
      </c>
      <c r="AB3" s="10">
        <v>20</v>
      </c>
      <c r="AC3" s="10">
        <v>10</v>
      </c>
      <c r="AD3" s="10">
        <v>100</v>
      </c>
      <c r="AE3" s="11">
        <v>200</v>
      </c>
    </row>
    <row r="4" spans="2:31" x14ac:dyDescent="0.25">
      <c r="B4" s="7">
        <v>1</v>
      </c>
      <c r="C4" s="8">
        <f>C3-(C3-1.2*D3)</f>
        <v>12</v>
      </c>
      <c r="D4" s="8">
        <f>3+D3</f>
        <v>13</v>
      </c>
      <c r="E4" s="8">
        <f>IF(0+$C$4-D4&lt;0,0,0+$C$4-D4)</f>
        <v>0</v>
      </c>
      <c r="F4" s="8">
        <v>0</v>
      </c>
      <c r="I4" s="7">
        <v>1</v>
      </c>
      <c r="J4" s="8">
        <v>14</v>
      </c>
      <c r="K4" s="8">
        <f>3+K3</f>
        <v>13</v>
      </c>
      <c r="L4" s="8">
        <f>IF(0+$J$4-K4&lt;0,0,0+$J$4-K4)</f>
        <v>1</v>
      </c>
      <c r="M4" s="8">
        <f>IF(0+J4-K4&lt;0,0,0+J4-K4)</f>
        <v>1</v>
      </c>
      <c r="AA4" s="7">
        <v>1</v>
      </c>
      <c r="AB4" s="8">
        <v>64</v>
      </c>
      <c r="AC4" s="8">
        <f>3+AC3</f>
        <v>13</v>
      </c>
      <c r="AD4" s="8">
        <f>IF(0+$C$4-AC4&lt;0,0,0+$C$4-AC4)</f>
        <v>0</v>
      </c>
      <c r="AE4" s="8">
        <v>0</v>
      </c>
    </row>
    <row r="5" spans="2:31" x14ac:dyDescent="0.25">
      <c r="B5" s="5">
        <v>2</v>
      </c>
      <c r="C5" s="6">
        <f t="shared" ref="C5:C33" si="0">C4-(C4-1.2*D4)</f>
        <v>15.6</v>
      </c>
      <c r="D5" s="6">
        <f t="shared" ref="D5:D33" si="1">3+D4</f>
        <v>16</v>
      </c>
      <c r="E5" s="6">
        <f t="shared" ref="E5:E33" si="2">IF(E4+C5-D5&lt;0,0,E4+C5-D5)</f>
        <v>0</v>
      </c>
      <c r="F5" s="8">
        <f>IF(F4+C5-D5&gt;200,200,F4+C5-D5)</f>
        <v>-0.40000000000000036</v>
      </c>
      <c r="I5" s="5">
        <v>2</v>
      </c>
      <c r="J5" s="6">
        <v>23</v>
      </c>
      <c r="K5" s="6">
        <f t="shared" ref="K5:K33" si="3">3+K4</f>
        <v>16</v>
      </c>
      <c r="L5" s="6">
        <f>IF(L4+J5-K5&gt;100,100,L4+J5-K5)</f>
        <v>8</v>
      </c>
      <c r="M5" s="8">
        <f>IF(M4+J5-K5&gt;200,200,M4+J5-K5)</f>
        <v>8</v>
      </c>
      <c r="AA5" s="5">
        <v>2</v>
      </c>
      <c r="AB5" s="8">
        <v>64</v>
      </c>
      <c r="AC5" s="6">
        <f t="shared" ref="AC5:AC33" si="4">3+AC4</f>
        <v>16</v>
      </c>
      <c r="AD5" s="6">
        <f t="shared" ref="AD5:AD6" si="5">IF(AD4+AB5-AC5&lt;0,0,AD4+AB5-AC5)</f>
        <v>48</v>
      </c>
      <c r="AE5" s="8">
        <f>IF(AE4+AB5-AC5&gt;200,200,AE4+AB5-AC5)</f>
        <v>48</v>
      </c>
    </row>
    <row r="6" spans="2:31" x14ac:dyDescent="0.25">
      <c r="B6" s="5">
        <v>3</v>
      </c>
      <c r="C6" s="6">
        <f t="shared" si="0"/>
        <v>19.2</v>
      </c>
      <c r="D6" s="6">
        <f t="shared" si="1"/>
        <v>19</v>
      </c>
      <c r="E6" s="6">
        <f t="shared" si="2"/>
        <v>0.19999999999999929</v>
      </c>
      <c r="F6" s="8">
        <f t="shared" ref="F6:F33" si="6">IF(F5+C6-D6&gt;200,200,F5+C6-D6)</f>
        <v>-0.20000000000000284</v>
      </c>
      <c r="I6" s="5">
        <v>3</v>
      </c>
      <c r="J6" s="6">
        <v>17</v>
      </c>
      <c r="K6" s="6">
        <f t="shared" si="3"/>
        <v>19</v>
      </c>
      <c r="L6" s="6">
        <f t="shared" ref="L6:L33" si="7">IF(L5+J6-K6&gt;100,100,L5+J6-K6)</f>
        <v>6</v>
      </c>
      <c r="M6" s="8">
        <f t="shared" ref="M6:M33" si="8">IF(M5+J6-K6&gt;200,200,M5+J6-K6)</f>
        <v>6</v>
      </c>
      <c r="AA6" s="5">
        <v>3</v>
      </c>
      <c r="AB6" s="8">
        <v>64</v>
      </c>
      <c r="AC6" s="6">
        <f t="shared" si="4"/>
        <v>19</v>
      </c>
      <c r="AD6" s="6">
        <f t="shared" si="5"/>
        <v>93</v>
      </c>
      <c r="AE6" s="8">
        <f t="shared" ref="AE6:AE33" si="9">IF(AE5+AB6-AC6&gt;200,200,AE5+AB6-AC6)</f>
        <v>93</v>
      </c>
    </row>
    <row r="7" spans="2:31" x14ac:dyDescent="0.25">
      <c r="B7" s="5">
        <v>4</v>
      </c>
      <c r="C7" s="6">
        <f t="shared" si="0"/>
        <v>22.8</v>
      </c>
      <c r="D7" s="6">
        <f t="shared" si="1"/>
        <v>22</v>
      </c>
      <c r="E7" s="6">
        <f>IF(E6+C7-D7&gt;100,100,E6+C7-D7)</f>
        <v>1</v>
      </c>
      <c r="F7" s="8">
        <f t="shared" si="6"/>
        <v>0.59999999999999787</v>
      </c>
      <c r="I7" s="5">
        <v>4</v>
      </c>
      <c r="J7" s="6">
        <v>29</v>
      </c>
      <c r="K7" s="6">
        <f t="shared" si="3"/>
        <v>22</v>
      </c>
      <c r="L7" s="6">
        <f t="shared" si="7"/>
        <v>13</v>
      </c>
      <c r="M7" s="8">
        <f t="shared" si="8"/>
        <v>13</v>
      </c>
      <c r="AA7" s="5">
        <v>4</v>
      </c>
      <c r="AB7" s="8">
        <v>64</v>
      </c>
      <c r="AC7" s="6">
        <f t="shared" si="4"/>
        <v>22</v>
      </c>
      <c r="AD7" s="6">
        <f>IF(AD6+AB7-AC7&gt;100,100,AD6+AB7-AC7)</f>
        <v>100</v>
      </c>
      <c r="AE7" s="8">
        <f t="shared" si="9"/>
        <v>135</v>
      </c>
    </row>
    <row r="8" spans="2:31" x14ac:dyDescent="0.25">
      <c r="B8" s="5">
        <v>5</v>
      </c>
      <c r="C8" s="6">
        <f t="shared" si="0"/>
        <v>26.4</v>
      </c>
      <c r="D8" s="6">
        <f t="shared" si="1"/>
        <v>25</v>
      </c>
      <c r="E8" s="6">
        <f t="shared" ref="E8:E33" si="10">IF(E7+C8-D8&gt;100,100,E7+C8-D8)</f>
        <v>2.3999999999999986</v>
      </c>
      <c r="F8" s="8">
        <f t="shared" si="6"/>
        <v>1.9999999999999964</v>
      </c>
      <c r="I8" s="5">
        <v>5</v>
      </c>
      <c r="J8" s="6">
        <v>24</v>
      </c>
      <c r="K8" s="6">
        <f t="shared" si="3"/>
        <v>25</v>
      </c>
      <c r="L8" s="6">
        <f t="shared" si="7"/>
        <v>12</v>
      </c>
      <c r="M8" s="8">
        <f t="shared" si="8"/>
        <v>12</v>
      </c>
      <c r="AA8" s="5">
        <v>5</v>
      </c>
      <c r="AB8" s="8">
        <v>64</v>
      </c>
      <c r="AC8" s="6">
        <f t="shared" si="4"/>
        <v>25</v>
      </c>
      <c r="AD8" s="6">
        <f t="shared" ref="AD8:AD33" si="11">IF(AD7+AB8-AC8&gt;100,100,AD7+AB8-AC8)</f>
        <v>100</v>
      </c>
      <c r="AE8" s="8">
        <f t="shared" si="9"/>
        <v>174</v>
      </c>
    </row>
    <row r="9" spans="2:31" x14ac:dyDescent="0.25">
      <c r="B9" s="5">
        <v>6</v>
      </c>
      <c r="C9" s="6">
        <f t="shared" si="0"/>
        <v>30</v>
      </c>
      <c r="D9" s="6">
        <f t="shared" si="1"/>
        <v>28</v>
      </c>
      <c r="E9" s="6">
        <f t="shared" si="10"/>
        <v>4.3999999999999986</v>
      </c>
      <c r="F9" s="8">
        <f t="shared" si="6"/>
        <v>3.9999999999999964</v>
      </c>
      <c r="I9" s="5">
        <v>6</v>
      </c>
      <c r="J9" s="6">
        <v>36</v>
      </c>
      <c r="K9" s="6">
        <f t="shared" si="3"/>
        <v>28</v>
      </c>
      <c r="L9" s="6">
        <f t="shared" si="7"/>
        <v>20</v>
      </c>
      <c r="M9" s="8">
        <f t="shared" si="8"/>
        <v>20</v>
      </c>
      <c r="AA9" s="5">
        <v>6</v>
      </c>
      <c r="AB9" s="8">
        <v>64</v>
      </c>
      <c r="AC9" s="6">
        <f t="shared" si="4"/>
        <v>28</v>
      </c>
      <c r="AD9" s="6">
        <f t="shared" si="11"/>
        <v>100</v>
      </c>
      <c r="AE9" s="8">
        <f t="shared" si="9"/>
        <v>200</v>
      </c>
    </row>
    <row r="10" spans="2:31" x14ac:dyDescent="0.25">
      <c r="B10" s="5">
        <v>7</v>
      </c>
      <c r="C10" s="6">
        <f t="shared" si="0"/>
        <v>33.6</v>
      </c>
      <c r="D10" s="6">
        <f t="shared" si="1"/>
        <v>31</v>
      </c>
      <c r="E10" s="6">
        <f t="shared" si="10"/>
        <v>7</v>
      </c>
      <c r="F10" s="8">
        <f t="shared" si="6"/>
        <v>6.5999999999999943</v>
      </c>
      <c r="I10" s="5">
        <v>7</v>
      </c>
      <c r="J10" s="6">
        <v>31</v>
      </c>
      <c r="K10" s="6">
        <f t="shared" si="3"/>
        <v>31</v>
      </c>
      <c r="L10" s="6">
        <f t="shared" si="7"/>
        <v>20</v>
      </c>
      <c r="M10" s="8">
        <f t="shared" si="8"/>
        <v>20</v>
      </c>
      <c r="AA10" s="5">
        <v>7</v>
      </c>
      <c r="AB10" s="8">
        <v>64</v>
      </c>
      <c r="AC10" s="6">
        <f t="shared" si="4"/>
        <v>31</v>
      </c>
      <c r="AD10" s="6">
        <f t="shared" si="11"/>
        <v>100</v>
      </c>
      <c r="AE10" s="8">
        <f t="shared" si="9"/>
        <v>200</v>
      </c>
    </row>
    <row r="11" spans="2:31" x14ac:dyDescent="0.25">
      <c r="B11" s="5">
        <v>8</v>
      </c>
      <c r="C11" s="6">
        <f t="shared" si="0"/>
        <v>37.199999999999996</v>
      </c>
      <c r="D11" s="6">
        <f t="shared" si="1"/>
        <v>34</v>
      </c>
      <c r="E11" s="6">
        <f t="shared" si="10"/>
        <v>10.199999999999996</v>
      </c>
      <c r="F11" s="8">
        <f t="shared" si="6"/>
        <v>9.7999999999999901</v>
      </c>
      <c r="I11" s="5">
        <v>8</v>
      </c>
      <c r="J11" s="6">
        <v>44</v>
      </c>
      <c r="K11" s="6">
        <f t="shared" si="3"/>
        <v>34</v>
      </c>
      <c r="L11" s="6">
        <f t="shared" si="7"/>
        <v>30</v>
      </c>
      <c r="M11" s="8">
        <f t="shared" si="8"/>
        <v>30</v>
      </c>
      <c r="AA11" s="5">
        <v>8</v>
      </c>
      <c r="AB11" s="8">
        <v>64</v>
      </c>
      <c r="AC11" s="6">
        <f t="shared" si="4"/>
        <v>34</v>
      </c>
      <c r="AD11" s="6">
        <f t="shared" si="11"/>
        <v>100</v>
      </c>
      <c r="AE11" s="8">
        <f t="shared" si="9"/>
        <v>200</v>
      </c>
    </row>
    <row r="12" spans="2:31" x14ac:dyDescent="0.25">
      <c r="B12" s="5">
        <v>9</v>
      </c>
      <c r="C12" s="6">
        <f t="shared" si="0"/>
        <v>40.799999999999997</v>
      </c>
      <c r="D12" s="6">
        <f t="shared" si="1"/>
        <v>37</v>
      </c>
      <c r="E12" s="6">
        <f t="shared" si="10"/>
        <v>13.999999999999993</v>
      </c>
      <c r="F12" s="8">
        <f t="shared" si="6"/>
        <v>13.599999999999987</v>
      </c>
      <c r="I12" s="5">
        <v>9</v>
      </c>
      <c r="J12" s="6">
        <v>39</v>
      </c>
      <c r="K12" s="6">
        <f t="shared" si="3"/>
        <v>37</v>
      </c>
      <c r="L12" s="6">
        <f t="shared" si="7"/>
        <v>32</v>
      </c>
      <c r="M12" s="8">
        <f t="shared" si="8"/>
        <v>32</v>
      </c>
      <c r="AA12" s="5">
        <v>9</v>
      </c>
      <c r="AB12" s="8">
        <v>64</v>
      </c>
      <c r="AC12" s="6">
        <f t="shared" si="4"/>
        <v>37</v>
      </c>
      <c r="AD12" s="6">
        <f t="shared" si="11"/>
        <v>100</v>
      </c>
      <c r="AE12" s="8">
        <f t="shared" si="9"/>
        <v>200</v>
      </c>
    </row>
    <row r="13" spans="2:31" x14ac:dyDescent="0.25">
      <c r="B13" s="5">
        <v>10</v>
      </c>
      <c r="C13" s="6">
        <f t="shared" si="0"/>
        <v>44.4</v>
      </c>
      <c r="D13" s="6">
        <f t="shared" si="1"/>
        <v>40</v>
      </c>
      <c r="E13" s="6">
        <f t="shared" si="10"/>
        <v>18.399999999999991</v>
      </c>
      <c r="F13" s="8">
        <f t="shared" si="6"/>
        <v>17.999999999999986</v>
      </c>
      <c r="I13" s="5">
        <v>10</v>
      </c>
      <c r="J13" s="6">
        <v>51</v>
      </c>
      <c r="K13" s="6">
        <f t="shared" si="3"/>
        <v>40</v>
      </c>
      <c r="L13" s="6">
        <f t="shared" si="7"/>
        <v>43</v>
      </c>
      <c r="M13" s="8">
        <f t="shared" si="8"/>
        <v>43</v>
      </c>
      <c r="AA13" s="5">
        <v>10</v>
      </c>
      <c r="AB13" s="8">
        <v>64</v>
      </c>
      <c r="AC13" s="6">
        <f t="shared" si="4"/>
        <v>40</v>
      </c>
      <c r="AD13" s="6">
        <f t="shared" si="11"/>
        <v>100</v>
      </c>
      <c r="AE13" s="8">
        <f t="shared" si="9"/>
        <v>200</v>
      </c>
    </row>
    <row r="14" spans="2:31" x14ac:dyDescent="0.25">
      <c r="B14" s="5">
        <v>11</v>
      </c>
      <c r="C14" s="6">
        <f t="shared" si="0"/>
        <v>48</v>
      </c>
      <c r="D14" s="6">
        <f t="shared" si="1"/>
        <v>43</v>
      </c>
      <c r="E14" s="6">
        <f t="shared" si="10"/>
        <v>23.399999999999991</v>
      </c>
      <c r="F14" s="8">
        <f t="shared" si="6"/>
        <v>22.999999999999986</v>
      </c>
      <c r="I14" s="5">
        <v>11</v>
      </c>
      <c r="J14" s="6">
        <v>47</v>
      </c>
      <c r="K14" s="6">
        <f t="shared" si="3"/>
        <v>43</v>
      </c>
      <c r="L14" s="6">
        <f t="shared" si="7"/>
        <v>47</v>
      </c>
      <c r="M14" s="8">
        <f t="shared" si="8"/>
        <v>47</v>
      </c>
      <c r="AA14" s="5">
        <v>11</v>
      </c>
      <c r="AB14" s="8">
        <v>64</v>
      </c>
      <c r="AC14" s="6">
        <f t="shared" si="4"/>
        <v>43</v>
      </c>
      <c r="AD14" s="6">
        <f t="shared" si="11"/>
        <v>100</v>
      </c>
      <c r="AE14" s="8">
        <f t="shared" si="9"/>
        <v>200</v>
      </c>
    </row>
    <row r="15" spans="2:31" x14ac:dyDescent="0.25">
      <c r="B15" s="5">
        <v>12</v>
      </c>
      <c r="C15" s="6">
        <f t="shared" si="0"/>
        <v>51.6</v>
      </c>
      <c r="D15" s="6">
        <f t="shared" si="1"/>
        <v>46</v>
      </c>
      <c r="E15" s="6">
        <f t="shared" si="10"/>
        <v>29</v>
      </c>
      <c r="F15" s="8">
        <f t="shared" si="6"/>
        <v>28.599999999999994</v>
      </c>
      <c r="I15" s="5">
        <v>12</v>
      </c>
      <c r="J15" s="6">
        <v>59</v>
      </c>
      <c r="K15" s="6">
        <f t="shared" si="3"/>
        <v>46</v>
      </c>
      <c r="L15" s="6">
        <f t="shared" si="7"/>
        <v>60</v>
      </c>
      <c r="M15" s="8">
        <f t="shared" si="8"/>
        <v>60</v>
      </c>
      <c r="AA15" s="5">
        <v>12</v>
      </c>
      <c r="AB15" s="8">
        <v>64</v>
      </c>
      <c r="AC15" s="6">
        <f t="shared" si="4"/>
        <v>46</v>
      </c>
      <c r="AD15" s="6">
        <f t="shared" si="11"/>
        <v>100</v>
      </c>
      <c r="AE15" s="8">
        <f t="shared" si="9"/>
        <v>200</v>
      </c>
    </row>
    <row r="16" spans="2:31" x14ac:dyDescent="0.25">
      <c r="B16" s="5">
        <v>13</v>
      </c>
      <c r="C16" s="6">
        <f t="shared" si="0"/>
        <v>55.199999999999996</v>
      </c>
      <c r="D16" s="6">
        <f t="shared" si="1"/>
        <v>49</v>
      </c>
      <c r="E16" s="6">
        <f t="shared" si="10"/>
        <v>35.199999999999989</v>
      </c>
      <c r="F16" s="8">
        <f t="shared" si="6"/>
        <v>34.799999999999983</v>
      </c>
      <c r="I16" s="5">
        <v>13</v>
      </c>
      <c r="J16" s="6">
        <v>55</v>
      </c>
      <c r="K16" s="6">
        <f t="shared" si="3"/>
        <v>49</v>
      </c>
      <c r="L16" s="6">
        <f t="shared" si="7"/>
        <v>66</v>
      </c>
      <c r="M16" s="8">
        <f t="shared" si="8"/>
        <v>66</v>
      </c>
      <c r="AA16" s="5">
        <v>13</v>
      </c>
      <c r="AB16" s="8">
        <v>64</v>
      </c>
      <c r="AC16" s="6">
        <f t="shared" si="4"/>
        <v>49</v>
      </c>
      <c r="AD16" s="6">
        <f t="shared" si="11"/>
        <v>100</v>
      </c>
      <c r="AE16" s="8">
        <f t="shared" si="9"/>
        <v>200</v>
      </c>
    </row>
    <row r="17" spans="2:31" x14ac:dyDescent="0.25">
      <c r="B17" s="5">
        <v>14</v>
      </c>
      <c r="C17" s="6">
        <f t="shared" si="0"/>
        <v>58.8</v>
      </c>
      <c r="D17" s="6">
        <f t="shared" si="1"/>
        <v>52</v>
      </c>
      <c r="E17" s="6">
        <f t="shared" si="10"/>
        <v>41.999999999999986</v>
      </c>
      <c r="F17" s="8">
        <f t="shared" si="6"/>
        <v>41.59999999999998</v>
      </c>
      <c r="I17" s="5">
        <v>14</v>
      </c>
      <c r="J17" s="6">
        <v>57</v>
      </c>
      <c r="K17" s="6">
        <f t="shared" si="3"/>
        <v>52</v>
      </c>
      <c r="L17" s="6">
        <f t="shared" si="7"/>
        <v>71</v>
      </c>
      <c r="M17" s="8">
        <f t="shared" si="8"/>
        <v>71</v>
      </c>
      <c r="AA17" s="5">
        <v>14</v>
      </c>
      <c r="AB17" s="8">
        <v>64</v>
      </c>
      <c r="AC17" s="6">
        <f t="shared" si="4"/>
        <v>52</v>
      </c>
      <c r="AD17" s="6">
        <f t="shared" si="11"/>
        <v>100</v>
      </c>
      <c r="AE17" s="8">
        <f t="shared" si="9"/>
        <v>200</v>
      </c>
    </row>
    <row r="18" spans="2:31" x14ac:dyDescent="0.25">
      <c r="B18" s="5">
        <v>15</v>
      </c>
      <c r="C18" s="6">
        <f t="shared" si="0"/>
        <v>62.4</v>
      </c>
      <c r="D18" s="6">
        <f t="shared" si="1"/>
        <v>55</v>
      </c>
      <c r="E18" s="6">
        <f t="shared" si="10"/>
        <v>49.399999999999977</v>
      </c>
      <c r="F18" s="8">
        <f t="shared" si="6"/>
        <v>48.999999999999972</v>
      </c>
      <c r="I18" s="5">
        <v>15</v>
      </c>
      <c r="J18" s="6">
        <v>62</v>
      </c>
      <c r="K18" s="6">
        <f t="shared" si="3"/>
        <v>55</v>
      </c>
      <c r="L18" s="6">
        <f t="shared" si="7"/>
        <v>78</v>
      </c>
      <c r="M18" s="8">
        <f t="shared" si="8"/>
        <v>78</v>
      </c>
      <c r="AA18" s="5">
        <v>15</v>
      </c>
      <c r="AB18" s="8">
        <v>64</v>
      </c>
      <c r="AC18" s="6">
        <f t="shared" si="4"/>
        <v>55</v>
      </c>
      <c r="AD18" s="6">
        <f t="shared" si="11"/>
        <v>100</v>
      </c>
      <c r="AE18" s="8">
        <f t="shared" si="9"/>
        <v>200</v>
      </c>
    </row>
    <row r="19" spans="2:31" x14ac:dyDescent="0.25">
      <c r="B19" s="5">
        <v>16</v>
      </c>
      <c r="C19" s="6">
        <f t="shared" si="0"/>
        <v>66</v>
      </c>
      <c r="D19" s="6">
        <f t="shared" si="1"/>
        <v>58</v>
      </c>
      <c r="E19" s="6">
        <f t="shared" si="10"/>
        <v>57.399999999999977</v>
      </c>
      <c r="F19" s="8">
        <f t="shared" si="6"/>
        <v>56.999999999999972</v>
      </c>
      <c r="I19" s="5">
        <v>16</v>
      </c>
      <c r="J19" s="6">
        <v>75</v>
      </c>
      <c r="K19" s="6">
        <f t="shared" si="3"/>
        <v>58</v>
      </c>
      <c r="L19" s="6">
        <f t="shared" si="7"/>
        <v>95</v>
      </c>
      <c r="M19" s="8">
        <f t="shared" si="8"/>
        <v>95</v>
      </c>
      <c r="AA19" s="5">
        <v>16</v>
      </c>
      <c r="AB19" s="8">
        <v>64</v>
      </c>
      <c r="AC19" s="6">
        <f t="shared" si="4"/>
        <v>58</v>
      </c>
      <c r="AD19" s="6">
        <f t="shared" si="11"/>
        <v>100</v>
      </c>
      <c r="AE19" s="8">
        <f t="shared" si="9"/>
        <v>200</v>
      </c>
    </row>
    <row r="20" spans="2:31" x14ac:dyDescent="0.25">
      <c r="B20" s="5">
        <v>17</v>
      </c>
      <c r="C20" s="6">
        <f t="shared" si="0"/>
        <v>69.599999999999994</v>
      </c>
      <c r="D20" s="6">
        <f t="shared" si="1"/>
        <v>61</v>
      </c>
      <c r="E20" s="6">
        <f t="shared" si="10"/>
        <v>65.999999999999972</v>
      </c>
      <c r="F20" s="8">
        <f t="shared" si="6"/>
        <v>65.599999999999966</v>
      </c>
      <c r="I20" s="5">
        <v>17</v>
      </c>
      <c r="J20" s="6">
        <v>70</v>
      </c>
      <c r="K20" s="6">
        <f t="shared" si="3"/>
        <v>61</v>
      </c>
      <c r="L20" s="6">
        <f t="shared" si="7"/>
        <v>100</v>
      </c>
      <c r="M20" s="8">
        <f t="shared" si="8"/>
        <v>104</v>
      </c>
      <c r="AA20" s="5">
        <v>17</v>
      </c>
      <c r="AB20" s="8">
        <v>64</v>
      </c>
      <c r="AC20" s="6">
        <f t="shared" si="4"/>
        <v>61</v>
      </c>
      <c r="AD20" s="6">
        <f t="shared" si="11"/>
        <v>100</v>
      </c>
      <c r="AE20" s="8">
        <f t="shared" si="9"/>
        <v>200</v>
      </c>
    </row>
    <row r="21" spans="2:31" x14ac:dyDescent="0.25">
      <c r="B21" s="5">
        <v>18</v>
      </c>
      <c r="C21" s="6">
        <f t="shared" si="0"/>
        <v>73.2</v>
      </c>
      <c r="D21" s="6">
        <f t="shared" si="1"/>
        <v>64</v>
      </c>
      <c r="E21" s="6">
        <f t="shared" si="10"/>
        <v>75.199999999999989</v>
      </c>
      <c r="F21" s="8">
        <f t="shared" si="6"/>
        <v>74.799999999999955</v>
      </c>
      <c r="I21" s="5">
        <v>18</v>
      </c>
      <c r="J21" s="6">
        <v>83</v>
      </c>
      <c r="K21" s="6">
        <f t="shared" si="3"/>
        <v>64</v>
      </c>
      <c r="L21" s="6">
        <f t="shared" si="7"/>
        <v>100</v>
      </c>
      <c r="M21" s="8">
        <f t="shared" si="8"/>
        <v>123</v>
      </c>
      <c r="AA21" s="5">
        <v>18</v>
      </c>
      <c r="AB21" s="8">
        <v>64</v>
      </c>
      <c r="AC21" s="6">
        <f t="shared" si="4"/>
        <v>64</v>
      </c>
      <c r="AD21" s="6">
        <f t="shared" si="11"/>
        <v>100</v>
      </c>
      <c r="AE21" s="8">
        <f t="shared" si="9"/>
        <v>200</v>
      </c>
    </row>
    <row r="22" spans="2:31" x14ac:dyDescent="0.25">
      <c r="B22" s="5">
        <v>19</v>
      </c>
      <c r="C22" s="6">
        <f t="shared" si="0"/>
        <v>76.8</v>
      </c>
      <c r="D22" s="6">
        <f t="shared" si="1"/>
        <v>67</v>
      </c>
      <c r="E22" s="6">
        <f t="shared" si="10"/>
        <v>85</v>
      </c>
      <c r="F22" s="8">
        <f t="shared" si="6"/>
        <v>84.599999999999966</v>
      </c>
      <c r="I22" s="5">
        <v>19</v>
      </c>
      <c r="J22" s="6">
        <v>78</v>
      </c>
      <c r="K22" s="6">
        <f t="shared" si="3"/>
        <v>67</v>
      </c>
      <c r="L22" s="6">
        <f t="shared" si="7"/>
        <v>100</v>
      </c>
      <c r="M22" s="8">
        <f t="shared" si="8"/>
        <v>134</v>
      </c>
      <c r="AA22" s="5">
        <v>19</v>
      </c>
      <c r="AB22" s="8">
        <v>64</v>
      </c>
      <c r="AC22" s="6">
        <f t="shared" si="4"/>
        <v>67</v>
      </c>
      <c r="AD22" s="6">
        <f t="shared" si="11"/>
        <v>97</v>
      </c>
      <c r="AE22" s="8">
        <f t="shared" si="9"/>
        <v>197</v>
      </c>
    </row>
    <row r="23" spans="2:31" x14ac:dyDescent="0.25">
      <c r="B23" s="5">
        <v>20</v>
      </c>
      <c r="C23" s="6">
        <f t="shared" si="0"/>
        <v>80.399999999999991</v>
      </c>
      <c r="D23" s="6">
        <f t="shared" si="1"/>
        <v>70</v>
      </c>
      <c r="E23" s="6">
        <f t="shared" si="10"/>
        <v>95.399999999999977</v>
      </c>
      <c r="F23" s="8">
        <f t="shared" si="6"/>
        <v>94.999999999999943</v>
      </c>
      <c r="I23" s="5">
        <v>20</v>
      </c>
      <c r="J23" s="6">
        <v>90</v>
      </c>
      <c r="K23" s="6">
        <f t="shared" si="3"/>
        <v>70</v>
      </c>
      <c r="L23" s="6">
        <f t="shared" si="7"/>
        <v>100</v>
      </c>
      <c r="M23" s="8">
        <f t="shared" si="8"/>
        <v>154</v>
      </c>
      <c r="AA23" s="5">
        <v>20</v>
      </c>
      <c r="AB23" s="8">
        <v>64</v>
      </c>
      <c r="AC23" s="6">
        <f t="shared" si="4"/>
        <v>70</v>
      </c>
      <c r="AD23" s="6">
        <f t="shared" si="11"/>
        <v>91</v>
      </c>
      <c r="AE23" s="8">
        <f t="shared" si="9"/>
        <v>191</v>
      </c>
    </row>
    <row r="24" spans="2:31" x14ac:dyDescent="0.25">
      <c r="B24" s="5">
        <v>21</v>
      </c>
      <c r="C24" s="6">
        <f t="shared" si="0"/>
        <v>84</v>
      </c>
      <c r="D24" s="6">
        <f t="shared" si="1"/>
        <v>73</v>
      </c>
      <c r="E24" s="6">
        <f t="shared" si="10"/>
        <v>100</v>
      </c>
      <c r="F24" s="8">
        <f t="shared" si="6"/>
        <v>105.99999999999994</v>
      </c>
      <c r="I24" s="5">
        <v>21</v>
      </c>
      <c r="J24" s="6">
        <v>86</v>
      </c>
      <c r="K24" s="6">
        <f t="shared" si="3"/>
        <v>73</v>
      </c>
      <c r="L24" s="6">
        <f t="shared" si="7"/>
        <v>100</v>
      </c>
      <c r="M24" s="8">
        <f t="shared" si="8"/>
        <v>167</v>
      </c>
      <c r="AA24" s="5">
        <v>21</v>
      </c>
      <c r="AB24" s="8">
        <v>64</v>
      </c>
      <c r="AC24" s="6">
        <f t="shared" si="4"/>
        <v>73</v>
      </c>
      <c r="AD24" s="6">
        <f t="shared" si="11"/>
        <v>82</v>
      </c>
      <c r="AE24" s="8">
        <f t="shared" si="9"/>
        <v>182</v>
      </c>
    </row>
    <row r="25" spans="2:31" x14ac:dyDescent="0.25">
      <c r="B25" s="5">
        <v>22</v>
      </c>
      <c r="C25" s="6">
        <f t="shared" si="0"/>
        <v>87.6</v>
      </c>
      <c r="D25" s="6">
        <f t="shared" si="1"/>
        <v>76</v>
      </c>
      <c r="E25" s="6">
        <f t="shared" si="10"/>
        <v>100</v>
      </c>
      <c r="F25" s="8">
        <f t="shared" si="6"/>
        <v>117.59999999999994</v>
      </c>
      <c r="I25" s="5">
        <v>22</v>
      </c>
      <c r="J25" s="6">
        <v>98</v>
      </c>
      <c r="K25" s="6">
        <f t="shared" si="3"/>
        <v>76</v>
      </c>
      <c r="L25" s="6">
        <f t="shared" si="7"/>
        <v>100</v>
      </c>
      <c r="M25" s="8">
        <f t="shared" si="8"/>
        <v>189</v>
      </c>
      <c r="AA25" s="5">
        <v>22</v>
      </c>
      <c r="AB25" s="8">
        <v>64</v>
      </c>
      <c r="AC25" s="6">
        <f t="shared" si="4"/>
        <v>76</v>
      </c>
      <c r="AD25" s="6">
        <f t="shared" si="11"/>
        <v>70</v>
      </c>
      <c r="AE25" s="8">
        <f t="shared" si="9"/>
        <v>170</v>
      </c>
    </row>
    <row r="26" spans="2:31" x14ac:dyDescent="0.25">
      <c r="B26" s="5">
        <v>23</v>
      </c>
      <c r="C26" s="6">
        <f t="shared" si="0"/>
        <v>91.2</v>
      </c>
      <c r="D26" s="6">
        <f t="shared" si="1"/>
        <v>79</v>
      </c>
      <c r="E26" s="6">
        <f t="shared" si="10"/>
        <v>100</v>
      </c>
      <c r="F26" s="8">
        <f t="shared" si="6"/>
        <v>129.79999999999995</v>
      </c>
      <c r="I26" s="5">
        <v>23</v>
      </c>
      <c r="J26" s="6">
        <v>94</v>
      </c>
      <c r="K26" s="6">
        <f t="shared" si="3"/>
        <v>79</v>
      </c>
      <c r="L26" s="6">
        <f t="shared" si="7"/>
        <v>100</v>
      </c>
      <c r="M26" s="8">
        <f t="shared" si="8"/>
        <v>200</v>
      </c>
      <c r="AA26" s="5">
        <v>23</v>
      </c>
      <c r="AB26" s="8">
        <v>64</v>
      </c>
      <c r="AC26" s="6">
        <f t="shared" si="4"/>
        <v>79</v>
      </c>
      <c r="AD26" s="6">
        <f t="shared" si="11"/>
        <v>55</v>
      </c>
      <c r="AE26" s="8">
        <f t="shared" si="9"/>
        <v>155</v>
      </c>
    </row>
    <row r="27" spans="2:31" x14ac:dyDescent="0.25">
      <c r="B27" s="5">
        <v>24</v>
      </c>
      <c r="C27" s="6">
        <f t="shared" si="0"/>
        <v>94.8</v>
      </c>
      <c r="D27" s="6">
        <f t="shared" si="1"/>
        <v>82</v>
      </c>
      <c r="E27" s="6">
        <f t="shared" si="10"/>
        <v>100</v>
      </c>
      <c r="F27" s="8">
        <f t="shared" si="6"/>
        <v>142.59999999999997</v>
      </c>
      <c r="I27" s="5">
        <v>24</v>
      </c>
      <c r="J27" s="6">
        <v>106</v>
      </c>
      <c r="K27" s="6">
        <f t="shared" si="3"/>
        <v>82</v>
      </c>
      <c r="L27" s="6">
        <f t="shared" si="7"/>
        <v>100</v>
      </c>
      <c r="M27" s="8">
        <f t="shared" si="8"/>
        <v>200</v>
      </c>
      <c r="AA27" s="5">
        <v>24</v>
      </c>
      <c r="AB27" s="8">
        <v>64</v>
      </c>
      <c r="AC27" s="6">
        <f t="shared" si="4"/>
        <v>82</v>
      </c>
      <c r="AD27" s="6">
        <f t="shared" si="11"/>
        <v>37</v>
      </c>
      <c r="AE27" s="8">
        <f t="shared" si="9"/>
        <v>137</v>
      </c>
    </row>
    <row r="28" spans="2:31" x14ac:dyDescent="0.25">
      <c r="B28" s="5">
        <v>25</v>
      </c>
      <c r="C28" s="6">
        <f t="shared" si="0"/>
        <v>98.399999999999991</v>
      </c>
      <c r="D28" s="6">
        <f t="shared" si="1"/>
        <v>85</v>
      </c>
      <c r="E28" s="6">
        <f t="shared" si="10"/>
        <v>100</v>
      </c>
      <c r="F28" s="8">
        <f t="shared" si="6"/>
        <v>155.99999999999994</v>
      </c>
      <c r="I28" s="5">
        <v>25</v>
      </c>
      <c r="J28" s="6">
        <v>101</v>
      </c>
      <c r="K28" s="6">
        <f t="shared" si="3"/>
        <v>85</v>
      </c>
      <c r="L28" s="6">
        <f t="shared" si="7"/>
        <v>100</v>
      </c>
      <c r="M28" s="8">
        <f t="shared" si="8"/>
        <v>200</v>
      </c>
      <c r="AA28" s="5">
        <v>25</v>
      </c>
      <c r="AB28" s="8">
        <v>64</v>
      </c>
      <c r="AC28" s="6">
        <f t="shared" si="4"/>
        <v>85</v>
      </c>
      <c r="AD28" s="6">
        <f t="shared" si="11"/>
        <v>16</v>
      </c>
      <c r="AE28" s="8">
        <f t="shared" si="9"/>
        <v>116</v>
      </c>
    </row>
    <row r="29" spans="2:31" x14ac:dyDescent="0.25">
      <c r="B29" s="5">
        <v>26</v>
      </c>
      <c r="C29" s="6">
        <f t="shared" si="0"/>
        <v>102</v>
      </c>
      <c r="D29" s="6">
        <f t="shared" si="1"/>
        <v>88</v>
      </c>
      <c r="E29" s="6">
        <f t="shared" si="10"/>
        <v>100</v>
      </c>
      <c r="F29" s="8">
        <f t="shared" si="6"/>
        <v>169.99999999999994</v>
      </c>
      <c r="I29" s="5">
        <v>26</v>
      </c>
      <c r="J29" s="6">
        <v>114</v>
      </c>
      <c r="K29" s="6">
        <f t="shared" si="3"/>
        <v>88</v>
      </c>
      <c r="L29" s="6">
        <f t="shared" si="7"/>
        <v>100</v>
      </c>
      <c r="M29" s="8">
        <f t="shared" si="8"/>
        <v>200</v>
      </c>
      <c r="AA29" s="5">
        <v>26</v>
      </c>
      <c r="AB29" s="8">
        <v>64</v>
      </c>
      <c r="AC29" s="6">
        <f t="shared" si="4"/>
        <v>88</v>
      </c>
      <c r="AD29" s="6">
        <v>0</v>
      </c>
      <c r="AE29" s="8">
        <f t="shared" si="9"/>
        <v>92</v>
      </c>
    </row>
    <row r="30" spans="2:31" x14ac:dyDescent="0.25">
      <c r="B30" s="5">
        <v>27</v>
      </c>
      <c r="C30" s="6">
        <f t="shared" si="0"/>
        <v>105.6</v>
      </c>
      <c r="D30" s="6">
        <f t="shared" si="1"/>
        <v>91</v>
      </c>
      <c r="E30" s="6">
        <f t="shared" si="10"/>
        <v>100</v>
      </c>
      <c r="F30" s="8">
        <f t="shared" si="6"/>
        <v>184.59999999999991</v>
      </c>
      <c r="I30" s="5">
        <v>27</v>
      </c>
      <c r="J30" s="6">
        <v>109</v>
      </c>
      <c r="K30" s="6">
        <f t="shared" si="3"/>
        <v>91</v>
      </c>
      <c r="L30" s="6">
        <f t="shared" si="7"/>
        <v>100</v>
      </c>
      <c r="M30" s="8">
        <f t="shared" si="8"/>
        <v>200</v>
      </c>
      <c r="AA30" s="5">
        <v>27</v>
      </c>
      <c r="AB30" s="8">
        <v>64</v>
      </c>
      <c r="AC30" s="6">
        <f t="shared" si="4"/>
        <v>91</v>
      </c>
      <c r="AD30" s="6">
        <v>0</v>
      </c>
      <c r="AE30" s="8">
        <f t="shared" si="9"/>
        <v>65</v>
      </c>
    </row>
    <row r="31" spans="2:31" x14ac:dyDescent="0.25">
      <c r="B31" s="5">
        <v>28</v>
      </c>
      <c r="C31" s="6">
        <f t="shared" si="0"/>
        <v>109.2</v>
      </c>
      <c r="D31" s="6">
        <f t="shared" si="1"/>
        <v>94</v>
      </c>
      <c r="E31" s="6">
        <f t="shared" si="10"/>
        <v>100</v>
      </c>
      <c r="F31" s="8">
        <f t="shared" si="6"/>
        <v>199.7999999999999</v>
      </c>
      <c r="I31" s="5">
        <v>28</v>
      </c>
      <c r="J31" s="6">
        <v>122</v>
      </c>
      <c r="K31" s="6">
        <f t="shared" si="3"/>
        <v>94</v>
      </c>
      <c r="L31" s="6">
        <f t="shared" si="7"/>
        <v>100</v>
      </c>
      <c r="M31" s="8">
        <f t="shared" si="8"/>
        <v>200</v>
      </c>
      <c r="AA31" s="5">
        <v>28</v>
      </c>
      <c r="AB31" s="8">
        <v>64</v>
      </c>
      <c r="AC31" s="6">
        <f t="shared" si="4"/>
        <v>94</v>
      </c>
      <c r="AD31" s="6">
        <v>0</v>
      </c>
      <c r="AE31" s="8">
        <f t="shared" si="9"/>
        <v>35</v>
      </c>
    </row>
    <row r="32" spans="2:31" x14ac:dyDescent="0.25">
      <c r="B32" s="5">
        <v>29</v>
      </c>
      <c r="C32" s="6">
        <f t="shared" si="0"/>
        <v>112.8</v>
      </c>
      <c r="D32" s="6">
        <f t="shared" si="1"/>
        <v>97</v>
      </c>
      <c r="E32" s="6">
        <f t="shared" si="10"/>
        <v>100</v>
      </c>
      <c r="F32" s="8">
        <f t="shared" si="6"/>
        <v>200</v>
      </c>
      <c r="I32" s="5">
        <v>29</v>
      </c>
      <c r="J32" s="6">
        <v>117</v>
      </c>
      <c r="K32" s="6">
        <f t="shared" si="3"/>
        <v>97</v>
      </c>
      <c r="L32" s="6">
        <f t="shared" si="7"/>
        <v>100</v>
      </c>
      <c r="M32" s="8">
        <f t="shared" si="8"/>
        <v>200</v>
      </c>
      <c r="AA32" s="5">
        <v>29</v>
      </c>
      <c r="AB32" s="8">
        <v>64</v>
      </c>
      <c r="AC32" s="6">
        <f t="shared" si="4"/>
        <v>97</v>
      </c>
      <c r="AD32" s="6">
        <v>0</v>
      </c>
      <c r="AE32" s="8">
        <f t="shared" si="9"/>
        <v>2</v>
      </c>
    </row>
    <row r="33" spans="2:31" x14ac:dyDescent="0.25">
      <c r="B33" s="5">
        <v>30</v>
      </c>
      <c r="C33" s="6">
        <f t="shared" si="0"/>
        <v>116.39999999999999</v>
      </c>
      <c r="D33" s="6">
        <f t="shared" si="1"/>
        <v>100</v>
      </c>
      <c r="E33" s="6">
        <f t="shared" si="10"/>
        <v>100</v>
      </c>
      <c r="F33" s="8">
        <f t="shared" si="6"/>
        <v>200</v>
      </c>
      <c r="I33" s="5">
        <v>30</v>
      </c>
      <c r="J33" s="6">
        <v>129</v>
      </c>
      <c r="K33" s="6">
        <f t="shared" si="3"/>
        <v>100</v>
      </c>
      <c r="L33" s="6">
        <f t="shared" si="7"/>
        <v>100</v>
      </c>
      <c r="M33" s="8">
        <f t="shared" si="8"/>
        <v>200</v>
      </c>
      <c r="AA33" s="5">
        <v>30</v>
      </c>
      <c r="AB33" s="8">
        <v>64</v>
      </c>
      <c r="AC33" s="6">
        <f t="shared" si="4"/>
        <v>100</v>
      </c>
      <c r="AD33" s="6">
        <v>0</v>
      </c>
      <c r="AE33" s="8">
        <v>0</v>
      </c>
    </row>
    <row r="35" spans="2:31" x14ac:dyDescent="0.25">
      <c r="B35" t="s">
        <v>4</v>
      </c>
      <c r="C35" s="3">
        <v>150000</v>
      </c>
      <c r="E35" s="4">
        <f>C35+SUM(E4:E33)*C36</f>
        <v>715460</v>
      </c>
      <c r="F35" s="4">
        <f>C35+SUM(F4:F33)*C36</f>
        <v>925039.99999999988</v>
      </c>
      <c r="I35" t="s">
        <v>4</v>
      </c>
      <c r="J35" s="3">
        <v>150000</v>
      </c>
      <c r="L35" s="4">
        <f>J35+SUM(L4:L33)*J36</f>
        <v>850700</v>
      </c>
      <c r="M35" s="4">
        <f>J35+SUM(M4:M33)*J36</f>
        <v>1225550</v>
      </c>
      <c r="AA35" t="s">
        <v>4</v>
      </c>
      <c r="AB35" s="3">
        <v>150000</v>
      </c>
      <c r="AD35" s="4">
        <f>AB35+SUM(AD4:AD33)*AB36</f>
        <v>881150</v>
      </c>
      <c r="AE35" s="4">
        <f>AB35+SUM(AE4:AE33)*AB36</f>
        <v>1687200</v>
      </c>
    </row>
    <row r="36" spans="2:31" x14ac:dyDescent="0.25">
      <c r="B36" t="s">
        <v>5</v>
      </c>
      <c r="C36" s="3">
        <v>350</v>
      </c>
      <c r="E36" s="4"/>
      <c r="F36" s="4"/>
      <c r="I36" t="s">
        <v>5</v>
      </c>
      <c r="J36" s="3">
        <v>350</v>
      </c>
      <c r="L36" s="4"/>
      <c r="M36" s="4">
        <v>1225550</v>
      </c>
      <c r="AA36" t="s">
        <v>5</v>
      </c>
      <c r="AB36" s="3">
        <v>350</v>
      </c>
      <c r="AD36" s="4"/>
      <c r="AE36" s="4"/>
    </row>
    <row r="38" spans="2:31" x14ac:dyDescent="0.25">
      <c r="E38" s="21" t="s">
        <v>26</v>
      </c>
      <c r="F38" s="21"/>
      <c r="L38" s="21" t="s">
        <v>26</v>
      </c>
      <c r="M38" s="21"/>
    </row>
    <row r="39" spans="2:31" x14ac:dyDescent="0.25">
      <c r="B39" t="s">
        <v>24</v>
      </c>
      <c r="C39" s="3">
        <v>20000</v>
      </c>
      <c r="E39" s="22">
        <f>SUM($D$4:$D$33)*$C$39-SUM($C$4:$C$33)*$C$40-E35</f>
        <v>4294540</v>
      </c>
      <c r="F39" s="22">
        <f>SUM($D$4:$D$33)*$C$39-SUM($C$4:$C$33)*$C$40-F35</f>
        <v>4084960</v>
      </c>
      <c r="L39" s="22">
        <f>SUM($D$4:$D$33)*$C$39-SUM($J$4:$J$33)*$C$40-L35</f>
        <v>2149300</v>
      </c>
      <c r="M39" s="22">
        <f>SUM($D$4:$D$33)*$C$39-SUM($J$4:$J$33)*$C$40-M35</f>
        <v>1774450</v>
      </c>
    </row>
    <row r="40" spans="2:31" x14ac:dyDescent="0.25">
      <c r="B40" t="s">
        <v>25</v>
      </c>
      <c r="C40" s="3">
        <v>15000</v>
      </c>
    </row>
    <row r="42" spans="2:31" x14ac:dyDescent="0.25">
      <c r="E42" t="s">
        <v>27</v>
      </c>
    </row>
    <row r="75" spans="10:11" x14ac:dyDescent="0.25">
      <c r="J75" s="4"/>
      <c r="K75" s="4"/>
    </row>
  </sheetData>
  <mergeCells count="5">
    <mergeCell ref="B1:F1"/>
    <mergeCell ref="I1:M1"/>
    <mergeCell ref="E38:F38"/>
    <mergeCell ref="L38:M38"/>
    <mergeCell ref="AA1:A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5"/>
  <sheetViews>
    <sheetView workbookViewId="0">
      <selection activeCell="E43" sqref="E43"/>
    </sheetView>
  </sheetViews>
  <sheetFormatPr baseColWidth="10" defaultRowHeight="15" x14ac:dyDescent="0.25"/>
  <cols>
    <col min="2" max="2" width="18.42578125" bestFit="1" customWidth="1"/>
    <col min="3" max="3" width="13" bestFit="1" customWidth="1"/>
    <col min="4" max="4" width="13" customWidth="1"/>
    <col min="5" max="6" width="15.5703125" bestFit="1" customWidth="1"/>
    <col min="7" max="7" width="14.5703125" bestFit="1" customWidth="1"/>
    <col min="10" max="10" width="9.5703125" customWidth="1"/>
    <col min="11" max="11" width="16.42578125" customWidth="1"/>
    <col min="12" max="12" width="14.5703125" bestFit="1" customWidth="1"/>
    <col min="13" max="14" width="15.5703125" bestFit="1" customWidth="1"/>
    <col min="15" max="16" width="14.5703125" bestFit="1" customWidth="1"/>
    <col min="17" max="17" width="13" customWidth="1"/>
    <col min="23" max="23" width="13" bestFit="1" customWidth="1"/>
    <col min="24" max="24" width="14.5703125" bestFit="1" customWidth="1"/>
  </cols>
  <sheetData>
    <row r="1" spans="2:18" ht="15.75" thickBot="1" x14ac:dyDescent="0.3">
      <c r="B1" s="23" t="s">
        <v>7</v>
      </c>
      <c r="C1" s="24"/>
      <c r="D1" s="24"/>
      <c r="E1" s="24"/>
      <c r="F1" s="24"/>
      <c r="G1" s="25"/>
      <c r="K1" s="17" t="s">
        <v>9</v>
      </c>
      <c r="L1" s="18"/>
      <c r="M1" s="18"/>
      <c r="N1" s="18"/>
      <c r="O1" s="18"/>
      <c r="P1" s="19"/>
    </row>
    <row r="2" spans="2:18" ht="15.75" thickBot="1" x14ac:dyDescent="0.3">
      <c r="B2" s="27"/>
      <c r="C2" s="28" t="s">
        <v>12</v>
      </c>
      <c r="D2" s="28" t="s">
        <v>11</v>
      </c>
      <c r="E2" s="28" t="s">
        <v>1</v>
      </c>
      <c r="F2" s="28" t="s">
        <v>14</v>
      </c>
      <c r="G2" s="28" t="s">
        <v>13</v>
      </c>
      <c r="H2" s="29" t="s">
        <v>28</v>
      </c>
      <c r="I2" s="30" t="s">
        <v>29</v>
      </c>
      <c r="K2" s="15"/>
      <c r="L2" s="12" t="s">
        <v>12</v>
      </c>
      <c r="M2" s="16" t="s">
        <v>11</v>
      </c>
      <c r="N2" s="13" t="s">
        <v>1</v>
      </c>
      <c r="O2" s="13" t="s">
        <v>14</v>
      </c>
      <c r="P2" s="14" t="s">
        <v>15</v>
      </c>
      <c r="Q2" s="29" t="s">
        <v>28</v>
      </c>
      <c r="R2" s="30" t="s">
        <v>29</v>
      </c>
    </row>
    <row r="3" spans="2:18" ht="15.75" thickBot="1" x14ac:dyDescent="0.3">
      <c r="B3" s="31" t="s">
        <v>6</v>
      </c>
      <c r="C3" s="26">
        <v>20</v>
      </c>
      <c r="D3" s="26">
        <v>20</v>
      </c>
      <c r="E3" s="26">
        <v>10</v>
      </c>
      <c r="F3" s="26">
        <v>0</v>
      </c>
      <c r="G3" s="26">
        <v>0</v>
      </c>
      <c r="H3" s="20"/>
      <c r="I3" s="32"/>
      <c r="K3" s="9" t="s">
        <v>6</v>
      </c>
      <c r="L3" s="10">
        <v>20</v>
      </c>
      <c r="M3" s="10">
        <v>20</v>
      </c>
      <c r="N3" s="10">
        <v>10</v>
      </c>
      <c r="O3" s="10">
        <v>0</v>
      </c>
      <c r="P3" s="11">
        <v>30</v>
      </c>
      <c r="Q3" s="20"/>
      <c r="R3" s="32"/>
    </row>
    <row r="4" spans="2:18" x14ac:dyDescent="0.25">
      <c r="B4" s="33">
        <v>1</v>
      </c>
      <c r="C4" s="6">
        <f>IF(D3-(D3-1.2*$E$3)&gt;100,100,C3-(C3-1.2*$E$3))</f>
        <v>12</v>
      </c>
      <c r="D4" s="6">
        <f>IF(D3-(D3-1.2*E3)&gt;100,100,D3-(D3-1.2*E3))</f>
        <v>12</v>
      </c>
      <c r="E4" s="6">
        <f>3+E3</f>
        <v>13</v>
      </c>
      <c r="F4" s="6">
        <f>IF($F$3+$C$4-E4&lt;0,0,$F$3+$C$4-E4)</f>
        <v>0</v>
      </c>
      <c r="G4" s="6">
        <f>IF(D4+G3-E4&lt;0,0,D4+G3-E4)</f>
        <v>0</v>
      </c>
      <c r="H4" s="20">
        <f>IF(E4&gt;C4,C4,E4)</f>
        <v>12</v>
      </c>
      <c r="I4" s="20">
        <f>IF(E4&gt;D4,D4,E4)</f>
        <v>12</v>
      </c>
      <c r="K4" s="7">
        <v>1</v>
      </c>
      <c r="L4" s="8">
        <f>IF('Inventario inicial'!J4&gt;50,50,'Inventario inicial'!J4)</f>
        <v>14</v>
      </c>
      <c r="M4" s="8">
        <f>IF('Inventario inicial'!J4&gt;100,100,'Inventario inicial'!J4)</f>
        <v>14</v>
      </c>
      <c r="N4" s="8">
        <f>3+N3</f>
        <v>13</v>
      </c>
      <c r="O4" s="8">
        <f>IF($F$3+$C$4-N4&lt;0,0,$F$3+$C$4-N4)</f>
        <v>0</v>
      </c>
      <c r="P4" s="6">
        <f>IF(M4+P3-N4&lt;0,0,M4+P3-N4)</f>
        <v>31</v>
      </c>
      <c r="Q4" s="20">
        <f>IF(N4&gt;L4,L4,N4)</f>
        <v>13</v>
      </c>
      <c r="R4" s="20">
        <f>IF(N4&gt;M4,M4,N4)</f>
        <v>13</v>
      </c>
    </row>
    <row r="5" spans="2:18" x14ac:dyDescent="0.25">
      <c r="B5" s="33">
        <v>2</v>
      </c>
      <c r="C5" s="6">
        <f t="shared" ref="C5:C33" si="0">IF(C4-(C4-1.2*E4)&gt;50,50,C4-(C4-1.2*E4))</f>
        <v>15.6</v>
      </c>
      <c r="D5" s="6">
        <f t="shared" ref="D5:D33" si="1">IF(D4-(D4-1.2*E4)&gt;100,100,D4-(D4-1.2*E4))</f>
        <v>15.6</v>
      </c>
      <c r="E5" s="6">
        <f t="shared" ref="E5:E33" si="2">3+E4</f>
        <v>16</v>
      </c>
      <c r="F5" s="6">
        <f>IF(F4+C5-E5&lt;0,0,F4+C5-E5)</f>
        <v>0</v>
      </c>
      <c r="G5" s="6">
        <f t="shared" ref="G5:G33" si="3">IF(D5+G4-E5&lt;0,0,D5+G4-E5)</f>
        <v>0</v>
      </c>
      <c r="H5" s="36">
        <f t="shared" ref="H5:H32" si="4">IF(E5&gt;C5,C5,E5)</f>
        <v>15.6</v>
      </c>
      <c r="I5" s="36">
        <f t="shared" ref="I5:I33" si="5">IF(E5&gt;D5,D5,E5)</f>
        <v>15.6</v>
      </c>
      <c r="K5" s="5">
        <v>2</v>
      </c>
      <c r="L5" s="8">
        <f>IF('Inventario inicial'!J5&gt;50,50,'Inventario inicial'!J5)</f>
        <v>23</v>
      </c>
      <c r="M5" s="8">
        <f>IF('Inventario inicial'!J5&gt;100,100,'Inventario inicial'!J5)</f>
        <v>23</v>
      </c>
      <c r="N5" s="6">
        <f t="shared" ref="N5:N33" si="6">3+N4</f>
        <v>16</v>
      </c>
      <c r="O5" s="6">
        <f>IF(O4+L5-N5&lt;0,0,O4+L5-N5)</f>
        <v>7</v>
      </c>
      <c r="P5" s="6">
        <f t="shared" ref="P5:P33" si="7">IF(M5+P4-N5&lt;0,0,M5+P4-N5)</f>
        <v>38</v>
      </c>
      <c r="Q5" s="20">
        <f t="shared" ref="Q5:Q33" si="8">IF(N5&gt;L5,L5,N5)</f>
        <v>16</v>
      </c>
      <c r="R5" s="36">
        <f t="shared" ref="R5:R33" si="9">IF(N5&gt;M5,M5,N5)</f>
        <v>16</v>
      </c>
    </row>
    <row r="6" spans="2:18" x14ac:dyDescent="0.25">
      <c r="B6" s="33">
        <v>3</v>
      </c>
      <c r="C6" s="6">
        <f t="shared" si="0"/>
        <v>19.2</v>
      </c>
      <c r="D6" s="6">
        <f t="shared" si="1"/>
        <v>19.2</v>
      </c>
      <c r="E6" s="6">
        <f t="shared" si="2"/>
        <v>19</v>
      </c>
      <c r="F6" s="6">
        <f t="shared" ref="F5:F33" si="10">IF(F5+C6-E6&lt;0,0,F5+C6-E6)</f>
        <v>0.19999999999999929</v>
      </c>
      <c r="G6" s="6">
        <f t="shared" si="3"/>
        <v>0.19999999999999929</v>
      </c>
      <c r="H6" s="20">
        <f t="shared" si="4"/>
        <v>19</v>
      </c>
      <c r="I6" s="20">
        <f t="shared" si="5"/>
        <v>19</v>
      </c>
      <c r="K6" s="5">
        <v>3</v>
      </c>
      <c r="L6" s="8">
        <f>IF('Inventario inicial'!J6&gt;50,50,'Inventario inicial'!J6)</f>
        <v>17</v>
      </c>
      <c r="M6" s="8">
        <f>IF('Inventario inicial'!J6&gt;100,100,'Inventario inicial'!J6)</f>
        <v>17</v>
      </c>
      <c r="N6" s="6">
        <f t="shared" si="6"/>
        <v>19</v>
      </c>
      <c r="O6" s="6">
        <f t="shared" ref="O6:O33" si="11">IF(O5+L6-N6&lt;0,0,O5+L6-N6)</f>
        <v>5</v>
      </c>
      <c r="P6" s="6">
        <f t="shared" si="7"/>
        <v>36</v>
      </c>
      <c r="Q6" s="20">
        <f t="shared" si="8"/>
        <v>17</v>
      </c>
      <c r="R6" s="20">
        <f t="shared" si="9"/>
        <v>17</v>
      </c>
    </row>
    <row r="7" spans="2:18" x14ac:dyDescent="0.25">
      <c r="B7" s="33">
        <v>4</v>
      </c>
      <c r="C7" s="6">
        <f t="shared" si="0"/>
        <v>22.8</v>
      </c>
      <c r="D7" s="6">
        <f t="shared" si="1"/>
        <v>22.8</v>
      </c>
      <c r="E7" s="6">
        <f t="shared" si="2"/>
        <v>22</v>
      </c>
      <c r="F7" s="6">
        <f t="shared" si="10"/>
        <v>1</v>
      </c>
      <c r="G7" s="6">
        <f t="shared" si="3"/>
        <v>1</v>
      </c>
      <c r="H7" s="20">
        <f t="shared" si="4"/>
        <v>22</v>
      </c>
      <c r="I7" s="20">
        <f t="shared" si="5"/>
        <v>22</v>
      </c>
      <c r="K7" s="5">
        <v>4</v>
      </c>
      <c r="L7" s="8">
        <f>IF('Inventario inicial'!J7&gt;50,50,'Inventario inicial'!J7)</f>
        <v>29</v>
      </c>
      <c r="M7" s="8">
        <f>IF('Inventario inicial'!J7&gt;100,100,'Inventario inicial'!J7)</f>
        <v>29</v>
      </c>
      <c r="N7" s="6">
        <f t="shared" si="6"/>
        <v>22</v>
      </c>
      <c r="O7" s="6">
        <f t="shared" si="11"/>
        <v>12</v>
      </c>
      <c r="P7" s="6">
        <f t="shared" si="7"/>
        <v>43</v>
      </c>
      <c r="Q7" s="20">
        <f t="shared" si="8"/>
        <v>22</v>
      </c>
      <c r="R7" s="20">
        <f t="shared" si="9"/>
        <v>22</v>
      </c>
    </row>
    <row r="8" spans="2:18" x14ac:dyDescent="0.25">
      <c r="B8" s="33">
        <v>5</v>
      </c>
      <c r="C8" s="6">
        <f t="shared" si="0"/>
        <v>26.4</v>
      </c>
      <c r="D8" s="6">
        <f t="shared" si="1"/>
        <v>26.4</v>
      </c>
      <c r="E8" s="6">
        <f t="shared" si="2"/>
        <v>25</v>
      </c>
      <c r="F8" s="6">
        <f t="shared" si="10"/>
        <v>2.3999999999999986</v>
      </c>
      <c r="G8" s="6">
        <f t="shared" si="3"/>
        <v>2.3999999999999986</v>
      </c>
      <c r="H8" s="20">
        <f t="shared" si="4"/>
        <v>25</v>
      </c>
      <c r="I8" s="20">
        <f t="shared" si="5"/>
        <v>25</v>
      </c>
      <c r="K8" s="5">
        <v>5</v>
      </c>
      <c r="L8" s="8">
        <f>IF('Inventario inicial'!J8&gt;50,50,'Inventario inicial'!J8)</f>
        <v>24</v>
      </c>
      <c r="M8" s="8">
        <f>IF('Inventario inicial'!J8&gt;100,100,'Inventario inicial'!J8)</f>
        <v>24</v>
      </c>
      <c r="N8" s="6">
        <f t="shared" si="6"/>
        <v>25</v>
      </c>
      <c r="O8" s="6">
        <f t="shared" si="11"/>
        <v>11</v>
      </c>
      <c r="P8" s="6">
        <f t="shared" si="7"/>
        <v>42</v>
      </c>
      <c r="Q8" s="20">
        <f t="shared" si="8"/>
        <v>24</v>
      </c>
      <c r="R8" s="20">
        <f t="shared" si="9"/>
        <v>24</v>
      </c>
    </row>
    <row r="9" spans="2:18" x14ac:dyDescent="0.25">
      <c r="B9" s="33">
        <v>6</v>
      </c>
      <c r="C9" s="6">
        <f t="shared" si="0"/>
        <v>30</v>
      </c>
      <c r="D9" s="6">
        <f t="shared" si="1"/>
        <v>30</v>
      </c>
      <c r="E9" s="6">
        <f t="shared" si="2"/>
        <v>28</v>
      </c>
      <c r="F9" s="6">
        <f t="shared" si="10"/>
        <v>4.3999999999999986</v>
      </c>
      <c r="G9" s="6">
        <f t="shared" si="3"/>
        <v>4.3999999999999986</v>
      </c>
      <c r="H9" s="20">
        <f t="shared" si="4"/>
        <v>28</v>
      </c>
      <c r="I9" s="20">
        <f t="shared" si="5"/>
        <v>28</v>
      </c>
      <c r="K9" s="5">
        <v>6</v>
      </c>
      <c r="L9" s="8">
        <f>IF('Inventario inicial'!J9&gt;50,50,'Inventario inicial'!J9)</f>
        <v>36</v>
      </c>
      <c r="M9" s="8">
        <f>IF('Inventario inicial'!J9&gt;100,100,'Inventario inicial'!J9)</f>
        <v>36</v>
      </c>
      <c r="N9" s="6">
        <f t="shared" si="6"/>
        <v>28</v>
      </c>
      <c r="O9" s="6">
        <f t="shared" si="11"/>
        <v>19</v>
      </c>
      <c r="P9" s="6">
        <f t="shared" si="7"/>
        <v>50</v>
      </c>
      <c r="Q9" s="20">
        <f t="shared" si="8"/>
        <v>28</v>
      </c>
      <c r="R9" s="20">
        <f t="shared" si="9"/>
        <v>28</v>
      </c>
    </row>
    <row r="10" spans="2:18" x14ac:dyDescent="0.25">
      <c r="B10" s="33">
        <v>7</v>
      </c>
      <c r="C10" s="6">
        <f t="shared" si="0"/>
        <v>33.6</v>
      </c>
      <c r="D10" s="6">
        <f t="shared" si="1"/>
        <v>33.6</v>
      </c>
      <c r="E10" s="6">
        <f t="shared" si="2"/>
        <v>31</v>
      </c>
      <c r="F10" s="6">
        <f t="shared" si="10"/>
        <v>7</v>
      </c>
      <c r="G10" s="6">
        <f t="shared" si="3"/>
        <v>7</v>
      </c>
      <c r="H10" s="20">
        <f t="shared" si="4"/>
        <v>31</v>
      </c>
      <c r="I10" s="20">
        <f t="shared" si="5"/>
        <v>31</v>
      </c>
      <c r="K10" s="5">
        <v>7</v>
      </c>
      <c r="L10" s="8">
        <f>IF('Inventario inicial'!J10&gt;50,50,'Inventario inicial'!J10)</f>
        <v>31</v>
      </c>
      <c r="M10" s="8">
        <f>IF('Inventario inicial'!J10&gt;100,100,'Inventario inicial'!J10)</f>
        <v>31</v>
      </c>
      <c r="N10" s="6">
        <f t="shared" si="6"/>
        <v>31</v>
      </c>
      <c r="O10" s="6">
        <f t="shared" si="11"/>
        <v>19</v>
      </c>
      <c r="P10" s="6">
        <f t="shared" si="7"/>
        <v>50</v>
      </c>
      <c r="Q10" s="20">
        <f t="shared" si="8"/>
        <v>31</v>
      </c>
      <c r="R10" s="20">
        <f t="shared" si="9"/>
        <v>31</v>
      </c>
    </row>
    <row r="11" spans="2:18" x14ac:dyDescent="0.25">
      <c r="B11" s="33">
        <v>8</v>
      </c>
      <c r="C11" s="6">
        <f t="shared" si="0"/>
        <v>37.199999999999996</v>
      </c>
      <c r="D11" s="6">
        <f t="shared" si="1"/>
        <v>37.199999999999996</v>
      </c>
      <c r="E11" s="6">
        <f t="shared" si="2"/>
        <v>34</v>
      </c>
      <c r="F11" s="6">
        <f t="shared" si="10"/>
        <v>10.199999999999996</v>
      </c>
      <c r="G11" s="6">
        <f t="shared" si="3"/>
        <v>10.199999999999996</v>
      </c>
      <c r="H11" s="20">
        <f t="shared" si="4"/>
        <v>34</v>
      </c>
      <c r="I11" s="20">
        <f t="shared" si="5"/>
        <v>34</v>
      </c>
      <c r="K11" s="5">
        <v>8</v>
      </c>
      <c r="L11" s="8">
        <f>IF('Inventario inicial'!J11&gt;50,50,'Inventario inicial'!J11)</f>
        <v>44</v>
      </c>
      <c r="M11" s="8">
        <f>IF('Inventario inicial'!J11&gt;100,100,'Inventario inicial'!J11)</f>
        <v>44</v>
      </c>
      <c r="N11" s="6">
        <f t="shared" si="6"/>
        <v>34</v>
      </c>
      <c r="O11" s="6">
        <f t="shared" si="11"/>
        <v>29</v>
      </c>
      <c r="P11" s="6">
        <f t="shared" si="7"/>
        <v>60</v>
      </c>
      <c r="Q11" s="20">
        <f t="shared" si="8"/>
        <v>34</v>
      </c>
      <c r="R11" s="20">
        <f t="shared" si="9"/>
        <v>34</v>
      </c>
    </row>
    <row r="12" spans="2:18" x14ac:dyDescent="0.25">
      <c r="B12" s="33">
        <v>9</v>
      </c>
      <c r="C12" s="6">
        <f t="shared" si="0"/>
        <v>40.799999999999997</v>
      </c>
      <c r="D12" s="6">
        <f t="shared" si="1"/>
        <v>40.799999999999997</v>
      </c>
      <c r="E12" s="6">
        <f t="shared" si="2"/>
        <v>37</v>
      </c>
      <c r="F12" s="6">
        <f t="shared" si="10"/>
        <v>13.999999999999993</v>
      </c>
      <c r="G12" s="6">
        <f t="shared" si="3"/>
        <v>13.999999999999993</v>
      </c>
      <c r="H12" s="20">
        <f t="shared" si="4"/>
        <v>37</v>
      </c>
      <c r="I12" s="20">
        <f t="shared" si="5"/>
        <v>37</v>
      </c>
      <c r="K12" s="5">
        <v>9</v>
      </c>
      <c r="L12" s="8">
        <f>IF('Inventario inicial'!J12&gt;50,50,'Inventario inicial'!J12)</f>
        <v>39</v>
      </c>
      <c r="M12" s="8">
        <f>IF('Inventario inicial'!J12&gt;100,100,'Inventario inicial'!J12)</f>
        <v>39</v>
      </c>
      <c r="N12" s="6">
        <f t="shared" si="6"/>
        <v>37</v>
      </c>
      <c r="O12" s="6">
        <f t="shared" si="11"/>
        <v>31</v>
      </c>
      <c r="P12" s="6">
        <f t="shared" si="7"/>
        <v>62</v>
      </c>
      <c r="Q12" s="20">
        <f t="shared" si="8"/>
        <v>37</v>
      </c>
      <c r="R12" s="20">
        <f t="shared" si="9"/>
        <v>37</v>
      </c>
    </row>
    <row r="13" spans="2:18" x14ac:dyDescent="0.25">
      <c r="B13" s="33">
        <v>10</v>
      </c>
      <c r="C13" s="6">
        <f t="shared" si="0"/>
        <v>44.4</v>
      </c>
      <c r="D13" s="6">
        <f t="shared" si="1"/>
        <v>44.4</v>
      </c>
      <c r="E13" s="6">
        <f t="shared" si="2"/>
        <v>40</v>
      </c>
      <c r="F13" s="6">
        <f t="shared" si="10"/>
        <v>18.399999999999991</v>
      </c>
      <c r="G13" s="6">
        <f t="shared" si="3"/>
        <v>18.399999999999991</v>
      </c>
      <c r="H13" s="20">
        <f t="shared" si="4"/>
        <v>40</v>
      </c>
      <c r="I13" s="20">
        <f t="shared" si="5"/>
        <v>40</v>
      </c>
      <c r="K13" s="5">
        <v>10</v>
      </c>
      <c r="L13" s="8">
        <f>IF('Inventario inicial'!J13&gt;50,50,'Inventario inicial'!J13)</f>
        <v>50</v>
      </c>
      <c r="M13" s="8">
        <f>IF('Inventario inicial'!J13&gt;100,100,'Inventario inicial'!J13)</f>
        <v>51</v>
      </c>
      <c r="N13" s="6">
        <f t="shared" si="6"/>
        <v>40</v>
      </c>
      <c r="O13" s="6">
        <f t="shared" si="11"/>
        <v>41</v>
      </c>
      <c r="P13" s="6">
        <f t="shared" si="7"/>
        <v>73</v>
      </c>
      <c r="Q13" s="20">
        <f t="shared" si="8"/>
        <v>40</v>
      </c>
      <c r="R13" s="20">
        <f t="shared" si="9"/>
        <v>40</v>
      </c>
    </row>
    <row r="14" spans="2:18" x14ac:dyDescent="0.25">
      <c r="B14" s="33">
        <v>11</v>
      </c>
      <c r="C14" s="6">
        <f t="shared" si="0"/>
        <v>48</v>
      </c>
      <c r="D14" s="6">
        <f t="shared" si="1"/>
        <v>48</v>
      </c>
      <c r="E14" s="6">
        <f t="shared" si="2"/>
        <v>43</v>
      </c>
      <c r="F14" s="6">
        <f t="shared" si="10"/>
        <v>23.399999999999991</v>
      </c>
      <c r="G14" s="6">
        <f t="shared" si="3"/>
        <v>23.399999999999991</v>
      </c>
      <c r="H14" s="20">
        <f t="shared" si="4"/>
        <v>43</v>
      </c>
      <c r="I14" s="20">
        <f t="shared" si="5"/>
        <v>43</v>
      </c>
      <c r="K14" s="5">
        <v>11</v>
      </c>
      <c r="L14" s="8">
        <f>IF('Inventario inicial'!J14&gt;50,50,'Inventario inicial'!J14)</f>
        <v>47</v>
      </c>
      <c r="M14" s="8">
        <f>IF('Inventario inicial'!J14&gt;100,100,'Inventario inicial'!J14)</f>
        <v>47</v>
      </c>
      <c r="N14" s="6">
        <f t="shared" si="6"/>
        <v>43</v>
      </c>
      <c r="O14" s="6">
        <f t="shared" si="11"/>
        <v>45</v>
      </c>
      <c r="P14" s="6">
        <f t="shared" si="7"/>
        <v>77</v>
      </c>
      <c r="Q14" s="20">
        <f t="shared" si="8"/>
        <v>43</v>
      </c>
      <c r="R14" s="20">
        <f t="shared" si="9"/>
        <v>43</v>
      </c>
    </row>
    <row r="15" spans="2:18" x14ac:dyDescent="0.25">
      <c r="B15" s="33">
        <v>12</v>
      </c>
      <c r="C15" s="6">
        <f t="shared" si="0"/>
        <v>50</v>
      </c>
      <c r="D15" s="6">
        <f t="shared" si="1"/>
        <v>51.6</v>
      </c>
      <c r="E15" s="6">
        <f t="shared" si="2"/>
        <v>46</v>
      </c>
      <c r="F15" s="6">
        <f t="shared" si="10"/>
        <v>27.399999999999991</v>
      </c>
      <c r="G15" s="6">
        <f t="shared" si="3"/>
        <v>29</v>
      </c>
      <c r="H15" s="20">
        <f t="shared" si="4"/>
        <v>46</v>
      </c>
      <c r="I15" s="20">
        <f t="shared" si="5"/>
        <v>46</v>
      </c>
      <c r="K15" s="5">
        <v>12</v>
      </c>
      <c r="L15" s="8">
        <f>IF('Inventario inicial'!J15&gt;50,50,'Inventario inicial'!J15)</f>
        <v>50</v>
      </c>
      <c r="M15" s="8">
        <f>IF('Inventario inicial'!J15&gt;100,100,'Inventario inicial'!J15)</f>
        <v>59</v>
      </c>
      <c r="N15" s="6">
        <f t="shared" si="6"/>
        <v>46</v>
      </c>
      <c r="O15" s="6">
        <f t="shared" si="11"/>
        <v>49</v>
      </c>
      <c r="P15" s="6">
        <f t="shared" si="7"/>
        <v>90</v>
      </c>
      <c r="Q15" s="20">
        <f t="shared" si="8"/>
        <v>46</v>
      </c>
      <c r="R15" s="20">
        <f t="shared" si="9"/>
        <v>46</v>
      </c>
    </row>
    <row r="16" spans="2:18" x14ac:dyDescent="0.25">
      <c r="B16" s="33">
        <v>13</v>
      </c>
      <c r="C16" s="6">
        <f t="shared" si="0"/>
        <v>50</v>
      </c>
      <c r="D16" s="6">
        <f t="shared" si="1"/>
        <v>55.199999999999996</v>
      </c>
      <c r="E16" s="6">
        <f t="shared" si="2"/>
        <v>49</v>
      </c>
      <c r="F16" s="6">
        <f t="shared" si="10"/>
        <v>28.399999999999991</v>
      </c>
      <c r="G16" s="6">
        <f t="shared" si="3"/>
        <v>35.199999999999989</v>
      </c>
      <c r="H16" s="20">
        <f t="shared" si="4"/>
        <v>49</v>
      </c>
      <c r="I16" s="20">
        <f t="shared" si="5"/>
        <v>49</v>
      </c>
      <c r="K16" s="5">
        <v>13</v>
      </c>
      <c r="L16" s="8">
        <f>IF('Inventario inicial'!J16&gt;50,50,'Inventario inicial'!J16)</f>
        <v>50</v>
      </c>
      <c r="M16" s="8">
        <f>IF('Inventario inicial'!J16&gt;100,100,'Inventario inicial'!J16)</f>
        <v>55</v>
      </c>
      <c r="N16" s="6">
        <f t="shared" si="6"/>
        <v>49</v>
      </c>
      <c r="O16" s="6">
        <f t="shared" si="11"/>
        <v>50</v>
      </c>
      <c r="P16" s="6">
        <f t="shared" si="7"/>
        <v>96</v>
      </c>
      <c r="Q16" s="20">
        <f t="shared" si="8"/>
        <v>49</v>
      </c>
      <c r="R16" s="20">
        <f t="shared" si="9"/>
        <v>49</v>
      </c>
    </row>
    <row r="17" spans="2:18" x14ac:dyDescent="0.25">
      <c r="B17" s="33">
        <v>14</v>
      </c>
      <c r="C17" s="6">
        <f t="shared" si="0"/>
        <v>50</v>
      </c>
      <c r="D17" s="6">
        <f t="shared" si="1"/>
        <v>58.8</v>
      </c>
      <c r="E17" s="6">
        <f t="shared" si="2"/>
        <v>52</v>
      </c>
      <c r="F17" s="6">
        <f t="shared" si="10"/>
        <v>26.399999999999991</v>
      </c>
      <c r="G17" s="6">
        <f t="shared" si="3"/>
        <v>41.999999999999986</v>
      </c>
      <c r="H17" s="20">
        <f t="shared" si="4"/>
        <v>50</v>
      </c>
      <c r="I17" s="20">
        <f t="shared" si="5"/>
        <v>52</v>
      </c>
      <c r="K17" s="5">
        <v>14</v>
      </c>
      <c r="L17" s="8">
        <f>IF('Inventario inicial'!J17&gt;50,50,'Inventario inicial'!J17)</f>
        <v>50</v>
      </c>
      <c r="M17" s="8">
        <f>IF('Inventario inicial'!J17&gt;100,100,'Inventario inicial'!J17)</f>
        <v>57</v>
      </c>
      <c r="N17" s="6">
        <f t="shared" si="6"/>
        <v>52</v>
      </c>
      <c r="O17" s="6">
        <f t="shared" si="11"/>
        <v>48</v>
      </c>
      <c r="P17" s="6">
        <f t="shared" si="7"/>
        <v>101</v>
      </c>
      <c r="Q17" s="20">
        <f t="shared" si="8"/>
        <v>50</v>
      </c>
      <c r="R17" s="20">
        <f t="shared" si="9"/>
        <v>52</v>
      </c>
    </row>
    <row r="18" spans="2:18" x14ac:dyDescent="0.25">
      <c r="B18" s="33">
        <v>15</v>
      </c>
      <c r="C18" s="6">
        <f t="shared" si="0"/>
        <v>50</v>
      </c>
      <c r="D18" s="6">
        <f t="shared" si="1"/>
        <v>62.4</v>
      </c>
      <c r="E18" s="6">
        <f t="shared" si="2"/>
        <v>55</v>
      </c>
      <c r="F18" s="6">
        <f t="shared" si="10"/>
        <v>21.399999999999991</v>
      </c>
      <c r="G18" s="6">
        <f t="shared" si="3"/>
        <v>49.399999999999977</v>
      </c>
      <c r="H18" s="20">
        <f t="shared" si="4"/>
        <v>50</v>
      </c>
      <c r="I18" s="20">
        <f t="shared" si="5"/>
        <v>55</v>
      </c>
      <c r="K18" s="5">
        <v>15</v>
      </c>
      <c r="L18" s="8">
        <f>IF('Inventario inicial'!J18&gt;50,50,'Inventario inicial'!J18)</f>
        <v>50</v>
      </c>
      <c r="M18" s="8">
        <f>IF('Inventario inicial'!J18&gt;100,100,'Inventario inicial'!J18)</f>
        <v>62</v>
      </c>
      <c r="N18" s="6">
        <f t="shared" si="6"/>
        <v>55</v>
      </c>
      <c r="O18" s="6">
        <f t="shared" si="11"/>
        <v>43</v>
      </c>
      <c r="P18" s="6">
        <f t="shared" si="7"/>
        <v>108</v>
      </c>
      <c r="Q18" s="20">
        <f t="shared" si="8"/>
        <v>50</v>
      </c>
      <c r="R18" s="20">
        <f t="shared" si="9"/>
        <v>55</v>
      </c>
    </row>
    <row r="19" spans="2:18" x14ac:dyDescent="0.25">
      <c r="B19" s="33">
        <v>16</v>
      </c>
      <c r="C19" s="6">
        <f t="shared" si="0"/>
        <v>50</v>
      </c>
      <c r="D19" s="6">
        <f t="shared" si="1"/>
        <v>66</v>
      </c>
      <c r="E19" s="6">
        <f t="shared" si="2"/>
        <v>58</v>
      </c>
      <c r="F19" s="6">
        <f t="shared" si="10"/>
        <v>13.399999999999991</v>
      </c>
      <c r="G19" s="6">
        <f t="shared" si="3"/>
        <v>57.399999999999977</v>
      </c>
      <c r="H19" s="20">
        <f t="shared" si="4"/>
        <v>50</v>
      </c>
      <c r="I19" s="20">
        <f t="shared" si="5"/>
        <v>58</v>
      </c>
      <c r="K19" s="5">
        <v>16</v>
      </c>
      <c r="L19" s="8">
        <f>IF('Inventario inicial'!J19&gt;50,50,'Inventario inicial'!J19)</f>
        <v>50</v>
      </c>
      <c r="M19" s="8">
        <f>IF('Inventario inicial'!J19&gt;100,100,'Inventario inicial'!J19)</f>
        <v>75</v>
      </c>
      <c r="N19" s="6">
        <f t="shared" si="6"/>
        <v>58</v>
      </c>
      <c r="O19" s="6">
        <f t="shared" si="11"/>
        <v>35</v>
      </c>
      <c r="P19" s="6">
        <f t="shared" si="7"/>
        <v>125</v>
      </c>
      <c r="Q19" s="20">
        <f t="shared" si="8"/>
        <v>50</v>
      </c>
      <c r="R19" s="20">
        <f t="shared" si="9"/>
        <v>58</v>
      </c>
    </row>
    <row r="20" spans="2:18" x14ac:dyDescent="0.25">
      <c r="B20" s="33">
        <v>17</v>
      </c>
      <c r="C20" s="6">
        <f t="shared" si="0"/>
        <v>50</v>
      </c>
      <c r="D20" s="6">
        <f t="shared" si="1"/>
        <v>69.599999999999994</v>
      </c>
      <c r="E20" s="6">
        <f t="shared" si="2"/>
        <v>61</v>
      </c>
      <c r="F20" s="6">
        <f t="shared" si="10"/>
        <v>2.3999999999999915</v>
      </c>
      <c r="G20" s="6">
        <f t="shared" si="3"/>
        <v>65.999999999999972</v>
      </c>
      <c r="H20" s="20">
        <f t="shared" si="4"/>
        <v>50</v>
      </c>
      <c r="I20" s="20">
        <f t="shared" si="5"/>
        <v>61</v>
      </c>
      <c r="K20" s="5">
        <v>17</v>
      </c>
      <c r="L20" s="8">
        <f>IF('Inventario inicial'!J20&gt;50,50,'Inventario inicial'!J20)</f>
        <v>50</v>
      </c>
      <c r="M20" s="8">
        <f>IF('Inventario inicial'!J20&gt;100,100,'Inventario inicial'!J20)</f>
        <v>70</v>
      </c>
      <c r="N20" s="6">
        <f t="shared" si="6"/>
        <v>61</v>
      </c>
      <c r="O20" s="6">
        <f t="shared" si="11"/>
        <v>24</v>
      </c>
      <c r="P20" s="6">
        <f t="shared" si="7"/>
        <v>134</v>
      </c>
      <c r="Q20" s="20">
        <f t="shared" si="8"/>
        <v>50</v>
      </c>
      <c r="R20" s="20">
        <f t="shared" si="9"/>
        <v>61</v>
      </c>
    </row>
    <row r="21" spans="2:18" x14ac:dyDescent="0.25">
      <c r="B21" s="33">
        <v>18</v>
      </c>
      <c r="C21" s="6">
        <f t="shared" si="0"/>
        <v>50</v>
      </c>
      <c r="D21" s="6">
        <f t="shared" si="1"/>
        <v>73.2</v>
      </c>
      <c r="E21" s="6">
        <f t="shared" si="2"/>
        <v>64</v>
      </c>
      <c r="F21" s="6">
        <f t="shared" si="10"/>
        <v>0</v>
      </c>
      <c r="G21" s="6">
        <f t="shared" si="3"/>
        <v>75.199999999999989</v>
      </c>
      <c r="H21" s="20">
        <f t="shared" si="4"/>
        <v>50</v>
      </c>
      <c r="I21" s="20">
        <f t="shared" si="5"/>
        <v>64</v>
      </c>
      <c r="K21" s="5">
        <v>18</v>
      </c>
      <c r="L21" s="8">
        <f>IF('Inventario inicial'!J21&gt;50,50,'Inventario inicial'!J21)</f>
        <v>50</v>
      </c>
      <c r="M21" s="8">
        <f>IF('Inventario inicial'!J21&gt;100,100,'Inventario inicial'!J21)</f>
        <v>83</v>
      </c>
      <c r="N21" s="6">
        <f t="shared" si="6"/>
        <v>64</v>
      </c>
      <c r="O21" s="6">
        <f t="shared" si="11"/>
        <v>10</v>
      </c>
      <c r="P21" s="6">
        <f t="shared" si="7"/>
        <v>153</v>
      </c>
      <c r="Q21" s="20">
        <f t="shared" si="8"/>
        <v>50</v>
      </c>
      <c r="R21" s="20">
        <f t="shared" si="9"/>
        <v>64</v>
      </c>
    </row>
    <row r="22" spans="2:18" x14ac:dyDescent="0.25">
      <c r="B22" s="33">
        <v>19</v>
      </c>
      <c r="C22" s="6">
        <f t="shared" si="0"/>
        <v>50</v>
      </c>
      <c r="D22" s="6">
        <f t="shared" si="1"/>
        <v>76.8</v>
      </c>
      <c r="E22" s="6">
        <f t="shared" si="2"/>
        <v>67</v>
      </c>
      <c r="F22" s="6">
        <f t="shared" si="10"/>
        <v>0</v>
      </c>
      <c r="G22" s="6">
        <f t="shared" si="3"/>
        <v>85</v>
      </c>
      <c r="H22" s="20">
        <f t="shared" si="4"/>
        <v>50</v>
      </c>
      <c r="I22" s="20">
        <f t="shared" si="5"/>
        <v>67</v>
      </c>
      <c r="K22" s="5">
        <v>19</v>
      </c>
      <c r="L22" s="8">
        <f>IF('Inventario inicial'!J22&gt;50,50,'Inventario inicial'!J22)</f>
        <v>50</v>
      </c>
      <c r="M22" s="8">
        <f>IF('Inventario inicial'!J22&gt;100,100,'Inventario inicial'!J22)</f>
        <v>78</v>
      </c>
      <c r="N22" s="6">
        <f t="shared" si="6"/>
        <v>67</v>
      </c>
      <c r="O22" s="6">
        <f t="shared" si="11"/>
        <v>0</v>
      </c>
      <c r="P22" s="6">
        <f t="shared" si="7"/>
        <v>164</v>
      </c>
      <c r="Q22" s="20">
        <f t="shared" si="8"/>
        <v>50</v>
      </c>
      <c r="R22" s="20">
        <f t="shared" si="9"/>
        <v>67</v>
      </c>
    </row>
    <row r="23" spans="2:18" x14ac:dyDescent="0.25">
      <c r="B23" s="33">
        <v>20</v>
      </c>
      <c r="C23" s="6">
        <f t="shared" si="0"/>
        <v>50</v>
      </c>
      <c r="D23" s="6">
        <f t="shared" si="1"/>
        <v>80.399999999999991</v>
      </c>
      <c r="E23" s="6">
        <f t="shared" si="2"/>
        <v>70</v>
      </c>
      <c r="F23" s="6">
        <f t="shared" si="10"/>
        <v>0</v>
      </c>
      <c r="G23" s="6">
        <f t="shared" si="3"/>
        <v>95.399999999999977</v>
      </c>
      <c r="H23" s="20">
        <f t="shared" si="4"/>
        <v>50</v>
      </c>
      <c r="I23" s="20">
        <f t="shared" si="5"/>
        <v>70</v>
      </c>
      <c r="K23" s="5">
        <v>20</v>
      </c>
      <c r="L23" s="8">
        <f>IF('Inventario inicial'!J23&gt;50,50,'Inventario inicial'!J23)</f>
        <v>50</v>
      </c>
      <c r="M23" s="8">
        <f>IF('Inventario inicial'!J23&gt;100,100,'Inventario inicial'!J23)</f>
        <v>90</v>
      </c>
      <c r="N23" s="6">
        <f t="shared" si="6"/>
        <v>70</v>
      </c>
      <c r="O23" s="6">
        <f t="shared" si="11"/>
        <v>0</v>
      </c>
      <c r="P23" s="6">
        <f t="shared" si="7"/>
        <v>184</v>
      </c>
      <c r="Q23" s="20">
        <f t="shared" si="8"/>
        <v>50</v>
      </c>
      <c r="R23" s="20">
        <f t="shared" si="9"/>
        <v>70</v>
      </c>
    </row>
    <row r="24" spans="2:18" x14ac:dyDescent="0.25">
      <c r="B24" s="33">
        <v>21</v>
      </c>
      <c r="C24" s="6">
        <f t="shared" si="0"/>
        <v>50</v>
      </c>
      <c r="D24" s="6">
        <f t="shared" si="1"/>
        <v>84</v>
      </c>
      <c r="E24" s="6">
        <f t="shared" si="2"/>
        <v>73</v>
      </c>
      <c r="F24" s="6">
        <f t="shared" si="10"/>
        <v>0</v>
      </c>
      <c r="G24" s="6">
        <f t="shared" si="3"/>
        <v>106.39999999999998</v>
      </c>
      <c r="H24" s="20">
        <f t="shared" si="4"/>
        <v>50</v>
      </c>
      <c r="I24" s="20">
        <f t="shared" si="5"/>
        <v>73</v>
      </c>
      <c r="K24" s="5">
        <v>21</v>
      </c>
      <c r="L24" s="8">
        <f>IF('Inventario inicial'!J24&gt;50,50,'Inventario inicial'!J24)</f>
        <v>50</v>
      </c>
      <c r="M24" s="8">
        <f>IF('Inventario inicial'!J24&gt;100,100,'Inventario inicial'!J24)</f>
        <v>86</v>
      </c>
      <c r="N24" s="6">
        <f t="shared" si="6"/>
        <v>73</v>
      </c>
      <c r="O24" s="6">
        <f t="shared" si="11"/>
        <v>0</v>
      </c>
      <c r="P24" s="6">
        <f t="shared" si="7"/>
        <v>197</v>
      </c>
      <c r="Q24" s="20">
        <f t="shared" si="8"/>
        <v>50</v>
      </c>
      <c r="R24" s="20">
        <f t="shared" si="9"/>
        <v>73</v>
      </c>
    </row>
    <row r="25" spans="2:18" x14ac:dyDescent="0.25">
      <c r="B25" s="33">
        <v>22</v>
      </c>
      <c r="C25" s="6">
        <f t="shared" si="0"/>
        <v>50</v>
      </c>
      <c r="D25" s="6">
        <f t="shared" si="1"/>
        <v>87.6</v>
      </c>
      <c r="E25" s="6">
        <f t="shared" si="2"/>
        <v>76</v>
      </c>
      <c r="F25" s="6">
        <f t="shared" si="10"/>
        <v>0</v>
      </c>
      <c r="G25" s="6">
        <f t="shared" si="3"/>
        <v>117.99999999999997</v>
      </c>
      <c r="H25" s="20">
        <f t="shared" si="4"/>
        <v>50</v>
      </c>
      <c r="I25" s="20">
        <f t="shared" si="5"/>
        <v>76</v>
      </c>
      <c r="K25" s="5">
        <v>22</v>
      </c>
      <c r="L25" s="8">
        <f>IF('Inventario inicial'!J25&gt;50,50,'Inventario inicial'!J25)</f>
        <v>50</v>
      </c>
      <c r="M25" s="8">
        <f>IF('Inventario inicial'!J25&gt;100,100,'Inventario inicial'!J25)</f>
        <v>98</v>
      </c>
      <c r="N25" s="6">
        <f t="shared" si="6"/>
        <v>76</v>
      </c>
      <c r="O25" s="6">
        <f t="shared" si="11"/>
        <v>0</v>
      </c>
      <c r="P25" s="6">
        <f t="shared" si="7"/>
        <v>219</v>
      </c>
      <c r="Q25" s="20">
        <f t="shared" si="8"/>
        <v>50</v>
      </c>
      <c r="R25" s="20">
        <f t="shared" si="9"/>
        <v>76</v>
      </c>
    </row>
    <row r="26" spans="2:18" x14ac:dyDescent="0.25">
      <c r="B26" s="33">
        <v>23</v>
      </c>
      <c r="C26" s="6">
        <f t="shared" si="0"/>
        <v>50</v>
      </c>
      <c r="D26" s="6">
        <f t="shared" si="1"/>
        <v>91.2</v>
      </c>
      <c r="E26" s="6">
        <f t="shared" si="2"/>
        <v>79</v>
      </c>
      <c r="F26" s="6">
        <f t="shared" si="10"/>
        <v>0</v>
      </c>
      <c r="G26" s="6">
        <f t="shared" si="3"/>
        <v>130.19999999999999</v>
      </c>
      <c r="H26" s="20">
        <f t="shared" si="4"/>
        <v>50</v>
      </c>
      <c r="I26" s="20">
        <f t="shared" si="5"/>
        <v>79</v>
      </c>
      <c r="K26" s="5">
        <v>23</v>
      </c>
      <c r="L26" s="8">
        <f>IF('Inventario inicial'!J26&gt;50,50,'Inventario inicial'!J26)</f>
        <v>50</v>
      </c>
      <c r="M26" s="8">
        <f>IF('Inventario inicial'!J26&gt;100,100,'Inventario inicial'!J26)</f>
        <v>94</v>
      </c>
      <c r="N26" s="6">
        <f t="shared" si="6"/>
        <v>79</v>
      </c>
      <c r="O26" s="6">
        <f t="shared" si="11"/>
        <v>0</v>
      </c>
      <c r="P26" s="6">
        <f t="shared" si="7"/>
        <v>234</v>
      </c>
      <c r="Q26" s="20">
        <f t="shared" si="8"/>
        <v>50</v>
      </c>
      <c r="R26" s="20">
        <f t="shared" si="9"/>
        <v>79</v>
      </c>
    </row>
    <row r="27" spans="2:18" x14ac:dyDescent="0.25">
      <c r="B27" s="33">
        <v>24</v>
      </c>
      <c r="C27" s="6">
        <f t="shared" si="0"/>
        <v>50</v>
      </c>
      <c r="D27" s="6">
        <f t="shared" si="1"/>
        <v>94.8</v>
      </c>
      <c r="E27" s="6">
        <f t="shared" si="2"/>
        <v>82</v>
      </c>
      <c r="F27" s="6">
        <f t="shared" si="10"/>
        <v>0</v>
      </c>
      <c r="G27" s="6">
        <f t="shared" si="3"/>
        <v>143</v>
      </c>
      <c r="H27" s="20">
        <f t="shared" si="4"/>
        <v>50</v>
      </c>
      <c r="I27" s="20">
        <f t="shared" si="5"/>
        <v>82</v>
      </c>
      <c r="K27" s="5">
        <v>24</v>
      </c>
      <c r="L27" s="8">
        <f>IF('Inventario inicial'!J27&gt;50,50,'Inventario inicial'!J27)</f>
        <v>50</v>
      </c>
      <c r="M27" s="8">
        <f>IF('Inventario inicial'!J27&gt;100,100,'Inventario inicial'!J27)</f>
        <v>100</v>
      </c>
      <c r="N27" s="6">
        <f t="shared" si="6"/>
        <v>82</v>
      </c>
      <c r="O27" s="6">
        <f t="shared" si="11"/>
        <v>0</v>
      </c>
      <c r="P27" s="6">
        <f t="shared" si="7"/>
        <v>252</v>
      </c>
      <c r="Q27" s="20">
        <f t="shared" si="8"/>
        <v>50</v>
      </c>
      <c r="R27" s="20">
        <f t="shared" si="9"/>
        <v>82</v>
      </c>
    </row>
    <row r="28" spans="2:18" x14ac:dyDescent="0.25">
      <c r="B28" s="33">
        <v>25</v>
      </c>
      <c r="C28" s="6">
        <f t="shared" si="0"/>
        <v>50</v>
      </c>
      <c r="D28" s="6">
        <f t="shared" si="1"/>
        <v>98.399999999999991</v>
      </c>
      <c r="E28" s="6">
        <f t="shared" si="2"/>
        <v>85</v>
      </c>
      <c r="F28" s="6">
        <f t="shared" si="10"/>
        <v>0</v>
      </c>
      <c r="G28" s="6">
        <f t="shared" si="3"/>
        <v>156.39999999999998</v>
      </c>
      <c r="H28" s="20">
        <f t="shared" si="4"/>
        <v>50</v>
      </c>
      <c r="I28" s="20">
        <f t="shared" si="5"/>
        <v>85</v>
      </c>
      <c r="K28" s="5">
        <v>25</v>
      </c>
      <c r="L28" s="8">
        <f>IF('Inventario inicial'!J28&gt;50,50,'Inventario inicial'!J28)</f>
        <v>50</v>
      </c>
      <c r="M28" s="8">
        <f>IF('Inventario inicial'!J28&gt;100,100,'Inventario inicial'!J28)</f>
        <v>100</v>
      </c>
      <c r="N28" s="6">
        <f t="shared" si="6"/>
        <v>85</v>
      </c>
      <c r="O28" s="6">
        <f t="shared" si="11"/>
        <v>0</v>
      </c>
      <c r="P28" s="6">
        <f t="shared" si="7"/>
        <v>267</v>
      </c>
      <c r="Q28" s="20">
        <f t="shared" si="8"/>
        <v>50</v>
      </c>
      <c r="R28" s="20">
        <f t="shared" si="9"/>
        <v>85</v>
      </c>
    </row>
    <row r="29" spans="2:18" x14ac:dyDescent="0.25">
      <c r="B29" s="33">
        <v>26</v>
      </c>
      <c r="C29" s="6">
        <f t="shared" si="0"/>
        <v>50</v>
      </c>
      <c r="D29" s="6">
        <f t="shared" si="1"/>
        <v>100</v>
      </c>
      <c r="E29" s="6">
        <f t="shared" si="2"/>
        <v>88</v>
      </c>
      <c r="F29" s="6">
        <f t="shared" si="10"/>
        <v>0</v>
      </c>
      <c r="G29" s="6">
        <f t="shared" si="3"/>
        <v>168.39999999999998</v>
      </c>
      <c r="H29" s="20">
        <f t="shared" si="4"/>
        <v>50</v>
      </c>
      <c r="I29" s="20">
        <f t="shared" si="5"/>
        <v>88</v>
      </c>
      <c r="K29" s="5">
        <v>26</v>
      </c>
      <c r="L29" s="8">
        <f>IF('Inventario inicial'!J29&gt;50,50,'Inventario inicial'!J29)</f>
        <v>50</v>
      </c>
      <c r="M29" s="8">
        <f>IF('Inventario inicial'!J29&gt;100,100,'Inventario inicial'!J29)</f>
        <v>100</v>
      </c>
      <c r="N29" s="6">
        <f t="shared" si="6"/>
        <v>88</v>
      </c>
      <c r="O29" s="6">
        <f t="shared" si="11"/>
        <v>0</v>
      </c>
      <c r="P29" s="6">
        <f t="shared" si="7"/>
        <v>279</v>
      </c>
      <c r="Q29" s="20">
        <f t="shared" si="8"/>
        <v>50</v>
      </c>
      <c r="R29" s="20">
        <f t="shared" si="9"/>
        <v>88</v>
      </c>
    </row>
    <row r="30" spans="2:18" x14ac:dyDescent="0.25">
      <c r="B30" s="33">
        <v>27</v>
      </c>
      <c r="C30" s="6">
        <f t="shared" si="0"/>
        <v>50</v>
      </c>
      <c r="D30" s="6">
        <f t="shared" si="1"/>
        <v>100</v>
      </c>
      <c r="E30" s="6">
        <f t="shared" si="2"/>
        <v>91</v>
      </c>
      <c r="F30" s="6">
        <f t="shared" si="10"/>
        <v>0</v>
      </c>
      <c r="G30" s="6">
        <f t="shared" si="3"/>
        <v>177.39999999999998</v>
      </c>
      <c r="H30" s="20">
        <f t="shared" si="4"/>
        <v>50</v>
      </c>
      <c r="I30" s="20">
        <f t="shared" si="5"/>
        <v>91</v>
      </c>
      <c r="K30" s="5">
        <v>27</v>
      </c>
      <c r="L30" s="8">
        <f>IF('Inventario inicial'!J30&gt;50,50,'Inventario inicial'!J30)</f>
        <v>50</v>
      </c>
      <c r="M30" s="8">
        <f>IF('Inventario inicial'!J30&gt;100,100,'Inventario inicial'!J30)</f>
        <v>100</v>
      </c>
      <c r="N30" s="6">
        <f t="shared" si="6"/>
        <v>91</v>
      </c>
      <c r="O30" s="6">
        <f t="shared" si="11"/>
        <v>0</v>
      </c>
      <c r="P30" s="6">
        <f t="shared" si="7"/>
        <v>288</v>
      </c>
      <c r="Q30" s="20">
        <f t="shared" si="8"/>
        <v>50</v>
      </c>
      <c r="R30" s="20">
        <f t="shared" si="9"/>
        <v>91</v>
      </c>
    </row>
    <row r="31" spans="2:18" x14ac:dyDescent="0.25">
      <c r="B31" s="33">
        <v>28</v>
      </c>
      <c r="C31" s="6">
        <f t="shared" si="0"/>
        <v>50</v>
      </c>
      <c r="D31" s="6">
        <f t="shared" si="1"/>
        <v>100</v>
      </c>
      <c r="E31" s="6">
        <f t="shared" si="2"/>
        <v>94</v>
      </c>
      <c r="F31" s="6">
        <f t="shared" si="10"/>
        <v>0</v>
      </c>
      <c r="G31" s="6">
        <f t="shared" si="3"/>
        <v>183.39999999999998</v>
      </c>
      <c r="H31" s="20">
        <f t="shared" si="4"/>
        <v>50</v>
      </c>
      <c r="I31" s="20">
        <f t="shared" si="5"/>
        <v>94</v>
      </c>
      <c r="K31" s="5">
        <v>28</v>
      </c>
      <c r="L31" s="8">
        <f>IF('Inventario inicial'!J31&gt;50,50,'Inventario inicial'!J31)</f>
        <v>50</v>
      </c>
      <c r="M31" s="8">
        <f>IF('Inventario inicial'!J31&gt;100,100,'Inventario inicial'!J31)</f>
        <v>100</v>
      </c>
      <c r="N31" s="6">
        <f t="shared" si="6"/>
        <v>94</v>
      </c>
      <c r="O31" s="6">
        <f t="shared" si="11"/>
        <v>0</v>
      </c>
      <c r="P31" s="6">
        <f t="shared" si="7"/>
        <v>294</v>
      </c>
      <c r="Q31" s="20">
        <f t="shared" si="8"/>
        <v>50</v>
      </c>
      <c r="R31" s="20">
        <f t="shared" si="9"/>
        <v>94</v>
      </c>
    </row>
    <row r="32" spans="2:18" x14ac:dyDescent="0.25">
      <c r="B32" s="33">
        <v>29</v>
      </c>
      <c r="C32" s="6">
        <f t="shared" si="0"/>
        <v>50</v>
      </c>
      <c r="D32" s="6">
        <f t="shared" si="1"/>
        <v>100</v>
      </c>
      <c r="E32" s="6">
        <f t="shared" si="2"/>
        <v>97</v>
      </c>
      <c r="F32" s="6">
        <f t="shared" si="10"/>
        <v>0</v>
      </c>
      <c r="G32" s="6">
        <f t="shared" si="3"/>
        <v>186.39999999999998</v>
      </c>
      <c r="H32" s="20">
        <f t="shared" si="4"/>
        <v>50</v>
      </c>
      <c r="I32" s="20">
        <f t="shared" si="5"/>
        <v>97</v>
      </c>
      <c r="K32" s="5">
        <v>29</v>
      </c>
      <c r="L32" s="8">
        <f>IF('Inventario inicial'!J32&gt;50,50,'Inventario inicial'!J32)</f>
        <v>50</v>
      </c>
      <c r="M32" s="8">
        <f>IF('Inventario inicial'!J32&gt;100,100,'Inventario inicial'!J32)</f>
        <v>100</v>
      </c>
      <c r="N32" s="6">
        <f t="shared" si="6"/>
        <v>97</v>
      </c>
      <c r="O32" s="6">
        <f t="shared" si="11"/>
        <v>0</v>
      </c>
      <c r="P32" s="6">
        <f t="shared" si="7"/>
        <v>297</v>
      </c>
      <c r="Q32" s="20">
        <f t="shared" si="8"/>
        <v>50</v>
      </c>
      <c r="R32" s="20">
        <f t="shared" si="9"/>
        <v>97</v>
      </c>
    </row>
    <row r="33" spans="2:18" ht="15.75" thickBot="1" x14ac:dyDescent="0.3">
      <c r="B33" s="34">
        <v>30</v>
      </c>
      <c r="C33" s="35">
        <f t="shared" si="0"/>
        <v>50</v>
      </c>
      <c r="D33" s="35">
        <f t="shared" si="1"/>
        <v>100</v>
      </c>
      <c r="E33" s="35">
        <f t="shared" si="2"/>
        <v>100</v>
      </c>
      <c r="F33" s="35">
        <f t="shared" si="10"/>
        <v>0</v>
      </c>
      <c r="G33" s="35">
        <f t="shared" si="3"/>
        <v>186.39999999999998</v>
      </c>
      <c r="H33" s="20">
        <f>IF(E33&gt;C33,C33,E33)</f>
        <v>50</v>
      </c>
      <c r="I33" s="20">
        <f t="shared" si="5"/>
        <v>100</v>
      </c>
      <c r="K33" s="5">
        <v>30</v>
      </c>
      <c r="L33" s="8">
        <f>IF('Inventario inicial'!J33&gt;50,50,'Inventario inicial'!J33)</f>
        <v>50</v>
      </c>
      <c r="M33" s="8">
        <f>IF('Inventario inicial'!J33&gt;100,100,'Inventario inicial'!J33)</f>
        <v>100</v>
      </c>
      <c r="N33" s="6">
        <f t="shared" si="6"/>
        <v>100</v>
      </c>
      <c r="O33" s="6">
        <f t="shared" si="11"/>
        <v>0</v>
      </c>
      <c r="P33" s="6">
        <f t="shared" si="7"/>
        <v>297</v>
      </c>
      <c r="Q33" s="20">
        <f t="shared" si="8"/>
        <v>50</v>
      </c>
      <c r="R33" s="20">
        <f t="shared" si="9"/>
        <v>100</v>
      </c>
    </row>
    <row r="35" spans="2:18" x14ac:dyDescent="0.25">
      <c r="B35" t="s">
        <v>4</v>
      </c>
      <c r="C35" s="3">
        <v>150000</v>
      </c>
      <c r="D35" s="3"/>
      <c r="F35" s="4">
        <f>C35+SUM(F4:F33)*C36</f>
        <v>220139.99999999994</v>
      </c>
      <c r="G35" s="4">
        <f>C35+SUM(G4:G33)*C36</f>
        <v>910060.00000000012</v>
      </c>
      <c r="K35" t="s">
        <v>4</v>
      </c>
      <c r="L35" s="3">
        <v>150000</v>
      </c>
      <c r="M35" s="3"/>
      <c r="O35" s="4">
        <f>L35+SUM(O4:O33)*L36</f>
        <v>317300</v>
      </c>
      <c r="P35" s="4">
        <f>L35+SUM(P4:P33)*L36</f>
        <v>1669350</v>
      </c>
    </row>
    <row r="36" spans="2:18" x14ac:dyDescent="0.25">
      <c r="B36" t="s">
        <v>5</v>
      </c>
      <c r="C36" s="3">
        <v>350</v>
      </c>
      <c r="D36" s="3"/>
      <c r="K36" t="s">
        <v>5</v>
      </c>
      <c r="L36" s="3">
        <v>350</v>
      </c>
      <c r="M36" s="3"/>
    </row>
    <row r="38" spans="2:18" x14ac:dyDescent="0.25">
      <c r="E38" s="21" t="s">
        <v>26</v>
      </c>
      <c r="F38" s="21"/>
      <c r="N38" s="21" t="s">
        <v>26</v>
      </c>
      <c r="O38" s="21"/>
    </row>
    <row r="39" spans="2:18" x14ac:dyDescent="0.25">
      <c r="B39" t="s">
        <v>24</v>
      </c>
      <c r="C39" s="3">
        <v>20000</v>
      </c>
      <c r="E39" s="22">
        <f>SUM($H$4:$H$33)*$C$39-SUM($C$4:$C$33)*$C$40-F35</f>
        <v>5611860</v>
      </c>
      <c r="F39" s="22">
        <f>SUM($I$4:$I$33)*$C$39-SUM($D$4:$D$33)*$C$40-G35</f>
        <v>4761940</v>
      </c>
      <c r="K39" t="s">
        <v>24</v>
      </c>
      <c r="L39" s="3">
        <v>20000</v>
      </c>
      <c r="N39" s="22">
        <f>SUM($Q$4:$Q$33)*$C$39-SUM($L$4:$L$33)*$C$40-O35</f>
        <v>5122700</v>
      </c>
      <c r="O39" s="22">
        <f>SUM($R$4:$R$33)*$C$39-SUM($M$4:$M$33)*$C$40-P35</f>
        <v>2740650</v>
      </c>
    </row>
    <row r="40" spans="2:18" x14ac:dyDescent="0.25">
      <c r="B40" t="s">
        <v>25</v>
      </c>
      <c r="C40" s="3">
        <v>15000</v>
      </c>
      <c r="K40" t="s">
        <v>25</v>
      </c>
      <c r="L40" s="3">
        <v>15000</v>
      </c>
    </row>
    <row r="42" spans="2:18" x14ac:dyDescent="0.25">
      <c r="E42" t="s">
        <v>27</v>
      </c>
    </row>
    <row r="75" spans="12:14" x14ac:dyDescent="0.25">
      <c r="L75" s="4"/>
      <c r="M75" s="4"/>
      <c r="N75" s="4"/>
    </row>
  </sheetData>
  <mergeCells count="4">
    <mergeCell ref="B1:G1"/>
    <mergeCell ref="K1:P1"/>
    <mergeCell ref="E38:F38"/>
    <mergeCell ref="N38:O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8"/>
  <sheetViews>
    <sheetView tabSelected="1" workbookViewId="0">
      <selection activeCell="N16" sqref="N16:N18"/>
    </sheetView>
  </sheetViews>
  <sheetFormatPr baseColWidth="10" defaultRowHeight="15" x14ac:dyDescent="0.25"/>
  <cols>
    <col min="4" max="4" width="17.42578125" bestFit="1" customWidth="1"/>
    <col min="5" max="5" width="18.42578125" bestFit="1" customWidth="1"/>
    <col min="7" max="7" width="14.5703125" bestFit="1" customWidth="1"/>
    <col min="10" max="10" width="7" bestFit="1" customWidth="1"/>
    <col min="11" max="11" width="17.42578125" bestFit="1" customWidth="1"/>
    <col min="12" max="12" width="18.42578125" bestFit="1" customWidth="1"/>
  </cols>
  <sheetData>
    <row r="2" spans="3:14" x14ac:dyDescent="0.25">
      <c r="C2" s="21" t="s">
        <v>2</v>
      </c>
      <c r="D2" s="21"/>
      <c r="E2" s="21"/>
      <c r="J2" s="21" t="s">
        <v>2</v>
      </c>
      <c r="K2" s="21"/>
      <c r="L2" s="21"/>
    </row>
    <row r="3" spans="3:14" x14ac:dyDescent="0.25">
      <c r="C3" s="5"/>
      <c r="D3" s="5" t="s">
        <v>19</v>
      </c>
      <c r="E3" s="5" t="s">
        <v>18</v>
      </c>
      <c r="J3" s="5"/>
      <c r="K3" s="5" t="s">
        <v>19</v>
      </c>
      <c r="L3" s="5" t="s">
        <v>18</v>
      </c>
    </row>
    <row r="4" spans="3:14" x14ac:dyDescent="0.25">
      <c r="C4" s="5" t="s">
        <v>7</v>
      </c>
      <c r="D4" s="37">
        <f>('Inventario inicial'!E39-Conclusiones!$K$6)/Conclusiones!$K$6</f>
        <v>-7.6591437696534356E-2</v>
      </c>
      <c r="E4" s="37">
        <f>('Inventario inicial'!F39-Conclusiones!$L$6)/Conclusiones!$L$6</f>
        <v>-4.7463674297197729E-2</v>
      </c>
      <c r="J4" s="5" t="s">
        <v>7</v>
      </c>
      <c r="K4" s="22">
        <v>4064240</v>
      </c>
      <c r="L4" s="22">
        <v>3763800.0000000005</v>
      </c>
      <c r="N4" s="46">
        <f>(K4-L4)/K4</f>
        <v>7.3922799834655314E-2</v>
      </c>
    </row>
    <row r="5" spans="3:14" x14ac:dyDescent="0.25">
      <c r="C5" s="5" t="s">
        <v>8</v>
      </c>
      <c r="D5" s="37">
        <f>('Inventario inicial'!L39-Conclusiones!$K$6)/Conclusiones!$K$6</f>
        <v>-0.6462218096463973</v>
      </c>
      <c r="E5" s="37">
        <f>('Inventario inicial'!M39-Conclusiones!$L$6)/Conclusiones!$L$6</f>
        <v>-0.68830869367778014</v>
      </c>
      <c r="J5" s="5" t="s">
        <v>8</v>
      </c>
      <c r="K5" s="22">
        <v>1557100</v>
      </c>
      <c r="L5" s="22">
        <v>1231600</v>
      </c>
      <c r="N5" s="46">
        <f t="shared" ref="N5:N6" si="0">(K5-L5)/K5</f>
        <v>0.20904245070965255</v>
      </c>
    </row>
    <row r="6" spans="3:14" x14ac:dyDescent="0.25">
      <c r="C6" s="2"/>
      <c r="D6" s="2"/>
      <c r="E6" s="2"/>
      <c r="J6" s="5" t="s">
        <v>27</v>
      </c>
      <c r="K6" s="38">
        <f>'Inventario inicial'!F42</f>
        <v>4401345.369661347</v>
      </c>
      <c r="L6" s="38">
        <f>'Inventario inicial'!T16</f>
        <v>3951345.369661347</v>
      </c>
      <c r="N6" s="46">
        <f t="shared" si="0"/>
        <v>0.10224146532600425</v>
      </c>
    </row>
    <row r="7" spans="3:14" x14ac:dyDescent="0.25">
      <c r="C7" s="21" t="s">
        <v>20</v>
      </c>
      <c r="D7" s="21"/>
      <c r="E7" s="21"/>
    </row>
    <row r="8" spans="3:14" x14ac:dyDescent="0.25">
      <c r="C8" s="5"/>
      <c r="D8" s="5">
        <v>100</v>
      </c>
      <c r="E8" s="5">
        <v>200</v>
      </c>
      <c r="J8" s="21" t="s">
        <v>20</v>
      </c>
      <c r="K8" s="21"/>
      <c r="L8" s="21"/>
    </row>
    <row r="9" spans="3:14" x14ac:dyDescent="0.25">
      <c r="C9" s="5" t="s">
        <v>7</v>
      </c>
      <c r="D9" s="37">
        <f>('Capacidad de la bodega'!E39-Conclusiones!$K$12)/Conclusiones!$K$12</f>
        <v>-5.3078257182671944E-3</v>
      </c>
      <c r="E9" s="37">
        <f>('Capacidad de la bodega'!F39-Conclusiones!$L$12)/Conclusiones!$L$12</f>
        <v>0.33434101592648646</v>
      </c>
      <c r="J9" s="5"/>
      <c r="K9" s="5">
        <v>100</v>
      </c>
      <c r="L9" s="5">
        <v>200</v>
      </c>
    </row>
    <row r="10" spans="3:14" x14ac:dyDescent="0.25">
      <c r="C10" s="5" t="s">
        <v>8</v>
      </c>
      <c r="D10" s="37">
        <f>('Capacidad de la bodega'!L39-Conclusiones!$K$12)/Conclusiones!$K$12</f>
        <v>-0.50218372859870242</v>
      </c>
      <c r="E10" s="37">
        <f>('Capacidad de la bodega'!M39-Conclusiones!$L$12)/Conclusiones!$L$12</f>
        <v>-0.42038075875632713</v>
      </c>
      <c r="J10" s="5" t="s">
        <v>7</v>
      </c>
      <c r="K10" s="22">
        <v>4294540</v>
      </c>
      <c r="L10" s="22">
        <v>4084960</v>
      </c>
      <c r="N10" s="46">
        <f>(K10-L10)/K10</f>
        <v>4.8801501441365081E-2</v>
      </c>
    </row>
    <row r="11" spans="3:14" x14ac:dyDescent="0.25">
      <c r="C11" s="2"/>
      <c r="D11" s="2"/>
      <c r="E11" s="2"/>
      <c r="J11" s="5" t="s">
        <v>8</v>
      </c>
      <c r="K11" s="22">
        <v>2149300</v>
      </c>
      <c r="L11" s="22">
        <v>1774450</v>
      </c>
      <c r="N11" s="46">
        <f t="shared" ref="N11:N12" si="1">(K11-L11)/K11</f>
        <v>0.17440562043456009</v>
      </c>
    </row>
    <row r="12" spans="3:14" x14ac:dyDescent="0.25">
      <c r="C12" s="21" t="s">
        <v>21</v>
      </c>
      <c r="D12" s="21"/>
      <c r="E12" s="21"/>
      <c r="J12" s="20" t="s">
        <v>27</v>
      </c>
      <c r="K12" s="42">
        <f>'Inventario inicial'!Q33</f>
        <v>4317456.3056164458</v>
      </c>
      <c r="L12" s="22">
        <f>'Inventario inicial'!T33</f>
        <v>3061406.3056164458</v>
      </c>
      <c r="N12" s="46">
        <f t="shared" si="1"/>
        <v>0.29092361591848498</v>
      </c>
    </row>
    <row r="13" spans="3:14" x14ac:dyDescent="0.25">
      <c r="C13" s="5"/>
      <c r="D13" s="5" t="s">
        <v>22</v>
      </c>
      <c r="E13" s="5" t="s">
        <v>23</v>
      </c>
    </row>
    <row r="14" spans="3:14" x14ac:dyDescent="0.25">
      <c r="C14" s="5" t="s">
        <v>7</v>
      </c>
      <c r="D14" s="37">
        <f>(K16-Conclusiones!$K$18)/Conclusiones!$K$18</f>
        <v>7.4040191387559809E-2</v>
      </c>
      <c r="E14" s="37">
        <f>(L16-Conclusiones!$L$18)/Conclusiones!$L$18</f>
        <v>0.10421797101449275</v>
      </c>
      <c r="J14" s="43" t="s">
        <v>21</v>
      </c>
      <c r="K14" s="44"/>
      <c r="L14" s="45"/>
    </row>
    <row r="15" spans="3:14" x14ac:dyDescent="0.25">
      <c r="C15" s="5" t="s">
        <v>8</v>
      </c>
      <c r="D15" s="37">
        <f>(K17-Conclusiones!$K$18)/Conclusiones!$K$18</f>
        <v>-1.9578947368421053E-2</v>
      </c>
      <c r="E15" s="37">
        <f>(L17-Conclusiones!$L$18)/Conclusiones!$L$18</f>
        <v>-0.36448695652173912</v>
      </c>
      <c r="J15" s="5"/>
      <c r="K15" s="5" t="s">
        <v>22</v>
      </c>
      <c r="L15" s="5" t="s">
        <v>23</v>
      </c>
    </row>
    <row r="16" spans="3:14" x14ac:dyDescent="0.25">
      <c r="J16" s="5" t="s">
        <v>7</v>
      </c>
      <c r="K16" s="22">
        <v>5611860</v>
      </c>
      <c r="L16" s="22">
        <v>4761940</v>
      </c>
      <c r="N16" s="46">
        <f>(K16-L16)/K16</f>
        <v>0.15145067767193052</v>
      </c>
    </row>
    <row r="17" spans="10:14" x14ac:dyDescent="0.25">
      <c r="J17" s="5" t="s">
        <v>8</v>
      </c>
      <c r="K17" s="22">
        <v>5122700</v>
      </c>
      <c r="L17" s="22">
        <v>2740650</v>
      </c>
      <c r="N17" s="46">
        <f t="shared" ref="N17:N18" si="2">(K17-L17)/K17</f>
        <v>0.46499892634743395</v>
      </c>
    </row>
    <row r="18" spans="10:14" x14ac:dyDescent="0.25">
      <c r="J18" s="20" t="s">
        <v>27</v>
      </c>
      <c r="K18" s="42">
        <v>5225000</v>
      </c>
      <c r="L18" s="22">
        <f>'Inventario inicial'!T49</f>
        <v>4312500</v>
      </c>
      <c r="N18" s="46">
        <f t="shared" si="2"/>
        <v>0.17464114832535885</v>
      </c>
    </row>
  </sheetData>
  <mergeCells count="6">
    <mergeCell ref="J14:L14"/>
    <mergeCell ref="C2:E2"/>
    <mergeCell ref="C7:E7"/>
    <mergeCell ref="C12:E12"/>
    <mergeCell ref="J2:L2"/>
    <mergeCell ref="J8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Inventario inicial</vt:lpstr>
      <vt:lpstr>Capacidad de la bodega</vt:lpstr>
      <vt:lpstr>Analisis del comportamiento</vt:lpstr>
      <vt:lpstr>Conclusiones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Aulas Ingeniería</dc:creator>
  <cp:lastModifiedBy>Aulas Ingeniería</cp:lastModifiedBy>
  <dcterms:created xsi:type="dcterms:W3CDTF">2020-11-23T20:26:25Z</dcterms:created>
  <dcterms:modified xsi:type="dcterms:W3CDTF">2020-11-24T18:58:55Z</dcterms:modified>
</cp:coreProperties>
</file>