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ril Valenzuela\Documents\"/>
    </mc:Choice>
  </mc:AlternateContent>
  <bookViews>
    <workbookView xWindow="0" yWindow="0" windowWidth="23040" windowHeight="8496" tabRatio="656" activeTab="1"/>
  </bookViews>
  <sheets>
    <sheet name="Presentacion" sheetId="1" r:id="rId1"/>
    <sheet name="Inversion" sheetId="2" r:id="rId2"/>
    <sheet name="Depreciaciones " sheetId="3" r:id="rId3"/>
    <sheet name="Costos " sheetId="4" r:id="rId4"/>
    <sheet name="Ingresos" sheetId="5" r:id="rId5"/>
    <sheet name="Gastos " sheetId="6" r:id="rId6"/>
    <sheet name="Estructura de capital" sheetId="7" r:id="rId7"/>
    <sheet name="Tabla de amortizacion " sheetId="8" r:id="rId8"/>
    <sheet name="Punto de equilibrio " sheetId="9" r:id="rId9"/>
    <sheet name="Estado de resultados " sheetId="10" r:id="rId10"/>
    <sheet name="Flujo de efectivo" sheetId="12" r:id="rId11"/>
    <sheet name="Balance general " sheetId="13" r:id="rId12"/>
    <sheet name="Indicadores financieros" sheetId="14"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9" l="1"/>
  <c r="B7" i="14"/>
  <c r="C16" i="13"/>
  <c r="D16" i="13"/>
  <c r="E16" i="13"/>
  <c r="F16" i="13"/>
  <c r="B16" i="13"/>
  <c r="C15" i="13"/>
  <c r="D15" i="13"/>
  <c r="E15" i="13"/>
  <c r="F15" i="13"/>
  <c r="B15" i="13"/>
  <c r="C14" i="13"/>
  <c r="D14" i="13"/>
  <c r="E14" i="13"/>
  <c r="F14" i="13"/>
  <c r="B14" i="13"/>
  <c r="C13" i="13"/>
  <c r="D13" i="13"/>
  <c r="E13" i="13"/>
  <c r="F13" i="13"/>
  <c r="B13" i="13"/>
  <c r="C11" i="13"/>
  <c r="D11" i="13"/>
  <c r="E11" i="13"/>
  <c r="F11" i="13"/>
  <c r="B11" i="13"/>
  <c r="E15" i="10" l="1"/>
  <c r="F59" i="8"/>
  <c r="F47" i="8"/>
  <c r="F35" i="8"/>
  <c r="F23" i="8"/>
  <c r="E24" i="8"/>
  <c r="E25" i="8" s="1"/>
  <c r="D24" i="8"/>
  <c r="B24" i="8" s="1"/>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C24" i="8"/>
  <c r="C25" i="8"/>
  <c r="B25" i="8" s="1"/>
  <c r="C23" i="8"/>
  <c r="C26" i="8" l="1"/>
  <c r="B26" i="8" s="1"/>
  <c r="E26" i="8" s="1"/>
  <c r="D14" i="4"/>
  <c r="C27" i="8" l="1"/>
  <c r="B27" i="8" s="1"/>
  <c r="E27" i="8" s="1"/>
  <c r="I7" i="3"/>
  <c r="C28" i="8" l="1"/>
  <c r="B28" i="8" s="1"/>
  <c r="E28" i="8" s="1"/>
  <c r="J11" i="3"/>
  <c r="I11" i="3"/>
  <c r="C29" i="8" l="1"/>
  <c r="B29" i="8" s="1"/>
  <c r="E29" i="8" s="1"/>
  <c r="N16" i="3"/>
  <c r="H29" i="2"/>
  <c r="C30" i="8" l="1"/>
  <c r="B30" i="8" s="1"/>
  <c r="E30" i="8" s="1"/>
  <c r="D12" i="4"/>
  <c r="E31" i="8" l="1"/>
  <c r="C31" i="8"/>
  <c r="B31" i="8" s="1"/>
  <c r="C18" i="7"/>
  <c r="B32" i="6"/>
  <c r="I32" i="6" s="1"/>
  <c r="B31" i="6"/>
  <c r="G31" i="6" s="1"/>
  <c r="B29" i="6"/>
  <c r="I29" i="6" s="1"/>
  <c r="B30" i="6"/>
  <c r="I30" i="6" s="1"/>
  <c r="B34" i="4"/>
  <c r="E32" i="8" l="1"/>
  <c r="C32" i="8"/>
  <c r="B32" i="8" s="1"/>
  <c r="C32" i="6"/>
  <c r="C31" i="6"/>
  <c r="E32" i="6"/>
  <c r="F32" i="6" s="1"/>
  <c r="H31" i="6"/>
  <c r="C29" i="6"/>
  <c r="H29" i="6"/>
  <c r="E30" i="6"/>
  <c r="F30" i="6" s="1"/>
  <c r="G30" i="6"/>
  <c r="E29" i="6"/>
  <c r="F29" i="6" s="1"/>
  <c r="G29" i="6"/>
  <c r="H32" i="6"/>
  <c r="E31" i="6"/>
  <c r="F31" i="6" s="1"/>
  <c r="G32" i="6"/>
  <c r="I31" i="6"/>
  <c r="C30" i="6"/>
  <c r="H30" i="6"/>
  <c r="E33" i="8" l="1"/>
  <c r="C33" i="8"/>
  <c r="B33" i="8" s="1"/>
  <c r="B4" i="5"/>
  <c r="B30" i="4"/>
  <c r="E34" i="8" l="1"/>
  <c r="C34" i="8"/>
  <c r="B34" i="8" s="1"/>
  <c r="D25" i="4"/>
  <c r="E21" i="4"/>
  <c r="F21" i="4" s="1"/>
  <c r="G21" i="4" s="1"/>
  <c r="E22" i="4"/>
  <c r="F22" i="4" s="1"/>
  <c r="G22" i="4" s="1"/>
  <c r="E23" i="4"/>
  <c r="F23" i="4" s="1"/>
  <c r="G23" i="4" s="1"/>
  <c r="E24" i="4"/>
  <c r="F24" i="4" s="1"/>
  <c r="G24" i="4" s="1"/>
  <c r="C35" i="8" l="1"/>
  <c r="B35" i="8" s="1"/>
  <c r="E35" i="8" s="1"/>
  <c r="E20" i="4"/>
  <c r="B6" i="6"/>
  <c r="E36" i="8" l="1"/>
  <c r="C36" i="8"/>
  <c r="B36" i="8" s="1"/>
  <c r="F20" i="4"/>
  <c r="E25" i="4"/>
  <c r="B40" i="4" s="1"/>
  <c r="A46" i="4"/>
  <c r="M23" i="3"/>
  <c r="N23" i="3"/>
  <c r="G25" i="3"/>
  <c r="I25" i="3" s="1"/>
  <c r="L25" i="3" s="1"/>
  <c r="G24" i="3"/>
  <c r="I24" i="3" s="1"/>
  <c r="G21" i="3"/>
  <c r="I21" i="3" s="1"/>
  <c r="I20" i="3" s="1"/>
  <c r="G22" i="3"/>
  <c r="I22" i="3" s="1"/>
  <c r="J22" i="3" s="1"/>
  <c r="G18" i="3"/>
  <c r="I18" i="3" s="1"/>
  <c r="J18" i="3" s="1"/>
  <c r="G11" i="3"/>
  <c r="G8" i="3"/>
  <c r="I8" i="3" s="1"/>
  <c r="G9" i="3"/>
  <c r="I9" i="3" s="1"/>
  <c r="C37" i="8" l="1"/>
  <c r="B37" i="8" s="1"/>
  <c r="E37" i="8" s="1"/>
  <c r="I6" i="3"/>
  <c r="I10" i="3"/>
  <c r="J10" i="3"/>
  <c r="I23" i="3"/>
  <c r="M21" i="3"/>
  <c r="M20" i="3" s="1"/>
  <c r="K21" i="3"/>
  <c r="L21" i="3"/>
  <c r="G20" i="4"/>
  <c r="G25" i="4" s="1"/>
  <c r="F25" i="4"/>
  <c r="C40" i="4" s="1"/>
  <c r="N22" i="3"/>
  <c r="J21" i="3"/>
  <c r="J20" i="3" s="1"/>
  <c r="M22" i="3"/>
  <c r="L22" i="3"/>
  <c r="K22" i="3"/>
  <c r="N21" i="3"/>
  <c r="K24" i="3"/>
  <c r="L24" i="3"/>
  <c r="L23" i="3" s="1"/>
  <c r="J24" i="3"/>
  <c r="J25" i="3"/>
  <c r="K25" i="3"/>
  <c r="K9" i="3"/>
  <c r="M9" i="3"/>
  <c r="L9" i="3"/>
  <c r="J9" i="3"/>
  <c r="N9" i="3"/>
  <c r="H18" i="2"/>
  <c r="H19" i="2"/>
  <c r="H17" i="2"/>
  <c r="H16" i="2"/>
  <c r="H15" i="2"/>
  <c r="C38" i="8" l="1"/>
  <c r="B38" i="8" s="1"/>
  <c r="E38" i="8" s="1"/>
  <c r="N20" i="3"/>
  <c r="L20" i="3"/>
  <c r="K20" i="3"/>
  <c r="K23" i="3"/>
  <c r="J23" i="3"/>
  <c r="H7" i="2"/>
  <c r="H8" i="2"/>
  <c r="H9" i="2"/>
  <c r="H10" i="2"/>
  <c r="H11" i="2"/>
  <c r="H12" i="2"/>
  <c r="H13" i="2"/>
  <c r="H27" i="2"/>
  <c r="H26" i="2"/>
  <c r="H14" i="2"/>
  <c r="C30" i="4"/>
  <c r="D30" i="4" s="1"/>
  <c r="H32" i="2"/>
  <c r="H31" i="2"/>
  <c r="H30" i="2"/>
  <c r="H28" i="2"/>
  <c r="H5" i="2"/>
  <c r="C39" i="8" l="1"/>
  <c r="B39" i="8" s="1"/>
  <c r="E39" i="8"/>
  <c r="H4" i="2"/>
  <c r="F12" i="4"/>
  <c r="G12" i="4" s="1"/>
  <c r="H12" i="4" s="1"/>
  <c r="I12" i="4" s="1"/>
  <c r="C15" i="4"/>
  <c r="D9" i="4"/>
  <c r="F9" i="4" s="1"/>
  <c r="G9" i="4" s="1"/>
  <c r="H9" i="4" s="1"/>
  <c r="I9" i="4" s="1"/>
  <c r="D7" i="4"/>
  <c r="F7" i="4" s="1"/>
  <c r="D8" i="4"/>
  <c r="F8" i="4" s="1"/>
  <c r="G8" i="4" s="1"/>
  <c r="H8" i="4" s="1"/>
  <c r="I8" i="4" s="1"/>
  <c r="D10" i="4"/>
  <c r="F10" i="4" s="1"/>
  <c r="D11" i="4"/>
  <c r="F11" i="4" s="1"/>
  <c r="G11" i="4" s="1"/>
  <c r="H11" i="4" s="1"/>
  <c r="I11" i="4" s="1"/>
  <c r="F14" i="4"/>
  <c r="G14" i="4" s="1"/>
  <c r="H14" i="4" s="1"/>
  <c r="I14" i="4" s="1"/>
  <c r="D4" i="4"/>
  <c r="F4" i="4" s="1"/>
  <c r="E40" i="8" l="1"/>
  <c r="C40" i="8"/>
  <c r="B40" i="8" s="1"/>
  <c r="G4" i="4"/>
  <c r="H4" i="4" s="1"/>
  <c r="I4" i="4" s="1"/>
  <c r="G10" i="4"/>
  <c r="H10" i="4" s="1"/>
  <c r="I10" i="4" s="1"/>
  <c r="G7" i="4"/>
  <c r="E41" i="8" l="1"/>
  <c r="C41" i="8"/>
  <c r="B41" i="8" s="1"/>
  <c r="H7" i="4"/>
  <c r="C8" i="13"/>
  <c r="B5" i="6"/>
  <c r="D6" i="4"/>
  <c r="E42" i="8" l="1"/>
  <c r="C42" i="8"/>
  <c r="B42" i="8" s="1"/>
  <c r="I7" i="4"/>
  <c r="D8" i="13"/>
  <c r="E8" i="13"/>
  <c r="F8" i="13"/>
  <c r="B8" i="13"/>
  <c r="E43" i="8" l="1"/>
  <c r="C43" i="8"/>
  <c r="B43" i="8" s="1"/>
  <c r="B10" i="12"/>
  <c r="B6" i="12"/>
  <c r="C4" i="8"/>
  <c r="E44" i="8" l="1"/>
  <c r="C44" i="8"/>
  <c r="B44" i="8" s="1"/>
  <c r="C65" i="8"/>
  <c r="H70" i="8" s="1"/>
  <c r="H71" i="8"/>
  <c r="H13" i="8"/>
  <c r="H11" i="8"/>
  <c r="E11" i="8" s="1"/>
  <c r="C45" i="8" l="1"/>
  <c r="B45" i="8" s="1"/>
  <c r="E45" i="8" s="1"/>
  <c r="B32" i="13"/>
  <c r="E32" i="13"/>
  <c r="F32" i="13"/>
  <c r="D32" i="13"/>
  <c r="C32" i="13"/>
  <c r="C7" i="8"/>
  <c r="H12" i="8" s="1"/>
  <c r="H14" i="8" s="1"/>
  <c r="C8" i="8" s="1"/>
  <c r="C46" i="8" l="1"/>
  <c r="B46" i="8" s="1"/>
  <c r="E46" i="8" s="1"/>
  <c r="C12" i="8"/>
  <c r="B28" i="6"/>
  <c r="E28" i="6" s="1"/>
  <c r="C4" i="6"/>
  <c r="D4" i="6" s="1"/>
  <c r="C5" i="6"/>
  <c r="C6" i="6"/>
  <c r="D6" i="6" s="1"/>
  <c r="F6" i="4"/>
  <c r="G6" i="4" s="1"/>
  <c r="H6" i="4" s="1"/>
  <c r="I6" i="4" s="1"/>
  <c r="E47" i="8" l="1"/>
  <c r="C47" i="8"/>
  <c r="B47" i="8" s="1"/>
  <c r="F28" i="6"/>
  <c r="F33" i="6" s="1"/>
  <c r="C28" i="6"/>
  <c r="C33" i="6" s="1"/>
  <c r="D14" i="6" s="1"/>
  <c r="B14" i="6" s="1"/>
  <c r="G28" i="6"/>
  <c r="G33" i="6" s="1"/>
  <c r="D5" i="6"/>
  <c r="D13" i="8"/>
  <c r="D18" i="8"/>
  <c r="D12" i="8"/>
  <c r="B12" i="8" s="1"/>
  <c r="E12" i="8" s="1"/>
  <c r="C13" i="8" s="1"/>
  <c r="D22" i="8"/>
  <c r="D16" i="8"/>
  <c r="D23" i="8"/>
  <c r="D15" i="8"/>
  <c r="D19" i="8"/>
  <c r="D17" i="8"/>
  <c r="D14" i="8"/>
  <c r="D21" i="8"/>
  <c r="D20" i="8"/>
  <c r="I28" i="6"/>
  <c r="I33" i="6" s="1"/>
  <c r="H28" i="6"/>
  <c r="H33" i="6" s="1"/>
  <c r="D5" i="4"/>
  <c r="C48" i="8" l="1"/>
  <c r="B48" i="8" s="1"/>
  <c r="E48" i="8" s="1"/>
  <c r="F5" i="4"/>
  <c r="G5" i="4" s="1"/>
  <c r="D15" i="4"/>
  <c r="B13" i="8"/>
  <c r="E13" i="8" s="1"/>
  <c r="C14" i="8" s="1"/>
  <c r="B14" i="8" s="1"/>
  <c r="E14" i="8" s="1"/>
  <c r="C15" i="8" s="1"/>
  <c r="B15" i="8" s="1"/>
  <c r="E15" i="8" s="1"/>
  <c r="C16" i="8" s="1"/>
  <c r="B16" i="8" s="1"/>
  <c r="E16" i="8" s="1"/>
  <c r="C17" i="8" s="1"/>
  <c r="B17" i="8" s="1"/>
  <c r="E17" i="8" s="1"/>
  <c r="C18" i="8" s="1"/>
  <c r="B19" i="6"/>
  <c r="E49" i="8" l="1"/>
  <c r="C49" i="8"/>
  <c r="B49" i="8" s="1"/>
  <c r="F15" i="4"/>
  <c r="C19" i="6"/>
  <c r="D19" i="6" s="1"/>
  <c r="C14" i="6"/>
  <c r="D15" i="6"/>
  <c r="B20" i="6"/>
  <c r="C20" i="6" s="1"/>
  <c r="D20" i="6" s="1"/>
  <c r="B21" i="6"/>
  <c r="C21" i="6" s="1"/>
  <c r="D21" i="6" s="1"/>
  <c r="B18" i="8"/>
  <c r="E18" i="8" s="1"/>
  <c r="C19" i="8" s="1"/>
  <c r="C50" i="8" l="1"/>
  <c r="B50" i="8" s="1"/>
  <c r="E50" i="8" s="1"/>
  <c r="B19" i="8"/>
  <c r="E19" i="8" s="1"/>
  <c r="C20" i="8" s="1"/>
  <c r="B20" i="8" s="1"/>
  <c r="E20" i="8" s="1"/>
  <c r="C21" i="8" s="1"/>
  <c r="B21" i="8" s="1"/>
  <c r="E21" i="8" s="1"/>
  <c r="C22" i="8" s="1"/>
  <c r="B22" i="8" s="1"/>
  <c r="E22" i="8" s="1"/>
  <c r="B23" i="8" s="1"/>
  <c r="E23" i="8" s="1"/>
  <c r="H5" i="4"/>
  <c r="G15" i="4"/>
  <c r="B39" i="4" s="1"/>
  <c r="D22" i="6"/>
  <c r="B13" i="10" s="1"/>
  <c r="B15" i="6"/>
  <c r="B22" i="6" s="1"/>
  <c r="E51" i="8" l="1"/>
  <c r="C51" i="8"/>
  <c r="B51" i="8" s="1"/>
  <c r="I5" i="4"/>
  <c r="I15" i="4" s="1"/>
  <c r="H15" i="4"/>
  <c r="C39" i="4" s="1"/>
  <c r="C13" i="10"/>
  <c r="D13" i="10" s="1"/>
  <c r="E13" i="10" s="1"/>
  <c r="F13" i="10" s="1"/>
  <c r="C8" i="9"/>
  <c r="C15" i="6"/>
  <c r="C22" i="6" s="1"/>
  <c r="C29" i="4"/>
  <c r="D29" i="4" s="1"/>
  <c r="C14" i="9" s="1"/>
  <c r="E52" i="8" l="1"/>
  <c r="C52" i="8"/>
  <c r="B52" i="8" s="1"/>
  <c r="C31" i="4"/>
  <c r="D31" i="4" s="1"/>
  <c r="C34" i="4"/>
  <c r="D34" i="4" s="1"/>
  <c r="E53" i="8" l="1"/>
  <c r="C53" i="8"/>
  <c r="B53" i="8" s="1"/>
  <c r="G17" i="3"/>
  <c r="I17" i="3" s="1"/>
  <c r="J17" i="3" s="1"/>
  <c r="E54" i="8" l="1"/>
  <c r="C54" i="8"/>
  <c r="B54" i="8" s="1"/>
  <c r="J16" i="3"/>
  <c r="I16" i="3"/>
  <c r="K17" i="3"/>
  <c r="B7" i="10"/>
  <c r="L17" i="3"/>
  <c r="K18" i="3"/>
  <c r="G15" i="3"/>
  <c r="I15" i="3" s="1"/>
  <c r="G14" i="3"/>
  <c r="K11" i="3"/>
  <c r="K10" i="3" s="1"/>
  <c r="G7" i="3"/>
  <c r="C55" i="8" l="1"/>
  <c r="B55" i="8" s="1"/>
  <c r="E55" i="8" s="1"/>
  <c r="K16" i="3"/>
  <c r="I14" i="3"/>
  <c r="L14" i="3" s="1"/>
  <c r="B8" i="6"/>
  <c r="C8" i="6" s="1"/>
  <c r="D8" i="6" s="1"/>
  <c r="D40" i="4"/>
  <c r="K7" i="3"/>
  <c r="L7" i="3"/>
  <c r="J7" i="3"/>
  <c r="J8" i="3"/>
  <c r="K8" i="3"/>
  <c r="M15" i="3"/>
  <c r="K15" i="3"/>
  <c r="L18" i="3"/>
  <c r="L16" i="3" s="1"/>
  <c r="L11" i="3"/>
  <c r="L10" i="3" s="1"/>
  <c r="M11" i="3"/>
  <c r="M10" i="3" s="1"/>
  <c r="N11" i="3"/>
  <c r="N10" i="3" s="1"/>
  <c r="N7" i="3"/>
  <c r="M7" i="3"/>
  <c r="J15" i="3"/>
  <c r="N8" i="3"/>
  <c r="N15" i="3"/>
  <c r="L15" i="3"/>
  <c r="L8" i="3"/>
  <c r="M8" i="3"/>
  <c r="H24" i="2"/>
  <c r="H22" i="2"/>
  <c r="E56" i="8" l="1"/>
  <c r="C56" i="8"/>
  <c r="B56" i="8" s="1"/>
  <c r="J6" i="3"/>
  <c r="B33" i="4" s="1"/>
  <c r="C33" i="4" s="1"/>
  <c r="K6" i="3"/>
  <c r="L6" i="3"/>
  <c r="D12" i="13" s="1"/>
  <c r="M6" i="3"/>
  <c r="E12" i="13" s="1"/>
  <c r="N6" i="3"/>
  <c r="F12" i="13" s="1"/>
  <c r="M14" i="3"/>
  <c r="M13" i="3" s="1"/>
  <c r="L13" i="3"/>
  <c r="L26" i="3" s="1"/>
  <c r="J14" i="3"/>
  <c r="J13" i="3" s="1"/>
  <c r="I13" i="3"/>
  <c r="K14" i="3"/>
  <c r="K13" i="3" s="1"/>
  <c r="N14" i="3"/>
  <c r="N13" i="3" s="1"/>
  <c r="B32" i="4"/>
  <c r="C32" i="4" s="1"/>
  <c r="C5" i="9"/>
  <c r="C7" i="10"/>
  <c r="D7" i="10" s="1"/>
  <c r="E7" i="10" s="1"/>
  <c r="F7" i="10" s="1"/>
  <c r="D39" i="4"/>
  <c r="B6" i="10"/>
  <c r="C6" i="10" s="1"/>
  <c r="D6" i="10" s="1"/>
  <c r="E6" i="10" s="1"/>
  <c r="F6" i="10" s="1"/>
  <c r="H20" i="2"/>
  <c r="H21" i="2"/>
  <c r="H23" i="2"/>
  <c r="H25" i="2"/>
  <c r="F20" i="13" s="1"/>
  <c r="F21" i="13" s="1"/>
  <c r="C57" i="8" l="1"/>
  <c r="B57" i="8" s="1"/>
  <c r="E57" i="8" s="1"/>
  <c r="N26" i="3"/>
  <c r="F18" i="12" s="1"/>
  <c r="M26" i="3"/>
  <c r="E18" i="12" s="1"/>
  <c r="K26" i="3"/>
  <c r="C18" i="12" s="1"/>
  <c r="J26" i="3"/>
  <c r="B18" i="12" s="1"/>
  <c r="B12" i="13"/>
  <c r="D33" i="4"/>
  <c r="B7" i="6"/>
  <c r="C7" i="6" s="1"/>
  <c r="C9" i="6" s="1"/>
  <c r="C24" i="6" s="1"/>
  <c r="D18" i="12"/>
  <c r="C13" i="9"/>
  <c r="C15" i="9" s="1"/>
  <c r="C22" i="9" s="1"/>
  <c r="B20" i="13"/>
  <c r="B21" i="13" s="1"/>
  <c r="C12" i="13"/>
  <c r="E20" i="13"/>
  <c r="E21" i="13" s="1"/>
  <c r="C20" i="13"/>
  <c r="C21" i="13" s="1"/>
  <c r="B12" i="12"/>
  <c r="D20" i="13"/>
  <c r="D21" i="13" s="1"/>
  <c r="H6" i="2"/>
  <c r="H35" i="2" s="1"/>
  <c r="E58" i="8" l="1"/>
  <c r="C58" i="8"/>
  <c r="B58" i="8" s="1"/>
  <c r="B9" i="6"/>
  <c r="B24" i="6" s="1"/>
  <c r="D7" i="6"/>
  <c r="D9" i="6" s="1"/>
  <c r="D24" i="6" s="1"/>
  <c r="B11" i="12"/>
  <c r="B35" i="4"/>
  <c r="B41" i="4" s="1"/>
  <c r="B42" i="4" s="1"/>
  <c r="D17" i="13"/>
  <c r="D22" i="13" s="1"/>
  <c r="B17" i="13"/>
  <c r="B22" i="13" s="1"/>
  <c r="C17" i="13"/>
  <c r="C22" i="13" s="1"/>
  <c r="F17" i="13"/>
  <c r="F22" i="13" s="1"/>
  <c r="E17" i="13"/>
  <c r="E22" i="13" s="1"/>
  <c r="D32" i="4"/>
  <c r="C6" i="9" s="1"/>
  <c r="C35" i="4"/>
  <c r="C41" i="4" s="1"/>
  <c r="E59" i="8" l="1"/>
  <c r="C59" i="8"/>
  <c r="B59" i="8" s="1"/>
  <c r="B12" i="10"/>
  <c r="B11" i="10" s="1"/>
  <c r="C8" i="12" s="1"/>
  <c r="C7" i="9"/>
  <c r="C9" i="9" s="1"/>
  <c r="C21" i="9" s="1"/>
  <c r="C42" i="4"/>
  <c r="D35" i="4"/>
  <c r="C12" i="10" l="1"/>
  <c r="D12" i="10" s="1"/>
  <c r="C17" i="9"/>
  <c r="H37" i="2"/>
  <c r="H39" i="2" s="1"/>
  <c r="D4" i="7" s="1"/>
  <c r="C20" i="7" s="1"/>
  <c r="F9" i="7" s="1"/>
  <c r="D41" i="4"/>
  <c r="D42" i="4" s="1"/>
  <c r="B8" i="10"/>
  <c r="B5" i="10" s="1"/>
  <c r="C7" i="12" s="1"/>
  <c r="C11" i="10"/>
  <c r="D8" i="12" s="1"/>
  <c r="B46" i="4" l="1"/>
  <c r="C46" i="4" s="1"/>
  <c r="H4" i="5" s="1"/>
  <c r="H5" i="5" s="1"/>
  <c r="H7" i="5" s="1"/>
  <c r="C4" i="5" s="1"/>
  <c r="B13" i="12"/>
  <c r="B14" i="12" s="1"/>
  <c r="A4" i="14" s="1"/>
  <c r="I5" i="14" s="1"/>
  <c r="J5" i="14" s="1"/>
  <c r="C8" i="10"/>
  <c r="D8" i="10" s="1"/>
  <c r="D11" i="10"/>
  <c r="E8" i="12" s="1"/>
  <c r="E12" i="10"/>
  <c r="C4" i="7"/>
  <c r="C62" i="8" l="1"/>
  <c r="H69" i="8" s="1"/>
  <c r="E69" i="8" s="1"/>
  <c r="C70" i="8" s="1"/>
  <c r="B27" i="13"/>
  <c r="B28" i="13" s="1"/>
  <c r="B29" i="13" s="1"/>
  <c r="C5" i="10"/>
  <c r="D7" i="12" s="1"/>
  <c r="F12" i="10"/>
  <c r="F11" i="10" s="1"/>
  <c r="G8" i="12" s="1"/>
  <c r="E11" i="10"/>
  <c r="F8" i="12" s="1"/>
  <c r="E8" i="10"/>
  <c r="D5" i="10"/>
  <c r="E7" i="12" s="1"/>
  <c r="H72" i="8" l="1"/>
  <c r="D4" i="5"/>
  <c r="E4" i="5" s="1"/>
  <c r="B4" i="10" s="1"/>
  <c r="E5" i="10"/>
  <c r="F7" i="12" s="1"/>
  <c r="F8" i="10"/>
  <c r="F5" i="10" s="1"/>
  <c r="G7" i="12" s="1"/>
  <c r="D72" i="8" l="1"/>
  <c r="D87" i="8"/>
  <c r="D95" i="8"/>
  <c r="D103" i="8"/>
  <c r="D88" i="8"/>
  <c r="D96" i="8"/>
  <c r="D104" i="8"/>
  <c r="D89" i="8"/>
  <c r="D97" i="8"/>
  <c r="D105" i="8"/>
  <c r="D82" i="8"/>
  <c r="D90" i="8"/>
  <c r="D98" i="8"/>
  <c r="D86" i="8"/>
  <c r="D94" i="8"/>
  <c r="D102" i="8"/>
  <c r="D83" i="8"/>
  <c r="D91" i="8"/>
  <c r="D99" i="8"/>
  <c r="D84" i="8"/>
  <c r="D92" i="8"/>
  <c r="D100" i="8"/>
  <c r="D85" i="8"/>
  <c r="D93" i="8"/>
  <c r="D101" i="8"/>
  <c r="D73" i="8"/>
  <c r="D76" i="8"/>
  <c r="D71" i="8"/>
  <c r="D79" i="8"/>
  <c r="D81" i="8"/>
  <c r="D75" i="8"/>
  <c r="C66" i="8"/>
  <c r="D78" i="8"/>
  <c r="D74" i="8"/>
  <c r="D80" i="8"/>
  <c r="D70" i="8"/>
  <c r="B70" i="8" s="1"/>
  <c r="E70" i="8" s="1"/>
  <c r="C71" i="8" s="1"/>
  <c r="D77" i="8"/>
  <c r="C20" i="9"/>
  <c r="C23" i="9" s="1"/>
  <c r="C25" i="9" s="1"/>
  <c r="C4" i="12"/>
  <c r="C6" i="12" s="1"/>
  <c r="B10" i="10"/>
  <c r="B14" i="10" s="1"/>
  <c r="C4" i="10"/>
  <c r="C10" i="10" s="1"/>
  <c r="C14" i="10" s="1"/>
  <c r="B71" i="8" l="1"/>
  <c r="E71" i="8" s="1"/>
  <c r="C72" i="8" s="1"/>
  <c r="B72" i="8" s="1"/>
  <c r="E72" i="8" s="1"/>
  <c r="C73" i="8" s="1"/>
  <c r="B73" i="8" s="1"/>
  <c r="E73" i="8" s="1"/>
  <c r="C74" i="8" s="1"/>
  <c r="B74" i="8" s="1"/>
  <c r="E74" i="8" s="1"/>
  <c r="C75" i="8" s="1"/>
  <c r="B75" i="8" s="1"/>
  <c r="E75" i="8" s="1"/>
  <c r="C76" i="8" s="1"/>
  <c r="B76" i="8" s="1"/>
  <c r="E76" i="8" s="1"/>
  <c r="C77" i="8" s="1"/>
  <c r="B77" i="8" s="1"/>
  <c r="E77" i="8" s="1"/>
  <c r="C78" i="8" s="1"/>
  <c r="B78" i="8" s="1"/>
  <c r="E78" i="8" s="1"/>
  <c r="C79" i="8" s="1"/>
  <c r="B79" i="8" s="1"/>
  <c r="E79" i="8" s="1"/>
  <c r="C80" i="8" s="1"/>
  <c r="B80" i="8" s="1"/>
  <c r="E80" i="8" s="1"/>
  <c r="C81" i="8" s="1"/>
  <c r="B81" i="8" s="1"/>
  <c r="E81" i="8" s="1"/>
  <c r="C82" i="8" s="1"/>
  <c r="D4" i="12"/>
  <c r="D6" i="12" s="1"/>
  <c r="D4" i="10"/>
  <c r="E4" i="12" s="1"/>
  <c r="E6" i="12" s="1"/>
  <c r="B82" i="8" l="1"/>
  <c r="E82" i="8" s="1"/>
  <c r="C83" i="8" s="1"/>
  <c r="B83" i="8" s="1"/>
  <c r="E83" i="8" s="1"/>
  <c r="F81" i="8"/>
  <c r="B15" i="10" s="1"/>
  <c r="C84" i="8"/>
  <c r="B84" i="8" s="1"/>
  <c r="E84" i="8" s="1"/>
  <c r="E4" i="10"/>
  <c r="F4" i="12" s="1"/>
  <c r="F6" i="12" s="1"/>
  <c r="D10" i="10"/>
  <c r="D14" i="10" s="1"/>
  <c r="C85" i="8" l="1"/>
  <c r="F4" i="10"/>
  <c r="F10" i="10" s="1"/>
  <c r="F14" i="10" s="1"/>
  <c r="F16" i="10" s="1"/>
  <c r="E10" i="10"/>
  <c r="E14" i="10" s="1"/>
  <c r="E16" i="10" s="1"/>
  <c r="B85" i="8" l="1"/>
  <c r="E85" i="8" s="1"/>
  <c r="G4" i="12"/>
  <c r="G6" i="12" s="1"/>
  <c r="C86" i="8" l="1"/>
  <c r="B86" i="8" l="1"/>
  <c r="E86" i="8" s="1"/>
  <c r="C87" i="8" s="1"/>
  <c r="B87" i="8" s="1"/>
  <c r="E87" i="8" s="1"/>
  <c r="C88" i="8"/>
  <c r="B88" i="8" s="1"/>
  <c r="E88" i="8" s="1"/>
  <c r="C89" i="8" s="1"/>
  <c r="B89" i="8" s="1"/>
  <c r="E89" i="8" s="1"/>
  <c r="C90" i="8" s="1"/>
  <c r="B90" i="8" s="1"/>
  <c r="E90" i="8" s="1"/>
  <c r="C91" i="8" l="1"/>
  <c r="B91" i="8" s="1"/>
  <c r="E91" i="8"/>
  <c r="C92" i="8" s="1"/>
  <c r="B92" i="8" s="1"/>
  <c r="E92" i="8" s="1"/>
  <c r="C93" i="8" s="1"/>
  <c r="B93" i="8" l="1"/>
  <c r="E93" i="8" s="1"/>
  <c r="C94" i="8" s="1"/>
  <c r="B94" i="8" s="1"/>
  <c r="E94" i="8" s="1"/>
  <c r="C95" i="8" s="1"/>
  <c r="B95" i="8" s="1"/>
  <c r="E95" i="8" s="1"/>
  <c r="F93" i="8"/>
  <c r="C15" i="10" s="1"/>
  <c r="C96" i="8"/>
  <c r="B96" i="8" s="1"/>
  <c r="E96" i="8" s="1"/>
  <c r="C16" i="10" l="1"/>
  <c r="D9" i="12"/>
  <c r="D10" i="12" s="1"/>
  <c r="D14" i="12" s="1"/>
  <c r="C4" i="14" s="1"/>
  <c r="C97" i="8"/>
  <c r="B97" i="8" s="1"/>
  <c r="E97" i="8" s="1"/>
  <c r="C17" i="10" l="1"/>
  <c r="C18" i="10"/>
  <c r="C19" i="10"/>
  <c r="C98" i="8"/>
  <c r="B98" i="8" s="1"/>
  <c r="E98" i="8" s="1"/>
  <c r="C99" i="8" s="1"/>
  <c r="B99" i="8" s="1"/>
  <c r="E99" i="8" s="1"/>
  <c r="C33" i="13" l="1"/>
  <c r="C34" i="13" s="1"/>
  <c r="C35" i="13" s="1"/>
  <c r="C17" i="12"/>
  <c r="C19" i="12" s="1"/>
  <c r="C21" i="12" s="1"/>
  <c r="I7" i="14" s="1"/>
  <c r="C100" i="8"/>
  <c r="B100" i="8" s="1"/>
  <c r="E100" i="8" s="1"/>
  <c r="C101" i="8" s="1"/>
  <c r="B101" i="8" s="1"/>
  <c r="E101" i="8" s="1"/>
  <c r="C102" i="8" l="1"/>
  <c r="B102" i="8" s="1"/>
  <c r="E102" i="8"/>
  <c r="E18" i="10"/>
  <c r="F9" i="12"/>
  <c r="F10" i="12" s="1"/>
  <c r="C103" i="8" l="1"/>
  <c r="B103" i="8" s="1"/>
  <c r="E103" i="8" s="1"/>
  <c r="F14" i="12"/>
  <c r="E4" i="14" s="1"/>
  <c r="E17" i="10"/>
  <c r="E19" i="10" s="1"/>
  <c r="C104" i="8" l="1"/>
  <c r="B104" i="8" s="1"/>
  <c r="E104" i="8"/>
  <c r="E17" i="12"/>
  <c r="E19" i="12" s="1"/>
  <c r="E21" i="12" s="1"/>
  <c r="I9" i="14" s="1"/>
  <c r="E33" i="13"/>
  <c r="E34" i="13" s="1"/>
  <c r="E35" i="13" s="1"/>
  <c r="C105" i="8" l="1"/>
  <c r="C11" i="14"/>
  <c r="C13" i="14"/>
  <c r="F18" i="10"/>
  <c r="G9" i="12"/>
  <c r="G10" i="12" s="1"/>
  <c r="G14" i="12" s="1"/>
  <c r="F4" i="14" s="1"/>
  <c r="B105" i="8" l="1"/>
  <c r="E105" i="8" s="1"/>
  <c r="F105" i="8"/>
  <c r="D15" i="10" s="1"/>
  <c r="F17" i="10"/>
  <c r="F19" i="10" s="1"/>
  <c r="D16" i="10" l="1"/>
  <c r="E9" i="12"/>
  <c r="E10" i="12" s="1"/>
  <c r="E14" i="12" s="1"/>
  <c r="D4" i="14" s="1"/>
  <c r="C9" i="12"/>
  <c r="C10" i="12" s="1"/>
  <c r="C14" i="12" s="1"/>
  <c r="B4" i="14" s="1"/>
  <c r="B16" i="10"/>
  <c r="F17" i="12"/>
  <c r="F19" i="12" s="1"/>
  <c r="F21" i="12" s="1"/>
  <c r="I10" i="14" s="1"/>
  <c r="F33" i="13"/>
  <c r="F34" i="13" s="1"/>
  <c r="F35" i="13" s="1"/>
  <c r="D17" i="10" l="1"/>
  <c r="D18" i="10"/>
  <c r="D19" i="10"/>
  <c r="B18" i="10"/>
  <c r="B17" i="10"/>
  <c r="B19" i="10" s="1"/>
  <c r="B17" i="12" s="1"/>
  <c r="B19" i="12" s="1"/>
  <c r="B21" i="12" s="1"/>
  <c r="I6" i="14" s="1"/>
  <c r="D33" i="13" l="1"/>
  <c r="D34" i="13" s="1"/>
  <c r="D35" i="13" s="1"/>
  <c r="D17" i="12"/>
  <c r="D19" i="12" s="1"/>
  <c r="D21" i="12" s="1"/>
  <c r="I8" i="14" s="1"/>
  <c r="B9" i="14" s="1"/>
  <c r="B33" i="13"/>
  <c r="B34" i="13" s="1"/>
  <c r="B35" i="13" s="1"/>
  <c r="J6" i="14" l="1"/>
  <c r="J7" i="14" s="1"/>
  <c r="J8" i="14" s="1"/>
  <c r="J9" i="14" l="1"/>
  <c r="J10" i="14" s="1"/>
  <c r="C14" i="14"/>
  <c r="C12" i="14"/>
</calcChain>
</file>

<file path=xl/comments1.xml><?xml version="1.0" encoding="utf-8"?>
<comments xmlns="http://schemas.openxmlformats.org/spreadsheetml/2006/main">
  <authors>
    <author>Abril Valenzuela</author>
  </authors>
  <commentList>
    <comment ref="E6" authorId="0" shapeId="0">
      <text>
        <r>
          <rPr>
            <b/>
            <sz val="9"/>
            <color indexed="81"/>
            <rFont val="Tahoma"/>
            <family val="2"/>
          </rPr>
          <t>Abril Valenzuela:</t>
        </r>
        <r>
          <rPr>
            <sz val="9"/>
            <color indexed="81"/>
            <rFont val="Tahoma"/>
            <family val="2"/>
          </rPr>
          <t xml:space="preserve">
Se puede cambiar según cuanto dura la maquina 
fiscalmente es 5%</t>
        </r>
      </text>
    </comment>
    <comment ref="E7" authorId="0" shapeId="0">
      <text>
        <r>
          <rPr>
            <b/>
            <sz val="9"/>
            <color indexed="81"/>
            <rFont val="Tahoma"/>
            <family val="2"/>
          </rPr>
          <t>Abril Valenzuela:</t>
        </r>
        <r>
          <rPr>
            <sz val="9"/>
            <color indexed="81"/>
            <rFont val="Tahoma"/>
            <family val="2"/>
          </rPr>
          <t xml:space="preserve">
Depreciacion= 100%/años que durara la maquina
</t>
        </r>
      </text>
    </comment>
  </commentList>
</comments>
</file>

<file path=xl/comments2.xml><?xml version="1.0" encoding="utf-8"?>
<comments xmlns="http://schemas.openxmlformats.org/spreadsheetml/2006/main">
  <authors>
    <author>Abril Valenzuela</author>
  </authors>
  <commentList>
    <comment ref="A15" authorId="0" shapeId="0">
      <text>
        <r>
          <rPr>
            <b/>
            <sz val="9"/>
            <color indexed="81"/>
            <rFont val="Tahoma"/>
            <charset val="1"/>
          </rPr>
          <t>Abril Valenzuela:</t>
        </r>
        <r>
          <rPr>
            <sz val="9"/>
            <color indexed="81"/>
            <rFont val="Tahoma"/>
            <charset val="1"/>
          </rPr>
          <t xml:space="preserve">
Interes que pagamos depende de los financiamientos que tenemos 
</t>
        </r>
      </text>
    </comment>
  </commentList>
</comments>
</file>

<file path=xl/comments3.xml><?xml version="1.0" encoding="utf-8"?>
<comments xmlns="http://schemas.openxmlformats.org/spreadsheetml/2006/main">
  <authors>
    <author>Abril Valenzuela</author>
  </authors>
  <commentList>
    <comment ref="A5" authorId="0" shapeId="0">
      <text>
        <r>
          <rPr>
            <b/>
            <sz val="9"/>
            <color indexed="81"/>
            <rFont val="Tahoma"/>
            <family val="2"/>
          </rPr>
          <t>Abril Valenzuela:</t>
        </r>
        <r>
          <rPr>
            <sz val="9"/>
            <color indexed="81"/>
            <rFont val="Tahoma"/>
            <family val="2"/>
          </rPr>
          <t xml:space="preserve">
Valor que podemos llegar a tener por la venta de un activo fijo</t>
        </r>
      </text>
    </comment>
  </commentList>
</comments>
</file>

<file path=xl/comments4.xml><?xml version="1.0" encoding="utf-8"?>
<comments xmlns="http://schemas.openxmlformats.org/spreadsheetml/2006/main">
  <authors>
    <author>Abril Valenzuela</author>
  </authors>
  <commentList>
    <comment ref="C11" authorId="0" shapeId="0">
      <text>
        <r>
          <rPr>
            <b/>
            <sz val="9"/>
            <color indexed="81"/>
            <rFont val="Tahoma"/>
            <family val="2"/>
          </rPr>
          <t>Abril Valenzuela:</t>
        </r>
        <r>
          <rPr>
            <sz val="9"/>
            <color indexed="81"/>
            <rFont val="Tahoma"/>
            <family val="2"/>
          </rPr>
          <t xml:space="preserve">
Se divide el flujo en donde el ingreso aparece positivo y 12 (por los meses del año)</t>
        </r>
      </text>
    </comment>
    <comment ref="C12" authorId="0" shapeId="0">
      <text>
        <r>
          <rPr>
            <b/>
            <sz val="9"/>
            <color indexed="81"/>
            <rFont val="Tahoma"/>
            <family val="2"/>
          </rPr>
          <t>Abril Valenzuela:</t>
        </r>
        <r>
          <rPr>
            <sz val="9"/>
            <color indexed="81"/>
            <rFont val="Tahoma"/>
            <family val="2"/>
          </rPr>
          <t xml:space="preserve">
Se divide el ultimo ingreso negativo y el flujo mensual para saber en cuantos meses se recupera la inversion y solo es de ese año 
</t>
        </r>
      </text>
    </comment>
    <comment ref="C13" authorId="0" shapeId="0">
      <text>
        <r>
          <rPr>
            <b/>
            <sz val="9"/>
            <color indexed="81"/>
            <rFont val="Tahoma"/>
            <family val="2"/>
          </rPr>
          <t>Abril Valenzuela:</t>
        </r>
        <r>
          <rPr>
            <sz val="9"/>
            <color indexed="81"/>
            <rFont val="Tahoma"/>
            <family val="2"/>
          </rPr>
          <t xml:space="preserve">
Se divide el flujo donde sale positivo el ingreso entre 365 que son los dias del año 
</t>
        </r>
      </text>
    </comment>
    <comment ref="C14" authorId="0" shapeId="0">
      <text>
        <r>
          <rPr>
            <b/>
            <sz val="9"/>
            <color indexed="81"/>
            <rFont val="Tahoma"/>
            <family val="2"/>
          </rPr>
          <t>Abril Valenzuela:</t>
        </r>
        <r>
          <rPr>
            <sz val="9"/>
            <color indexed="81"/>
            <rFont val="Tahoma"/>
            <family val="2"/>
          </rPr>
          <t xml:space="preserve">
Se divide el ultimo ingreso negativo entre el flujo diario para saber en cuantos dias se recupera la inversion </t>
        </r>
      </text>
    </comment>
  </commentList>
</comments>
</file>

<file path=xl/sharedStrings.xml><?xml version="1.0" encoding="utf-8"?>
<sst xmlns="http://schemas.openxmlformats.org/spreadsheetml/2006/main" count="439" uniqueCount="347">
  <si>
    <t xml:space="preserve">Nombre del proyecto </t>
  </si>
  <si>
    <t>Descripcion del proyecto</t>
  </si>
  <si>
    <t xml:space="preserve">Logotipo del proyecto </t>
  </si>
  <si>
    <t>Slogan</t>
  </si>
  <si>
    <t>Integrantes del equipos del proyecto</t>
  </si>
  <si>
    <t>AREA</t>
  </si>
  <si>
    <t>TIPO DE ACTIVO</t>
  </si>
  <si>
    <t>CANTIDAD</t>
  </si>
  <si>
    <t>ACTIVO</t>
  </si>
  <si>
    <t>DESCRIPCION DEL ACTIVO</t>
  </si>
  <si>
    <t>Produccion</t>
  </si>
  <si>
    <t>PRECIO UNITARIO</t>
  </si>
  <si>
    <t>TOTAL</t>
  </si>
  <si>
    <t xml:space="preserve">Maquinaria </t>
  </si>
  <si>
    <t xml:space="preserve">Mobiliario y equipo </t>
  </si>
  <si>
    <t xml:space="preserve">Equipos de computo </t>
  </si>
  <si>
    <t xml:space="preserve">Gastos de intalacion </t>
  </si>
  <si>
    <t xml:space="preserve">Ventas </t>
  </si>
  <si>
    <t xml:space="preserve">Computadora </t>
  </si>
  <si>
    <t xml:space="preserve">Pintura </t>
  </si>
  <si>
    <t xml:space="preserve">Aire acondicionado </t>
  </si>
  <si>
    <t xml:space="preserve">Area </t>
  </si>
  <si>
    <t xml:space="preserve">Calculo de las depreciaciones </t>
  </si>
  <si>
    <t>Cantidad</t>
  </si>
  <si>
    <t>Activo</t>
  </si>
  <si>
    <t>Porcentaje de depreciacion</t>
  </si>
  <si>
    <t>Monto original de la inversion</t>
  </si>
  <si>
    <t>Depreciacion anual</t>
  </si>
  <si>
    <t xml:space="preserve">Año </t>
  </si>
  <si>
    <t xml:space="preserve">Vida util en años </t>
  </si>
  <si>
    <t>Año 1</t>
  </si>
  <si>
    <t xml:space="preserve">Año 3 </t>
  </si>
  <si>
    <t xml:space="preserve">Año 4 </t>
  </si>
  <si>
    <t>Año 5</t>
  </si>
  <si>
    <t xml:space="preserve">Produccion </t>
  </si>
  <si>
    <t>Ventas</t>
  </si>
  <si>
    <t xml:space="preserve">Equipo de computo </t>
  </si>
  <si>
    <t xml:space="preserve">Materia prima </t>
  </si>
  <si>
    <t xml:space="preserve">Concepto </t>
  </si>
  <si>
    <t xml:space="preserve">Mano de obra </t>
  </si>
  <si>
    <t>Capital de trabajo por 3 meses</t>
  </si>
  <si>
    <t>costo anual</t>
  </si>
  <si>
    <t xml:space="preserve">Total </t>
  </si>
  <si>
    <t xml:space="preserve">Cantidad </t>
  </si>
  <si>
    <t xml:space="preserve">Trabajador </t>
  </si>
  <si>
    <t>sueldo diario</t>
  </si>
  <si>
    <t>sueldo mensual</t>
  </si>
  <si>
    <t>capital de trabajo por 3 meses</t>
  </si>
  <si>
    <t>Operador</t>
  </si>
  <si>
    <t>Luz</t>
  </si>
  <si>
    <t xml:space="preserve">Agua </t>
  </si>
  <si>
    <t>Local renta</t>
  </si>
  <si>
    <t>Costo por pieza</t>
  </si>
  <si>
    <t>Concepto</t>
  </si>
  <si>
    <t>costo total mensual</t>
  </si>
  <si>
    <t xml:space="preserve">capital de trabajo de 3 meses </t>
  </si>
  <si>
    <t xml:space="preserve">costo anual </t>
  </si>
  <si>
    <t>total</t>
  </si>
  <si>
    <t>Costos de produccion</t>
  </si>
  <si>
    <t xml:space="preserve">Costo total mensual </t>
  </si>
  <si>
    <t xml:space="preserve">Capital de trabajo a 3 meses </t>
  </si>
  <si>
    <t xml:space="preserve">Gastos indirectos </t>
  </si>
  <si>
    <t xml:space="preserve">Costo unitario </t>
  </si>
  <si>
    <t xml:space="preserve">costos anuales </t>
  </si>
  <si>
    <t xml:space="preserve">Depreciacion de maquinaria </t>
  </si>
  <si>
    <t>Depreciacion de mobiliario y equipo</t>
  </si>
  <si>
    <t>Total</t>
  </si>
  <si>
    <t>Capital de trabajo anual</t>
  </si>
  <si>
    <t xml:space="preserve">Concentrado </t>
  </si>
  <si>
    <t xml:space="preserve">Estimacion de los ingresos del proyecto basados en resultados del estudio de mercado y tecnico </t>
  </si>
  <si>
    <t>tipo de producto</t>
  </si>
  <si>
    <t xml:space="preserve">ingresos mensuales </t>
  </si>
  <si>
    <t xml:space="preserve">ingresos anuales </t>
  </si>
  <si>
    <t>precio de venta</t>
  </si>
  <si>
    <t xml:space="preserve">Criterios para tomar en cuenta el precio </t>
  </si>
  <si>
    <t xml:space="preserve">costo unitario </t>
  </si>
  <si>
    <t xml:space="preserve">margen de utilidad </t>
  </si>
  <si>
    <t xml:space="preserve">precio de productos sustitutos </t>
  </si>
  <si>
    <t xml:space="preserve">precio total final  </t>
  </si>
  <si>
    <t xml:space="preserve"> </t>
  </si>
  <si>
    <t xml:space="preserve">Gastos de venta </t>
  </si>
  <si>
    <t>concepto</t>
  </si>
  <si>
    <t>costo mensual</t>
  </si>
  <si>
    <t xml:space="preserve">Publicidad digital </t>
  </si>
  <si>
    <t xml:space="preserve">renta </t>
  </si>
  <si>
    <t xml:space="preserve">servicios </t>
  </si>
  <si>
    <t xml:space="preserve">depreciacion de mobiliario </t>
  </si>
  <si>
    <t xml:space="preserve">depreciacion de equipo de computo </t>
  </si>
  <si>
    <t xml:space="preserve">total gastos de venta </t>
  </si>
  <si>
    <t xml:space="preserve">Gastos de fabricacion o indirectos </t>
  </si>
  <si>
    <t xml:space="preserve">Prestaciones laborales de ley </t>
  </si>
  <si>
    <t xml:space="preserve">15 dias de aguinaldo </t>
  </si>
  <si>
    <t xml:space="preserve">mensual </t>
  </si>
  <si>
    <t xml:space="preserve">3 meses </t>
  </si>
  <si>
    <t xml:space="preserve">anual </t>
  </si>
  <si>
    <t xml:space="preserve">25% de prima de vacacional </t>
  </si>
  <si>
    <t>PTU</t>
  </si>
  <si>
    <t>IMMS</t>
  </si>
  <si>
    <t>INFONAVIT</t>
  </si>
  <si>
    <t>SISTEMA DE AHORRO PARA EL RETIRO (SAR)</t>
  </si>
  <si>
    <t xml:space="preserve">Total de prestaciones de ley </t>
  </si>
  <si>
    <t xml:space="preserve">Tiempo extra </t>
  </si>
  <si>
    <t xml:space="preserve">Total de gastos de operación </t>
  </si>
  <si>
    <t>Trabajadores</t>
  </si>
  <si>
    <t xml:space="preserve">Desgloce de prestaciones laborales </t>
  </si>
  <si>
    <t xml:space="preserve">Total de prestaciones </t>
  </si>
  <si>
    <t xml:space="preserve">Operador </t>
  </si>
  <si>
    <t xml:space="preserve">Solo si abre el domingo </t>
  </si>
  <si>
    <t>Salario diario</t>
  </si>
  <si>
    <t xml:space="preserve">Aguinaldo </t>
  </si>
  <si>
    <t xml:space="preserve">Dias de vacaciones </t>
  </si>
  <si>
    <t xml:space="preserve">Sueldo de vacaciones </t>
  </si>
  <si>
    <t>SAR 1.8%</t>
  </si>
  <si>
    <t>INFONAVIT 5%</t>
  </si>
  <si>
    <t>IMSS 8%</t>
  </si>
  <si>
    <t>Prima vacacional 25%</t>
  </si>
  <si>
    <t>Prima dominical 25%</t>
  </si>
  <si>
    <t xml:space="preserve">Capital de trabajo </t>
  </si>
  <si>
    <t xml:space="preserve">Inversion total </t>
  </si>
  <si>
    <t xml:space="preserve">Capital propio </t>
  </si>
  <si>
    <t xml:space="preserve">socios </t>
  </si>
  <si>
    <t xml:space="preserve">Financiamiento </t>
  </si>
  <si>
    <t xml:space="preserve">Estructura de capital </t>
  </si>
  <si>
    <t xml:space="preserve">Tasa de interes </t>
  </si>
  <si>
    <t xml:space="preserve">Plazo </t>
  </si>
  <si>
    <t xml:space="preserve">tipo de pago </t>
  </si>
  <si>
    <t xml:space="preserve">importe de pago mensual </t>
  </si>
  <si>
    <t xml:space="preserve">Mes </t>
  </si>
  <si>
    <t>Amortizacion</t>
  </si>
  <si>
    <t xml:space="preserve">Interes </t>
  </si>
  <si>
    <t xml:space="preserve">Abono o capital </t>
  </si>
  <si>
    <t xml:space="preserve">saldo insoluto </t>
  </si>
  <si>
    <t xml:space="preserve">tipo de interes anual </t>
  </si>
  <si>
    <t xml:space="preserve">Monto </t>
  </si>
  <si>
    <t>Importe del prestamo</t>
  </si>
  <si>
    <t>Plazo</t>
  </si>
  <si>
    <t>Menusal</t>
  </si>
  <si>
    <t xml:space="preserve">Datos </t>
  </si>
  <si>
    <t>Prestamo</t>
  </si>
  <si>
    <t>Tasa mensual</t>
  </si>
  <si>
    <t>Plazo, meses</t>
  </si>
  <si>
    <t xml:space="preserve">Anualidad </t>
  </si>
  <si>
    <t xml:space="preserve">Credito Solidario </t>
  </si>
  <si>
    <t xml:space="preserve">Credito Banorte </t>
  </si>
  <si>
    <t xml:space="preserve">Costos fijos </t>
  </si>
  <si>
    <t xml:space="preserve">año 1 </t>
  </si>
  <si>
    <t>mano de obra</t>
  </si>
  <si>
    <t xml:space="preserve">gastos indirectos </t>
  </si>
  <si>
    <t>gastos de venta</t>
  </si>
  <si>
    <t xml:space="preserve">prestaciones laborales </t>
  </si>
  <si>
    <t xml:space="preserve">total </t>
  </si>
  <si>
    <t xml:space="preserve">costos variables </t>
  </si>
  <si>
    <t>año 1</t>
  </si>
  <si>
    <t xml:space="preserve">materia prima </t>
  </si>
  <si>
    <t xml:space="preserve">costos totales </t>
  </si>
  <si>
    <t xml:space="preserve">Precio de venta por unidad </t>
  </si>
  <si>
    <t xml:space="preserve">costos fijos totales </t>
  </si>
  <si>
    <t>costos variables por unidad</t>
  </si>
  <si>
    <t>margen de contribucion</t>
  </si>
  <si>
    <t>P.E en unidades</t>
  </si>
  <si>
    <t xml:space="preserve">P.E en ventas </t>
  </si>
  <si>
    <t>depreciacion</t>
  </si>
  <si>
    <t>utilidad bruta</t>
  </si>
  <si>
    <t>gastos de operación</t>
  </si>
  <si>
    <t xml:space="preserve">gastos de venta </t>
  </si>
  <si>
    <t xml:space="preserve">utilidad de operación </t>
  </si>
  <si>
    <t xml:space="preserve">gastos financieros </t>
  </si>
  <si>
    <t xml:space="preserve">Utilidad antes de impuestos </t>
  </si>
  <si>
    <t>PTU 10%</t>
  </si>
  <si>
    <t>ISR 28%</t>
  </si>
  <si>
    <t xml:space="preserve">Utilidad neta del ejercicio </t>
  </si>
  <si>
    <t xml:space="preserve">costo de produccion </t>
  </si>
  <si>
    <t xml:space="preserve">ingresos </t>
  </si>
  <si>
    <t>AÑO 1</t>
  </si>
  <si>
    <t>AÑO 2</t>
  </si>
  <si>
    <t>AÑO 3</t>
  </si>
  <si>
    <t>AÑO 4</t>
  </si>
  <si>
    <t>AÑO 5</t>
  </si>
  <si>
    <t>Indice de inflacion 4.63%</t>
  </si>
  <si>
    <t xml:space="preserve">Flujo de efectivo proyectado </t>
  </si>
  <si>
    <t xml:space="preserve">(+) Ventas </t>
  </si>
  <si>
    <t xml:space="preserve">(+) Valor de rescate </t>
  </si>
  <si>
    <t xml:space="preserve">(=) Inresos totales </t>
  </si>
  <si>
    <t>Gastos de operación</t>
  </si>
  <si>
    <t xml:space="preserve">Gastos financieros </t>
  </si>
  <si>
    <t xml:space="preserve">(=) Costos totales </t>
  </si>
  <si>
    <t xml:space="preserve">Compra activo fijo </t>
  </si>
  <si>
    <t xml:space="preserve">Compra activo diferido </t>
  </si>
  <si>
    <t xml:space="preserve">Compra capital de trabajo </t>
  </si>
  <si>
    <t xml:space="preserve">(=) Saldo final </t>
  </si>
  <si>
    <t>Año 0</t>
  </si>
  <si>
    <t xml:space="preserve">Año 1 </t>
  </si>
  <si>
    <t>Año 2</t>
  </si>
  <si>
    <t>Año 3</t>
  </si>
  <si>
    <t>Año 4</t>
  </si>
  <si>
    <t>Flujos de efectivo</t>
  </si>
  <si>
    <t>(+) Depreciacion</t>
  </si>
  <si>
    <t>(+)VALOR DE RESCATE</t>
  </si>
  <si>
    <t xml:space="preserve">Flujo de efectivo anual </t>
  </si>
  <si>
    <t xml:space="preserve">Año 2 </t>
  </si>
  <si>
    <t xml:space="preserve">Subtotal </t>
  </si>
  <si>
    <t xml:space="preserve">Balance general proyectado a cinco años </t>
  </si>
  <si>
    <t xml:space="preserve">Activo </t>
  </si>
  <si>
    <t xml:space="preserve">Activo circulante </t>
  </si>
  <si>
    <t xml:space="preserve">Bancos </t>
  </si>
  <si>
    <t xml:space="preserve">Inventario </t>
  </si>
  <si>
    <t xml:space="preserve">Total Circulante </t>
  </si>
  <si>
    <t>Fijo</t>
  </si>
  <si>
    <t xml:space="preserve">Maq. Y equipo </t>
  </si>
  <si>
    <t>Depreciacion</t>
  </si>
  <si>
    <t xml:space="preserve">Mobiliario </t>
  </si>
  <si>
    <t xml:space="preserve">Eq. De computo </t>
  </si>
  <si>
    <t>Pasivo</t>
  </si>
  <si>
    <t>Sueldos, deudores, imp.</t>
  </si>
  <si>
    <t>Total pasivo</t>
  </si>
  <si>
    <t xml:space="preserve">Capital contable </t>
  </si>
  <si>
    <t xml:space="preserve">Capital social </t>
  </si>
  <si>
    <t xml:space="preserve">Utilidad del ejercicio </t>
  </si>
  <si>
    <t xml:space="preserve">Pasivo+capital </t>
  </si>
  <si>
    <t>Total fijo</t>
  </si>
  <si>
    <t xml:space="preserve">total activo </t>
  </si>
  <si>
    <t xml:space="preserve">Diferido </t>
  </si>
  <si>
    <t>Gastos de instalacion</t>
  </si>
  <si>
    <t xml:space="preserve">Total diferido </t>
  </si>
  <si>
    <t xml:space="preserve">Circulante </t>
  </si>
  <si>
    <t xml:space="preserve">Prestamos a corto plazo </t>
  </si>
  <si>
    <t xml:space="preserve">Total capital </t>
  </si>
  <si>
    <t>Analisis de indicadores financieros</t>
  </si>
  <si>
    <t xml:space="preserve">Flujos de efectivo </t>
  </si>
  <si>
    <t xml:space="preserve">Tasa de rendimiento el mercado </t>
  </si>
  <si>
    <t xml:space="preserve">VPN </t>
  </si>
  <si>
    <t>TIR</t>
  </si>
  <si>
    <t xml:space="preserve">Periodo de recuperacion </t>
  </si>
  <si>
    <t>Periodo de recuperacion</t>
  </si>
  <si>
    <t>Flujo mensual</t>
  </si>
  <si>
    <t xml:space="preserve">Meses que se tarda en recuperar </t>
  </si>
  <si>
    <t>Flujo diario</t>
  </si>
  <si>
    <t xml:space="preserve">Dias en que se tarda en recuperar </t>
  </si>
  <si>
    <t xml:space="preserve">Ingreso acumulado </t>
  </si>
  <si>
    <t>inversion/ flujo</t>
  </si>
  <si>
    <t>Conclusiones</t>
  </si>
  <si>
    <t xml:space="preserve">La inversion se recupera en 3 años y 2 meses </t>
  </si>
  <si>
    <t xml:space="preserve">La inversions se recupera en 3 años y 69 dias </t>
  </si>
  <si>
    <r>
      <rPr>
        <b/>
        <sz val="14"/>
        <color theme="1"/>
        <rFont val="Times New Roman"/>
        <family val="1"/>
      </rPr>
      <t>PRI:</t>
    </r>
    <r>
      <rPr>
        <sz val="14"/>
        <color theme="1"/>
        <rFont val="Times New Roman"/>
        <family val="1"/>
      </rPr>
      <t xml:space="preserve"> Como conclusion tras haber efectuado los calculos de los indicadores financieros correspondientes, obtenemos que el Periodo de Recuperacion de la Inversion es de 3 años y dos meses, periodo que se considera aceptable debido a que es menor al periodo de la vida util del proyecto, es decir, 3 años.</t>
    </r>
  </si>
  <si>
    <r>
      <rPr>
        <b/>
        <sz val="14"/>
        <color theme="1"/>
        <rFont val="Times New Roman"/>
        <family val="1"/>
      </rPr>
      <t xml:space="preserve">VPN: </t>
    </r>
    <r>
      <rPr>
        <sz val="14"/>
        <color theme="1"/>
        <rFont val="Times New Roman"/>
        <family val="1"/>
      </rPr>
      <t xml:space="preserve">En cuanto al Valor Presente Neto observamos que se obtiene un valor positivo que asciende a $15,442, hecho que sugiere que la empresa ganara valor a traves del tiempo </t>
    </r>
  </si>
  <si>
    <r>
      <rPr>
        <b/>
        <sz val="14"/>
        <color theme="1"/>
        <rFont val="Times New Roman"/>
        <family val="1"/>
      </rPr>
      <t>TIR:</t>
    </r>
    <r>
      <rPr>
        <sz val="14"/>
        <color theme="1"/>
        <rFont val="Times New Roman"/>
        <family val="1"/>
      </rPr>
      <t xml:space="preserve"> En lo referente a la Tasa Interna de Retorno, el porcentaje obtenido es del 17%, hecho que resulta beneficioso para el proyecto puesto que la tasa de rendimiento del mercado es igual al 11.35%, es decir, la TIR es mayor a dichatasa. De esto, podemos deducir que el proyecto generara mas rendimiento del que se espera. </t>
    </r>
  </si>
  <si>
    <r>
      <rPr>
        <b/>
        <sz val="14"/>
        <color theme="1"/>
        <rFont val="Times New Roman"/>
        <family val="1"/>
      </rPr>
      <t>General:</t>
    </r>
    <r>
      <rPr>
        <sz val="14"/>
        <color theme="1"/>
        <rFont val="Times New Roman"/>
        <family val="1"/>
      </rPr>
      <t xml:space="preserve"> Tras observar y analizar los diferentes indicadores financieros concluimos que resulta rentable invertir en el proyecto puesto que los resultados calculados parecen ser positivos.</t>
    </r>
  </si>
  <si>
    <t>Fresadoras CNC</t>
  </si>
  <si>
    <t>Impresora 3D</t>
  </si>
  <si>
    <t>Cinturon</t>
  </si>
  <si>
    <t>estimacion de produccion mensual (u)</t>
  </si>
  <si>
    <t>Amoxtli-jap</t>
  </si>
  <si>
    <t>Amoxtli-Jap</t>
  </si>
  <si>
    <t>Chalecos fabricadas por dia</t>
  </si>
  <si>
    <t xml:space="preserve">Bryam Muñiz, Gabriel Carrizales, Carmen Hernandez, Miguel Rodriguez y Abril Sanchez </t>
  </si>
  <si>
    <t xml:space="preserve">Cinturon auxiliar para monitoreo de alerta para la deteccion de caidas en adultos mayores </t>
  </si>
  <si>
    <t xml:space="preserve">Cinturon auxiliar para monitoreo de alerta en adultos mayores </t>
  </si>
  <si>
    <t>Fresadora CNC</t>
  </si>
  <si>
    <t>estacion de soldadura</t>
  </si>
  <si>
    <t xml:space="preserve">Administracion </t>
  </si>
  <si>
    <t>Impresora</t>
  </si>
  <si>
    <t xml:space="preserve">Impresora </t>
  </si>
  <si>
    <t xml:space="preserve">Internet </t>
  </si>
  <si>
    <t xml:space="preserve">Escritorio </t>
  </si>
  <si>
    <t>Escritorio</t>
  </si>
  <si>
    <t>Sillas de oficina</t>
  </si>
  <si>
    <t>Microcontrolador ESP32</t>
  </si>
  <si>
    <t>Acelerometro (Giroscopio MPU6050)</t>
  </si>
  <si>
    <t>GPS NEO-6M</t>
  </si>
  <si>
    <t>Buzzer</t>
  </si>
  <si>
    <t>Push Button (50*70mm)</t>
  </si>
  <si>
    <t>Bateria recargable</t>
  </si>
  <si>
    <t>Porta pilas</t>
  </si>
  <si>
    <t>Placa fenolica PCB</t>
  </si>
  <si>
    <t>Rollo de filamento PLA</t>
  </si>
  <si>
    <t>Cautin</t>
  </si>
  <si>
    <t>Puntas de cautin</t>
  </si>
  <si>
    <t xml:space="preserve">rollo de estaño </t>
  </si>
  <si>
    <t xml:space="preserve">pasta para soldar </t>
  </si>
  <si>
    <t>extractor</t>
  </si>
  <si>
    <t xml:space="preserve">atril para soldar </t>
  </si>
  <si>
    <t>Multimetro</t>
  </si>
  <si>
    <t xml:space="preserve">Marca: LRT, Peso del producto: 5.3 libras, Voltaje: 110 voltios, Vataje: 700 watts, tipo de pantalla: LED, Para soldar y desoldar SMD. Aire caliente suave y giratorio, Aplicable a cables planos y conectores de cable. </t>
  </si>
  <si>
    <t>Nombre: K6 plus, Tampaño: 100*100*100mm, metodo de impresión: PLA</t>
  </si>
  <si>
    <t>Tensión, resistencia, continuidad, capacitancia.Terminal de entrada para mediciones de corriente CA y CC hasta 10 A y corriente.Pantalla retroiluminada. Retencion de datos. Prueba de diosos, mas mediciones de frecuencia y ciclo de trabajo.La precisión se especifica durante 1 año después de la calibración, a temperaturas de funcionamiento de 18 ° C a 28 ° C, humedad relativa de 0% a 75%. Las especificaciones de precisión toman la forma de: ± ([% de lectura] + [Número de dígitos menos significativos])</t>
  </si>
  <si>
    <t>Es una estación de lupa de mano iluminada con una lente auxiliar de 3X de 3 pulgadas, y lentes auxiliares de 4.5X y 25X.Con espacio de almacenamiento, se puede almacenar en el mantenimiento del proceso de soldadura necesario para atornillar y otras piezas pequeñas.</t>
  </si>
  <si>
    <t xml:space="preserve">Pasta para soldar fabricada a base de petrolato.Alta resistencia.Anticorrosiva, libre de plomo e insoluble al agua. No deteriora las superficies a soldar. Ayuda a la distribucion de soldadura </t>
  </si>
  <si>
    <t>Este tipo de material lo puedes emplear en las uniones de diversos sistemas como lo son las soldaduras de circuitos electrónicos, las aleaciones 63Sn, el recubrimiento de algunos metales, aplicaciones del área eléctrica y ensamblado de diversas partes de sistemas combinados. Esta aleación 60 % de estaño y 40 % de plomo se usa en este tipo de aplicaciones porque su temperatura de fusión es relativamente baja (cerca de 190 ºC).Contiene 100 gramos para que puedas realizar un alto número de soldaduras con un solo paquete.</t>
  </si>
  <si>
    <t>Marca: BAKU,Modelo: BK-9033, Puntas para cautin de repuesto paquete de 4 piezas, Contiene 4 piezas de repuesto</t>
  </si>
  <si>
    <t>Realizar un acondicionamiento del local mediante la remodelación con ayuda de pintura para hacerlo más cómodo y atractivo para los clientes.</t>
  </si>
  <si>
    <t xml:space="preserve">Silla de oficina </t>
  </si>
  <si>
    <t>Extintor</t>
  </si>
  <si>
    <t xml:space="preserve">Ungüento para quemaduras </t>
  </si>
  <si>
    <t>Lentes de proteccion</t>
  </si>
  <si>
    <t>Taloneras antiestatica</t>
  </si>
  <si>
    <t>Botiquin de primeros auxilios</t>
  </si>
  <si>
    <t>Silla Secretarial metálica / Con acabados en color blanco / Incluye base de estrella con 5 llantas / Revestida en tela verde / Elevador de gas de 100 mm / Mecanismo de subida y bajada / Base metálica de 260 mm / Ruedas de nylon</t>
  </si>
  <si>
    <t xml:space="preserve">Tipo de matafuego: Tradicional, Capacidad: 9 Kg, Apto para autos y es recargable incluye soporte y baliza </t>
  </si>
  <si>
    <t xml:space="preserve">Lentes de seguridad transparente surtek, fabricados en policarbonato, para aplicaciones en condiciones de luz normal, marca surtek, color transparente,  material: Policarbonato </t>
  </si>
  <si>
    <t>Gran capacidad. El compartimento principal tiene 6 bolsas de malla, adecuadas para llevar suministros como gasas, contenedores de pérdida de emergencia, estetoscopios, vendajes, etc.Organizar sus necesidades médicas de forma ordenada y ordenada.</t>
  </si>
  <si>
    <t>Modelo: NT-8330, Comando de impresión: esc/pos, impresión termica en lineas, velocidad de impresión: 220mm/s, cortador de papel automatico, ancho de impresión: 72mm, tipo de papel: rollo, color: blanco y negro.</t>
  </si>
  <si>
    <t xml:space="preserve">Inyeccion termica de tinta HP, Impresión, copia y escaneado, conexiones: wi-fi, usb de alta velocidad,7.5 ppm, dimension del producto: 425*304*154 mm, </t>
  </si>
  <si>
    <t>PC de computadora HP eliete 6200 de factor de forma pequeño, intel quad core i5-2400 hasta 3,4 GHz, 8G DDR3, 1T, DVDRW,WiFi, windowa 1064- Soporte multilingue. Incluye: Teclado y mouse USB, adaptador WiFi.</t>
  </si>
  <si>
    <t>Cautín Lápiz 40/60 W. Con Selector De Temperatura Alta/baja
Cautín eléctrico tipo lápiz con punta cónica niquelada y plateada. Con potencia de 40/60 W, Frecuencia: 60 HZ. Con selector de temperatura alta/baja, ideal para estudiantes principiantes. Excelente para trabajos eléctricos, cables, conexiones de bocinas, soldaduras en kits, cables, televisiones, trabajos electrónicos, etc. 110 V.</t>
  </si>
  <si>
    <t>La composición de la Talonera es 35% Caucho, 35% SBR, 5% Fibra de Carbon, 25% Poliester.Confeccion de alta calidad con costuras fuertes.Ofrece una resistencia 10^5 OHMS.Unitalla, Presentación: Una Pieza y Facil de usar</t>
  </si>
  <si>
    <t>Estacion de soldadura</t>
  </si>
  <si>
    <t>Equipo de computo</t>
  </si>
  <si>
    <t xml:space="preserve">computadora </t>
  </si>
  <si>
    <t xml:space="preserve">Encargado de laboratorios </t>
  </si>
  <si>
    <t>Produccion anual de cinturones</t>
  </si>
  <si>
    <t xml:space="preserve">cinturon/ Chalecos a vender por mes </t>
  </si>
  <si>
    <t>costo por cinturon anual</t>
  </si>
  <si>
    <t>Encargado de laboratorios</t>
  </si>
  <si>
    <t>Encargado de produccion</t>
  </si>
  <si>
    <t>Bryam</t>
  </si>
  <si>
    <t xml:space="preserve">Abril </t>
  </si>
  <si>
    <t>Gabriel</t>
  </si>
  <si>
    <t>Carmen</t>
  </si>
  <si>
    <t xml:space="preserve">Miguel </t>
  </si>
  <si>
    <t xml:space="preserve">Cantidad a usar para 1 cinturon </t>
  </si>
  <si>
    <t>Mama de bryam</t>
  </si>
  <si>
    <t>Mama de gabriel</t>
  </si>
  <si>
    <t>Mama de carmen</t>
  </si>
  <si>
    <t>Mama de miguel</t>
  </si>
  <si>
    <t>Mama de abril</t>
  </si>
  <si>
    <t xml:space="preserve">48 meses </t>
  </si>
  <si>
    <t>Mano de obra (24 dias trabajados)</t>
  </si>
  <si>
    <t xml:space="preserve">Mesas de produccion </t>
  </si>
  <si>
    <t>Mesas de produccion</t>
  </si>
  <si>
    <t>costo total por producir 1 cinturon</t>
  </si>
  <si>
    <t>costo total estimado mensual 1u de cinturon</t>
  </si>
  <si>
    <t>Costo total estimado mensual 132 unidades de cinturon</t>
  </si>
  <si>
    <t>Mantente en movimiento, Las ruedas te van a permitir moverte y limpiar fácilmente tu espacio. Podrás trasladarla sin dificultad cuando lo necesites. Además, al ser giratoria te permitirá rotar el asiento 360º sin la necesidad de cambiar de posición o moverte del lugar en donde estás.
Peso de la silla : 6,400kg, Peso máximo recomendado : 90 - 100kg, Altura Ajustable Max: 52 cm, Altura Ajustable Min: 42 cm, Asiento Giratorio 360°, Ruedas Giratorios 360°
Distancia del Piso al Respaldo: 92cm Max. / 82cm Mínimo. Peso y dimensiones Altura mínima del piso al asiento 42 cm, Altura máxima del piso al asiento 52 cm, Altura mínima de la silla 82 cm, Altura máxima de la silla 92 cm</t>
  </si>
  <si>
    <t>Ancho: 120 cm, Profundidad: 50 cm, Largo: 120 cm,Altura: 72 cm, Forma de L., Compuesto de mdf, 2 estantes. Pesa 23kg., Requiere ensamblado., Ideal para leer, escribir o usar la PC.</t>
  </si>
  <si>
    <t>Marca Generic, Capacidad 3,25 Libras, Potencia de refrigeración 1,14 Kilowatts, Característica especial Ajustable, Función de calefacción y refrigeración, Dimensiones del producto 12prof. x 42an. x 18alt. centimeters, Energy Star 3 Star
Año de inicio 2024, Color Blanco, Voltaje 110 Voltios, Nivel de ruido 45 d</t>
  </si>
  <si>
    <t xml:space="preserve">La seguridad de tu familia, el corazon de nuestra tecnologia </t>
  </si>
  <si>
    <t xml:space="preserve">Impresora termica </t>
  </si>
  <si>
    <t xml:space="preserve">Telefonos </t>
  </si>
  <si>
    <t xml:space="preserve">Programa financiero para emprendedores </t>
  </si>
  <si>
    <t>Silla</t>
  </si>
  <si>
    <t xml:space="preserve">Silla </t>
  </si>
  <si>
    <t>peso en kilo</t>
  </si>
  <si>
    <t xml:space="preserve">Crowfunding </t>
  </si>
  <si>
    <t xml:space="preserve">36 meses </t>
  </si>
  <si>
    <t xml:space="preserve">4 años </t>
  </si>
  <si>
    <t xml:space="preserve">3 años </t>
  </si>
  <si>
    <t>CNCTOPBAOS 1610 PRO Mini kit de enrutador CNC, 3 ejes de computadora GRBL Control DIY máquina de grabado, grabado grabado en acrílico, PVC, PCB, plástico, fresadora de corte de madera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</si>
</sst>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Red]\-&quot;$&quot;#,##0.00"/>
    <numFmt numFmtId="44" formatCode="_-&quot;$&quot;* #,##0.00_-;\-&quot;$&quot;* #,##0.00_-;_-&quot;$&quot;* &quot;-&quot;??_-;_-@_-"/>
    <numFmt numFmtId="164" formatCode="_-&quot;$&quot;* #,##0.000_-;\-&quot;$&quot;* #,##0.000_-;_-&quot;$&quot;* &quot;-&quot;??_-;_-@_-"/>
    <numFmt numFmtId="165" formatCode="0.000"/>
  </numFmts>
  <fonts count="23" x14ac:knownFonts="1">
    <font>
      <sz val="11"/>
      <color theme="1"/>
      <name val="Calibri"/>
      <family val="2"/>
      <scheme val="minor"/>
    </font>
    <font>
      <sz val="11"/>
      <color theme="1"/>
      <name val="Calibri"/>
      <family val="2"/>
      <scheme val="minor"/>
    </font>
    <font>
      <sz val="14"/>
      <color theme="1"/>
      <name val="Calibri"/>
      <family val="2"/>
      <scheme val="minor"/>
    </font>
    <font>
      <sz val="16"/>
      <color theme="1"/>
      <name val="Times New Roman"/>
      <family val="1"/>
    </font>
    <font>
      <sz val="12"/>
      <color theme="1"/>
      <name val="Times New Roman"/>
      <family val="1"/>
    </font>
    <font>
      <sz val="14"/>
      <color theme="1"/>
      <name val="Times New Roman"/>
      <family val="1"/>
    </font>
    <font>
      <b/>
      <sz val="16"/>
      <color theme="1"/>
      <name val="Bookman Old Style"/>
      <family val="1"/>
    </font>
    <font>
      <b/>
      <sz val="11"/>
      <color theme="1"/>
      <name val="Bookman Old Style"/>
      <family val="1"/>
    </font>
    <font>
      <b/>
      <sz val="12"/>
      <color theme="1"/>
      <name val="Times New Roman"/>
      <family val="1"/>
    </font>
    <font>
      <sz val="12"/>
      <name val="Times New Roman"/>
      <family val="1"/>
    </font>
    <font>
      <b/>
      <sz val="14"/>
      <color theme="1"/>
      <name val="Times New Roman"/>
      <family val="1"/>
    </font>
    <font>
      <sz val="9"/>
      <color indexed="81"/>
      <name val="Tahoma"/>
      <family val="2"/>
    </font>
    <font>
      <b/>
      <sz val="9"/>
      <color indexed="81"/>
      <name val="Tahoma"/>
      <family val="2"/>
    </font>
    <font>
      <b/>
      <i/>
      <sz val="14"/>
      <color theme="1"/>
      <name val="Times New Roman"/>
      <family val="1"/>
    </font>
    <font>
      <b/>
      <sz val="11"/>
      <color theme="1"/>
      <name val="Calibri"/>
      <family val="2"/>
      <scheme val="minor"/>
    </font>
    <font>
      <b/>
      <sz val="12"/>
      <name val="Times New Roman"/>
      <family val="1"/>
    </font>
    <font>
      <sz val="11"/>
      <color theme="1"/>
      <name val="Times New Roman"/>
      <family val="1"/>
    </font>
    <font>
      <sz val="12"/>
      <color rgb="FFFF0000"/>
      <name val="Times New Roman"/>
      <family val="1"/>
    </font>
    <font>
      <b/>
      <sz val="11"/>
      <color theme="1"/>
      <name val="Times New Roman"/>
      <family val="1"/>
    </font>
    <font>
      <sz val="9"/>
      <color indexed="81"/>
      <name val="Tahoma"/>
      <charset val="1"/>
    </font>
    <font>
      <b/>
      <sz val="9"/>
      <color indexed="81"/>
      <name val="Tahoma"/>
      <charset val="1"/>
    </font>
    <font>
      <b/>
      <sz val="16"/>
      <color theme="1"/>
      <name val="Times New Roman"/>
      <family val="1"/>
    </font>
    <font>
      <b/>
      <sz val="12"/>
      <color theme="8" tint="-0.249977111117893"/>
      <name val="Times New Roman"/>
      <family val="1"/>
    </font>
  </fonts>
  <fills count="9">
    <fill>
      <patternFill patternType="none"/>
    </fill>
    <fill>
      <patternFill patternType="gray125"/>
    </fill>
    <fill>
      <patternFill patternType="solid">
        <fgColor theme="1"/>
        <bgColor indexed="64"/>
      </patternFill>
    </fill>
    <fill>
      <patternFill patternType="solid">
        <fgColor rgb="FFD26DFB"/>
        <bgColor indexed="64"/>
      </patternFill>
    </fill>
    <fill>
      <patternFill patternType="solid">
        <fgColor rgb="FFA78AFA"/>
        <bgColor indexed="64"/>
      </patternFill>
    </fill>
    <fill>
      <patternFill patternType="solid">
        <fgColor theme="9" tint="0.39997558519241921"/>
        <bgColor indexed="64"/>
      </patternFill>
    </fill>
    <fill>
      <patternFill patternType="solid">
        <fgColor rgb="FFEDC2F6"/>
        <bgColor indexed="64"/>
      </patternFill>
    </fill>
    <fill>
      <patternFill patternType="solid">
        <fgColor rgb="FF88A6F0"/>
        <bgColor indexed="64"/>
      </patternFill>
    </fill>
    <fill>
      <patternFill patternType="solid">
        <fgColor rgb="FFFFFF00"/>
        <bgColor indexed="64"/>
      </patternFill>
    </fill>
  </fills>
  <borders count="2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0">
    <xf numFmtId="0" fontId="0" fillId="0" borderId="0" xfId="0"/>
    <xf numFmtId="0" fontId="0" fillId="0" borderId="0" xfId="0" applyAlignment="1">
      <alignment horizontal="center"/>
    </xf>
    <xf numFmtId="0" fontId="7" fillId="0" borderId="0" xfId="0" applyFont="1" applyAlignment="1"/>
    <xf numFmtId="0" fontId="0" fillId="0" borderId="0" xfId="0" applyAlignment="1">
      <alignment vertical="center"/>
    </xf>
    <xf numFmtId="0" fontId="0" fillId="0" borderId="0" xfId="0" applyBorder="1"/>
    <xf numFmtId="0" fontId="0" fillId="0" borderId="0" xfId="0" quotePrefix="1"/>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Border="1" applyAlignment="1">
      <alignment horizontal="left" vertical="center" wrapText="1"/>
    </xf>
    <xf numFmtId="0" fontId="4" fillId="0" borderId="0" xfId="0" applyFont="1" applyBorder="1" applyAlignment="1">
      <alignment wrapText="1"/>
    </xf>
    <xf numFmtId="0" fontId="4" fillId="0" borderId="6" xfId="0" applyFont="1" applyBorder="1" applyAlignment="1">
      <alignment vertical="center" wrapText="1"/>
    </xf>
    <xf numFmtId="0" fontId="4" fillId="0" borderId="0" xfId="0" applyFont="1" applyAlignment="1">
      <alignment horizontal="center" vertical="center"/>
    </xf>
    <xf numFmtId="0" fontId="4" fillId="0" borderId="0" xfId="0" applyFont="1" applyBorder="1" applyAlignment="1">
      <alignment horizontal="center" vertical="center" wrapText="1"/>
    </xf>
    <xf numFmtId="44" fontId="4" fillId="0" borderId="0" xfId="1" applyFont="1" applyBorder="1" applyAlignment="1">
      <alignment horizontal="center" vertical="center" wrapText="1"/>
    </xf>
    <xf numFmtId="44" fontId="4" fillId="0" borderId="5" xfId="1" applyFont="1" applyBorder="1" applyAlignment="1">
      <alignment horizontal="center" vertical="center" wrapText="1"/>
    </xf>
    <xf numFmtId="0" fontId="4" fillId="0" borderId="6" xfId="0" applyFont="1" applyBorder="1" applyAlignment="1">
      <alignment horizontal="center" vertical="center" wrapText="1"/>
    </xf>
    <xf numFmtId="44" fontId="4" fillId="0" borderId="6" xfId="1" applyFont="1" applyBorder="1" applyAlignment="1">
      <alignment vertical="center" wrapText="1"/>
    </xf>
    <xf numFmtId="44" fontId="4" fillId="0" borderId="7" xfId="1" applyFont="1" applyBorder="1" applyAlignment="1">
      <alignment horizontal="center" vertical="center" wrapText="1"/>
    </xf>
    <xf numFmtId="0" fontId="0" fillId="0" borderId="0" xfId="0" applyFill="1"/>
    <xf numFmtId="0" fontId="4" fillId="0" borderId="13" xfId="0" applyFont="1" applyBorder="1" applyAlignment="1">
      <alignment horizontal="center" vertical="center"/>
    </xf>
    <xf numFmtId="9" fontId="4" fillId="0" borderId="0" xfId="0" applyNumberFormat="1" applyFont="1" applyBorder="1" applyAlignment="1">
      <alignment horizontal="center" vertical="center"/>
    </xf>
    <xf numFmtId="44" fontId="4" fillId="0" borderId="0" xfId="0" applyNumberFormat="1" applyFont="1" applyBorder="1" applyAlignment="1">
      <alignment horizontal="center" vertical="center"/>
    </xf>
    <xf numFmtId="44" fontId="4" fillId="0" borderId="5" xfId="0" applyNumberFormat="1" applyFont="1" applyBorder="1" applyAlignment="1">
      <alignment horizontal="center" vertical="center"/>
    </xf>
    <xf numFmtId="10" fontId="4" fillId="0" borderId="0" xfId="0" applyNumberFormat="1" applyFont="1" applyBorder="1" applyAlignment="1">
      <alignment horizontal="center" vertical="center"/>
    </xf>
    <xf numFmtId="10" fontId="4" fillId="0" borderId="6" xfId="0" applyNumberFormat="1" applyFont="1" applyBorder="1" applyAlignment="1">
      <alignment horizontal="center" vertical="center"/>
    </xf>
    <xf numFmtId="44" fontId="4" fillId="0" borderId="6" xfId="0" applyNumberFormat="1" applyFont="1" applyBorder="1" applyAlignment="1">
      <alignment horizontal="center" vertical="center"/>
    </xf>
    <xf numFmtId="44" fontId="4" fillId="0" borderId="7" xfId="0" applyNumberFormat="1" applyFont="1" applyBorder="1" applyAlignment="1">
      <alignment horizontal="center" vertical="center"/>
    </xf>
    <xf numFmtId="0" fontId="4" fillId="0" borderId="0" xfId="0" applyFont="1"/>
    <xf numFmtId="0" fontId="4" fillId="0" borderId="15" xfId="0" applyFont="1" applyBorder="1" applyAlignment="1">
      <alignment horizontal="center" vertical="center" wrapText="1"/>
    </xf>
    <xf numFmtId="0" fontId="4" fillId="0" borderId="15" xfId="1" applyNumberFormat="1" applyFont="1" applyBorder="1" applyAlignment="1">
      <alignment horizontal="center" vertical="center"/>
    </xf>
    <xf numFmtId="44" fontId="4" fillId="0" borderId="15" xfId="1" applyFont="1" applyBorder="1" applyAlignment="1">
      <alignment horizontal="center" vertical="center"/>
    </xf>
    <xf numFmtId="0" fontId="4" fillId="0" borderId="15" xfId="0" applyFont="1" applyBorder="1" applyAlignment="1">
      <alignment horizontal="center" vertical="center"/>
    </xf>
    <xf numFmtId="44" fontId="4" fillId="0" borderId="15" xfId="0" applyNumberFormat="1" applyFont="1" applyBorder="1" applyAlignment="1">
      <alignment horizontal="center" vertical="center"/>
    </xf>
    <xf numFmtId="0" fontId="4" fillId="0" borderId="0" xfId="0" applyFont="1" applyBorder="1"/>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0" borderId="0" xfId="0" applyAlignment="1">
      <alignment wrapText="1"/>
    </xf>
    <xf numFmtId="44" fontId="0" fillId="0" borderId="0" xfId="0" applyNumberFormat="1"/>
    <xf numFmtId="164" fontId="4" fillId="0" borderId="15" xfId="1" applyNumberFormat="1" applyFont="1" applyBorder="1" applyAlignment="1">
      <alignment horizontal="center" vertical="center"/>
    </xf>
    <xf numFmtId="44" fontId="4" fillId="0" borderId="0" xfId="0" applyNumberFormat="1" applyFont="1" applyFill="1" applyBorder="1" applyAlignment="1">
      <alignment horizontal="center" vertical="center"/>
    </xf>
    <xf numFmtId="44" fontId="0" fillId="0" borderId="15" xfId="0" applyNumberFormat="1" applyBorder="1"/>
    <xf numFmtId="0" fontId="0" fillId="0" borderId="15" xfId="0" applyBorder="1" applyAlignment="1">
      <alignment horizontal="center" vertical="center"/>
    </xf>
    <xf numFmtId="44" fontId="0" fillId="0" borderId="15" xfId="0" applyNumberFormat="1" applyBorder="1" applyAlignment="1">
      <alignment horizontal="center" vertical="center"/>
    </xf>
    <xf numFmtId="0" fontId="8" fillId="0" borderId="15" xfId="0" applyFont="1" applyBorder="1" applyAlignment="1">
      <alignment horizontal="center" vertical="center"/>
    </xf>
    <xf numFmtId="0" fontId="8" fillId="0" borderId="0" xfId="0" applyFont="1" applyFill="1" applyBorder="1" applyAlignment="1">
      <alignment horizontal="center" vertical="center"/>
    </xf>
    <xf numFmtId="44" fontId="8" fillId="0" borderId="0" xfId="0" applyNumberFormat="1" applyFont="1" applyFill="1" applyBorder="1" applyAlignment="1">
      <alignment horizontal="center" vertical="center"/>
    </xf>
    <xf numFmtId="0" fontId="16" fillId="0" borderId="0" xfId="0" applyFont="1"/>
    <xf numFmtId="0" fontId="6" fillId="0" borderId="0" xfId="0" applyFont="1" applyFill="1" applyBorder="1" applyAlignment="1"/>
    <xf numFmtId="0" fontId="16" fillId="0" borderId="0" xfId="0" applyFont="1" applyAlignment="1">
      <alignment horizontal="center" vertical="center"/>
    </xf>
    <xf numFmtId="0" fontId="16" fillId="0" borderId="0" xfId="0" applyFont="1" applyAlignment="1">
      <alignment horizontal="center" vertical="center" wrapText="1"/>
    </xf>
    <xf numFmtId="0" fontId="0" fillId="0" borderId="0" xfId="0" applyAlignment="1">
      <alignment horizontal="center" vertical="center"/>
    </xf>
    <xf numFmtId="44" fontId="16" fillId="0" borderId="0" xfId="0" applyNumberFormat="1" applyFont="1" applyAlignment="1">
      <alignment horizontal="center" vertical="center"/>
    </xf>
    <xf numFmtId="44" fontId="0" fillId="0" borderId="0" xfId="0" applyNumberFormat="1" applyAlignment="1">
      <alignment wrapText="1"/>
    </xf>
    <xf numFmtId="0" fontId="16" fillId="0" borderId="15" xfId="0" applyFont="1" applyBorder="1" applyAlignment="1">
      <alignment horizontal="center" vertical="center"/>
    </xf>
    <xf numFmtId="44" fontId="16" fillId="0" borderId="15" xfId="0" applyNumberFormat="1" applyFont="1" applyBorder="1" applyAlignment="1">
      <alignment horizontal="center" vertical="center"/>
    </xf>
    <xf numFmtId="44" fontId="0" fillId="0" borderId="15" xfId="1" applyFont="1" applyBorder="1" applyAlignment="1">
      <alignment horizontal="center" vertical="center"/>
    </xf>
    <xf numFmtId="0" fontId="13" fillId="0" borderId="0" xfId="0" applyFont="1" applyFill="1" applyBorder="1" applyAlignment="1"/>
    <xf numFmtId="44" fontId="4" fillId="0" borderId="0" xfId="1" applyFont="1"/>
    <xf numFmtId="44" fontId="4" fillId="0" borderId="15" xfId="0" applyNumberFormat="1" applyFont="1" applyBorder="1"/>
    <xf numFmtId="44" fontId="4" fillId="0" borderId="15" xfId="1" applyFont="1" applyBorder="1"/>
    <xf numFmtId="44" fontId="8" fillId="0" borderId="0" xfId="0" applyNumberFormat="1" applyFont="1" applyFill="1" applyBorder="1" applyAlignment="1">
      <alignment horizontal="center" vertical="center" wrapText="1"/>
    </xf>
    <xf numFmtId="44" fontId="8" fillId="0" borderId="21" xfId="0" applyNumberFormat="1" applyFont="1" applyFill="1" applyBorder="1" applyAlignment="1">
      <alignment horizontal="center" vertical="center" wrapText="1"/>
    </xf>
    <xf numFmtId="44" fontId="4" fillId="0" borderId="15" xfId="0" applyNumberFormat="1" applyFont="1" applyFill="1" applyBorder="1"/>
    <xf numFmtId="0" fontId="0" fillId="0" borderId="15" xfId="0" applyBorder="1"/>
    <xf numFmtId="44" fontId="0" fillId="0" borderId="15" xfId="1" applyFont="1" applyBorder="1"/>
    <xf numFmtId="0" fontId="13" fillId="0" borderId="0" xfId="0" applyFont="1" applyFill="1" applyBorder="1" applyAlignment="1">
      <alignment horizontal="center"/>
    </xf>
    <xf numFmtId="44" fontId="0" fillId="0" borderId="0" xfId="2" applyNumberFormat="1" applyFont="1"/>
    <xf numFmtId="0" fontId="8" fillId="0" borderId="0" xfId="0" applyFont="1" applyFill="1" applyBorder="1" applyAlignment="1">
      <alignment vertical="center" wrapText="1"/>
    </xf>
    <xf numFmtId="44" fontId="18" fillId="0" borderId="15" xfId="0" applyNumberFormat="1" applyFont="1" applyBorder="1"/>
    <xf numFmtId="10" fontId="4" fillId="0" borderId="15" xfId="2" applyNumberFormat="1" applyFont="1" applyBorder="1" applyAlignment="1">
      <alignment horizontal="center" vertical="center"/>
    </xf>
    <xf numFmtId="10" fontId="4" fillId="0" borderId="15" xfId="2" applyNumberFormat="1" applyFont="1" applyBorder="1" applyAlignment="1">
      <alignment horizontal="center" vertical="center" wrapText="1"/>
    </xf>
    <xf numFmtId="0" fontId="0" fillId="0" borderId="0" xfId="0" applyAlignment="1">
      <alignment vertical="center" wrapText="1"/>
    </xf>
    <xf numFmtId="8" fontId="4" fillId="0" borderId="15" xfId="0" applyNumberFormat="1" applyFont="1" applyBorder="1" applyAlignment="1">
      <alignment horizontal="center" vertical="center"/>
    </xf>
    <xf numFmtId="44" fontId="4" fillId="0" borderId="0" xfId="0" applyNumberFormat="1" applyFont="1" applyAlignment="1">
      <alignment horizontal="center" vertical="center"/>
    </xf>
    <xf numFmtId="0" fontId="8" fillId="0" borderId="15"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0" xfId="0" applyFont="1" applyFill="1" applyBorder="1" applyAlignment="1">
      <alignment horizontal="center" vertical="center" wrapText="1"/>
    </xf>
    <xf numFmtId="44" fontId="4" fillId="0" borderId="15" xfId="0" applyNumberFormat="1" applyFont="1" applyFill="1" applyBorder="1" applyAlignment="1">
      <alignment horizontal="center" vertical="center" wrapText="1"/>
    </xf>
    <xf numFmtId="0" fontId="0" fillId="0" borderId="18" xfId="0" applyBorder="1" applyAlignment="1">
      <alignment horizontal="center" vertical="center"/>
    </xf>
    <xf numFmtId="0" fontId="0" fillId="0" borderId="0" xfId="0" applyBorder="1" applyAlignment="1">
      <alignment horizontal="center" vertical="center"/>
    </xf>
    <xf numFmtId="44" fontId="0" fillId="0" borderId="0" xfId="0" applyNumberFormat="1" applyBorder="1" applyAlignment="1">
      <alignment horizontal="center" vertical="center"/>
    </xf>
    <xf numFmtId="9" fontId="4" fillId="0" borderId="15" xfId="0" applyNumberFormat="1" applyFont="1" applyBorder="1" applyAlignment="1">
      <alignment horizontal="center" vertical="center"/>
    </xf>
    <xf numFmtId="0" fontId="4" fillId="0" borderId="22" xfId="0" applyFont="1" applyBorder="1" applyAlignment="1">
      <alignment horizontal="center" vertical="center"/>
    </xf>
    <xf numFmtId="0" fontId="4" fillId="0" borderId="15" xfId="1" applyNumberFormat="1" applyFont="1" applyFill="1" applyBorder="1" applyAlignment="1">
      <alignment horizontal="center" vertical="center" wrapText="1"/>
    </xf>
    <xf numFmtId="44" fontId="4" fillId="0" borderId="15" xfId="0" applyNumberFormat="1" applyFont="1" applyBorder="1" applyAlignment="1">
      <alignment horizontal="center" vertical="center" wrapText="1"/>
    </xf>
    <xf numFmtId="0" fontId="5" fillId="0" borderId="0" xfId="0" applyFont="1" applyAlignment="1">
      <alignment vertical="center" wrapText="1"/>
    </xf>
    <xf numFmtId="0" fontId="8" fillId="5" borderId="0" xfId="0" applyFont="1" applyFill="1"/>
    <xf numFmtId="0" fontId="8" fillId="5" borderId="0" xfId="0" applyFont="1" applyFill="1" applyAlignment="1">
      <alignment vertical="center"/>
    </xf>
    <xf numFmtId="44" fontId="8" fillId="5" borderId="0" xfId="0" applyNumberFormat="1" applyFont="1" applyFill="1" applyAlignment="1">
      <alignment vertical="center"/>
    </xf>
    <xf numFmtId="44" fontId="8" fillId="5" borderId="0" xfId="1" applyFont="1" applyFill="1"/>
    <xf numFmtId="44" fontId="8" fillId="5" borderId="0" xfId="0" applyNumberFormat="1" applyFont="1" applyFill="1"/>
    <xf numFmtId="0" fontId="4" fillId="4" borderId="13" xfId="0" applyFont="1" applyFill="1" applyBorder="1" applyAlignment="1">
      <alignment horizontal="center" vertical="center"/>
    </xf>
    <xf numFmtId="0" fontId="4" fillId="5" borderId="0" xfId="0" applyFont="1" applyFill="1" applyBorder="1" applyAlignment="1">
      <alignment horizontal="center" vertical="center"/>
    </xf>
    <xf numFmtId="0" fontId="4" fillId="5" borderId="0" xfId="0" applyFont="1" applyFill="1" applyBorder="1" applyAlignment="1">
      <alignment horizontal="center" vertical="center" wrapText="1"/>
    </xf>
    <xf numFmtId="44" fontId="4" fillId="5" borderId="0" xfId="0" applyNumberFormat="1" applyFont="1" applyFill="1" applyBorder="1" applyAlignment="1">
      <alignment horizontal="center" vertical="center"/>
    </xf>
    <xf numFmtId="44" fontId="4" fillId="5" borderId="5" xfId="0" applyNumberFormat="1" applyFont="1" applyFill="1" applyBorder="1" applyAlignment="1">
      <alignment horizontal="center" vertical="center"/>
    </xf>
    <xf numFmtId="44" fontId="4" fillId="5" borderId="0" xfId="0" applyNumberFormat="1" applyFont="1" applyFill="1" applyAlignment="1">
      <alignment horizontal="center" vertical="center"/>
    </xf>
    <xf numFmtId="0" fontId="10" fillId="7" borderId="11"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4" xfId="0" applyFont="1" applyFill="1" applyBorder="1" applyAlignment="1">
      <alignment horizontal="center" vertical="center" wrapText="1"/>
    </xf>
    <xf numFmtId="0" fontId="10" fillId="7" borderId="12"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7" borderId="15" xfId="0" applyFont="1" applyFill="1" applyBorder="1" applyAlignment="1">
      <alignment horizontal="center" vertical="center"/>
    </xf>
    <xf numFmtId="0" fontId="8" fillId="7" borderId="15" xfId="0" applyFont="1" applyFill="1" applyBorder="1" applyAlignment="1">
      <alignment horizontal="center" vertical="center" wrapText="1"/>
    </xf>
    <xf numFmtId="0" fontId="8" fillId="7" borderId="16" xfId="0" applyFont="1" applyFill="1" applyBorder="1" applyAlignment="1">
      <alignment horizontal="center" vertical="center"/>
    </xf>
    <xf numFmtId="0" fontId="8" fillId="7" borderId="16" xfId="0" applyFont="1" applyFill="1" applyBorder="1" applyAlignment="1">
      <alignment horizontal="center" vertical="center" wrapText="1"/>
    </xf>
    <xf numFmtId="0" fontId="8" fillId="7" borderId="17"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9" fillId="4" borderId="15"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15" xfId="0" applyFont="1" applyFill="1" applyBorder="1" applyAlignment="1">
      <alignment horizontal="center" vertical="center" wrapText="1"/>
    </xf>
    <xf numFmtId="0" fontId="4" fillId="7" borderId="15" xfId="0" applyFont="1" applyFill="1" applyBorder="1" applyAlignment="1">
      <alignment horizontal="center" vertical="center" wrapText="1"/>
    </xf>
    <xf numFmtId="0" fontId="8" fillId="5" borderId="15" xfId="0" applyFont="1" applyFill="1" applyBorder="1" applyAlignment="1">
      <alignment horizontal="center" vertical="center"/>
    </xf>
    <xf numFmtId="44" fontId="14" fillId="5" borderId="15" xfId="0" applyNumberFormat="1" applyFont="1" applyFill="1" applyBorder="1"/>
    <xf numFmtId="44" fontId="8" fillId="5" borderId="15" xfId="1" applyFont="1" applyFill="1" applyBorder="1" applyAlignment="1">
      <alignment horizontal="center" vertical="center"/>
    </xf>
    <xf numFmtId="44" fontId="8" fillId="5" borderId="15" xfId="0" applyNumberFormat="1" applyFont="1" applyFill="1" applyBorder="1" applyAlignment="1">
      <alignment horizontal="center" vertical="center"/>
    </xf>
    <xf numFmtId="0" fontId="16" fillId="4" borderId="15"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4" fillId="4" borderId="15" xfId="0" applyFont="1" applyFill="1" applyBorder="1" applyAlignment="1">
      <alignment wrapText="1"/>
    </xf>
    <xf numFmtId="0" fontId="4" fillId="4" borderId="15" xfId="0" applyFont="1" applyFill="1" applyBorder="1"/>
    <xf numFmtId="0" fontId="8" fillId="5" borderId="15" xfId="0" applyFont="1" applyFill="1" applyBorder="1" applyAlignment="1">
      <alignment horizontal="center" vertical="center" wrapText="1"/>
    </xf>
    <xf numFmtId="44" fontId="8" fillId="5" borderId="15" xfId="0" applyNumberFormat="1" applyFont="1" applyFill="1" applyBorder="1" applyAlignment="1">
      <alignment horizontal="center" vertical="center" wrapText="1"/>
    </xf>
    <xf numFmtId="44" fontId="8" fillId="5" borderId="15" xfId="1" applyFont="1" applyFill="1" applyBorder="1" applyAlignment="1">
      <alignment horizontal="center" vertical="center" wrapText="1"/>
    </xf>
    <xf numFmtId="44" fontId="8" fillId="5" borderId="15" xfId="1" applyFont="1" applyFill="1" applyBorder="1"/>
    <xf numFmtId="0" fontId="4" fillId="2" borderId="15" xfId="0" applyFont="1" applyFill="1" applyBorder="1"/>
    <xf numFmtId="0" fontId="17" fillId="2" borderId="15" xfId="0" applyFont="1" applyFill="1" applyBorder="1"/>
    <xf numFmtId="0" fontId="8" fillId="7" borderId="22" xfId="0" applyFont="1" applyFill="1" applyBorder="1" applyAlignment="1">
      <alignment horizontal="center" vertical="center" wrapText="1"/>
    </xf>
    <xf numFmtId="44" fontId="8" fillId="7" borderId="15" xfId="0" applyNumberFormat="1" applyFont="1" applyFill="1" applyBorder="1" applyAlignment="1">
      <alignment horizontal="center" vertical="center"/>
    </xf>
    <xf numFmtId="44" fontId="4" fillId="5" borderId="15" xfId="1" applyFont="1" applyFill="1" applyBorder="1"/>
    <xf numFmtId="44" fontId="4" fillId="5" borderId="15" xfId="0" applyNumberFormat="1" applyFont="1" applyFill="1" applyBorder="1" applyAlignment="1">
      <alignment horizontal="center" vertical="center"/>
    </xf>
    <xf numFmtId="0" fontId="4" fillId="7" borderId="15" xfId="0" applyFont="1" applyFill="1" applyBorder="1"/>
    <xf numFmtId="44" fontId="4" fillId="7" borderId="15" xfId="0" applyNumberFormat="1" applyFont="1" applyFill="1" applyBorder="1" applyAlignment="1">
      <alignment horizontal="center" vertical="center"/>
    </xf>
    <xf numFmtId="44" fontId="14" fillId="7" borderId="15" xfId="0" applyNumberFormat="1" applyFont="1" applyFill="1" applyBorder="1"/>
    <xf numFmtId="44" fontId="0" fillId="5" borderId="15" xfId="0" applyNumberFormat="1" applyFill="1" applyBorder="1"/>
    <xf numFmtId="0" fontId="8" fillId="7" borderId="18"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4" fillId="0" borderId="0" xfId="0" applyFont="1" applyBorder="1" applyAlignment="1">
      <alignment vertical="center" wrapText="1"/>
    </xf>
    <xf numFmtId="44" fontId="4" fillId="0" borderId="0" xfId="1" applyFont="1" applyBorder="1" applyAlignment="1">
      <alignment vertical="center" wrapText="1"/>
    </xf>
    <xf numFmtId="0" fontId="4" fillId="0" borderId="0" xfId="0" applyFont="1" applyBorder="1" applyAlignment="1">
      <alignment horizontal="center" vertical="center" wrapText="1"/>
    </xf>
    <xf numFmtId="0" fontId="8" fillId="7" borderId="1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4" fillId="0" borderId="4" xfId="0" applyFont="1" applyBorder="1" applyAlignment="1">
      <alignment horizontal="center" vertical="center" wrapText="1"/>
    </xf>
    <xf numFmtId="44" fontId="4" fillId="0" borderId="4" xfId="1" applyFont="1" applyBorder="1" applyAlignment="1">
      <alignment horizontal="center" vertical="center" wrapText="1"/>
    </xf>
    <xf numFmtId="44" fontId="4" fillId="0" borderId="12" xfId="1" applyFont="1" applyBorder="1" applyAlignment="1">
      <alignment horizontal="center" vertical="center" wrapText="1"/>
    </xf>
    <xf numFmtId="0" fontId="4" fillId="0" borderId="4" xfId="0" applyFont="1" applyBorder="1" applyAlignment="1">
      <alignment wrapText="1"/>
    </xf>
    <xf numFmtId="0" fontId="4" fillId="0" borderId="4" xfId="0" applyFont="1" applyFill="1" applyBorder="1" applyAlignment="1">
      <alignment horizontal="center" vertical="center" wrapText="1"/>
    </xf>
    <xf numFmtId="0" fontId="4" fillId="0" borderId="4" xfId="0" applyFont="1" applyBorder="1" applyAlignment="1">
      <alignment horizontal="left" vertical="center" wrapText="1"/>
    </xf>
    <xf numFmtId="44" fontId="4" fillId="0" borderId="6" xfId="1" applyFont="1" applyBorder="1" applyAlignment="1">
      <alignment horizontal="center" vertical="center" wrapText="1"/>
    </xf>
    <xf numFmtId="0" fontId="0" fillId="0" borderId="0" xfId="0" applyBorder="1" applyAlignment="1">
      <alignment horizontal="center"/>
    </xf>
    <xf numFmtId="44" fontId="0" fillId="0" borderId="0" xfId="1" applyFont="1" applyBorder="1"/>
    <xf numFmtId="0" fontId="4" fillId="7" borderId="18" xfId="0" applyFont="1" applyFill="1" applyBorder="1" applyAlignment="1">
      <alignment horizontal="center" vertical="center" wrapText="1"/>
    </xf>
    <xf numFmtId="0" fontId="9" fillId="4" borderId="24" xfId="0" applyFont="1" applyFill="1" applyBorder="1" applyAlignment="1">
      <alignment vertical="center" wrapText="1"/>
    </xf>
    <xf numFmtId="0" fontId="4" fillId="0" borderId="4" xfId="0" applyFont="1" applyBorder="1" applyAlignment="1">
      <alignment vertical="center" wrapText="1"/>
    </xf>
    <xf numFmtId="0" fontId="4" fillId="0" borderId="0" xfId="0" applyFont="1" applyFill="1" applyBorder="1" applyAlignment="1">
      <alignment wrapText="1"/>
    </xf>
    <xf numFmtId="0" fontId="4" fillId="0" borderId="4" xfId="0" applyFont="1" applyFill="1" applyBorder="1" applyAlignment="1">
      <alignment wrapText="1"/>
    </xf>
    <xf numFmtId="0" fontId="4" fillId="0" borderId="6" xfId="0" applyFont="1" applyFill="1" applyBorder="1" applyAlignment="1">
      <alignment horizontal="center" vertical="center" wrapText="1"/>
    </xf>
    <xf numFmtId="0" fontId="4" fillId="0" borderId="6" xfId="0" applyFont="1" applyBorder="1" applyAlignment="1">
      <alignment horizontal="left" vertical="center" wrapText="1"/>
    </xf>
    <xf numFmtId="0" fontId="4" fillId="8" borderId="0" xfId="0" applyFont="1" applyFill="1" applyBorder="1" applyAlignment="1">
      <alignment horizontal="left" vertical="center" wrapText="1"/>
    </xf>
    <xf numFmtId="0" fontId="4" fillId="8" borderId="0" xfId="0" applyFont="1" applyFill="1" applyBorder="1" applyAlignment="1">
      <alignment vertical="center" wrapText="1"/>
    </xf>
    <xf numFmtId="0" fontId="4" fillId="8" borderId="0" xfId="0" applyFont="1" applyFill="1" applyBorder="1" applyAlignment="1">
      <alignment wrapText="1"/>
    </xf>
    <xf numFmtId="0" fontId="0" fillId="0" borderId="13" xfId="0" applyBorder="1"/>
    <xf numFmtId="0" fontId="0" fillId="0" borderId="14" xfId="0" applyBorder="1"/>
    <xf numFmtId="0" fontId="4" fillId="0" borderId="6" xfId="0" applyFont="1" applyFill="1" applyBorder="1" applyAlignment="1">
      <alignment horizontal="center" vertical="center"/>
    </xf>
    <xf numFmtId="0" fontId="0" fillId="0" borderId="6" xfId="0" applyBorder="1" applyAlignment="1">
      <alignment horizontal="center"/>
    </xf>
    <xf numFmtId="44" fontId="4" fillId="0" borderId="15" xfId="1" applyFont="1" applyBorder="1" applyAlignment="1">
      <alignment horizontal="center" vertical="center" wrapText="1"/>
    </xf>
    <xf numFmtId="44" fontId="4" fillId="0" borderId="18" xfId="0" applyNumberFormat="1" applyFont="1" applyBorder="1" applyAlignment="1">
      <alignment horizontal="center" vertical="center" wrapText="1"/>
    </xf>
    <xf numFmtId="0" fontId="15" fillId="5" borderId="15" xfId="0" applyFont="1" applyFill="1" applyBorder="1" applyAlignment="1">
      <alignment horizontal="center" vertical="center" wrapText="1"/>
    </xf>
    <xf numFmtId="0" fontId="8" fillId="0" borderId="15" xfId="0" applyFont="1" applyBorder="1" applyAlignment="1">
      <alignment horizontal="center" vertical="center" wrapText="1"/>
    </xf>
    <xf numFmtId="165" fontId="8" fillId="0" borderId="15" xfId="0" applyNumberFormat="1" applyFont="1" applyBorder="1" applyAlignment="1">
      <alignment horizontal="center" vertical="center" wrapText="1"/>
    </xf>
    <xf numFmtId="0" fontId="4" fillId="0" borderId="15" xfId="1" applyNumberFormat="1" applyFont="1" applyBorder="1" applyAlignment="1">
      <alignment horizontal="center" vertical="center" wrapText="1"/>
    </xf>
    <xf numFmtId="44" fontId="0" fillId="0" borderId="18" xfId="0" applyNumberFormat="1" applyBorder="1" applyAlignment="1">
      <alignment horizontal="center" vertical="center"/>
    </xf>
    <xf numFmtId="0" fontId="4" fillId="0" borderId="21" xfId="0" applyFont="1" applyFill="1" applyBorder="1" applyAlignment="1">
      <alignment horizontal="center" vertical="center" wrapText="1"/>
    </xf>
    <xf numFmtId="44" fontId="0" fillId="0" borderId="21" xfId="0" applyNumberFormat="1" applyFill="1" applyBorder="1"/>
    <xf numFmtId="0" fontId="4" fillId="0" borderId="15" xfId="0" quotePrefix="1" applyFont="1" applyBorder="1" applyAlignment="1">
      <alignment horizontal="center" vertical="center"/>
    </xf>
    <xf numFmtId="0" fontId="4" fillId="0" borderId="15" xfId="0" applyFont="1" applyBorder="1" applyAlignment="1">
      <alignment horizontal="center"/>
    </xf>
    <xf numFmtId="0" fontId="0" fillId="4" borderId="15" xfId="0" applyFill="1" applyBorder="1" applyAlignment="1">
      <alignment horizontal="center"/>
    </xf>
    <xf numFmtId="0" fontId="4" fillId="0" borderId="0" xfId="0" applyFont="1" applyBorder="1" applyAlignment="1">
      <alignment horizontal="center" vertical="center" wrapText="1"/>
    </xf>
    <xf numFmtId="44" fontId="4" fillId="8" borderId="4" xfId="1" applyFont="1" applyFill="1" applyBorder="1" applyAlignment="1">
      <alignment horizontal="center" vertical="center" wrapText="1"/>
    </xf>
    <xf numFmtId="44" fontId="0" fillId="0" borderId="0" xfId="1" applyFont="1"/>
    <xf numFmtId="0" fontId="3" fillId="0" borderId="0" xfId="0" applyFont="1" applyAlignment="1">
      <alignment horizontal="left"/>
    </xf>
    <xf numFmtId="0" fontId="3"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horizontal="center" vertical="center" wrapText="1"/>
    </xf>
    <xf numFmtId="0" fontId="5" fillId="0" borderId="0" xfId="0" applyFont="1" applyAlignment="1">
      <alignment horizontal="center" wrapText="1"/>
    </xf>
    <xf numFmtId="0" fontId="0" fillId="3" borderId="0" xfId="0" applyFill="1" applyAlignment="1">
      <alignment horizontal="center"/>
    </xf>
    <xf numFmtId="0" fontId="6" fillId="0" borderId="0" xfId="0" applyFont="1" applyAlignment="1">
      <alignment horizontal="center"/>
    </xf>
    <xf numFmtId="0" fontId="2" fillId="0" borderId="0" xfId="0" applyFont="1" applyAlignment="1">
      <alignment horizontal="center" wrapText="1"/>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4" fillId="0" borderId="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9" fillId="4" borderId="23"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25" xfId="0" applyFont="1" applyFill="1" applyBorder="1" applyAlignment="1">
      <alignment horizontal="center" vertical="center" wrapText="1"/>
    </xf>
    <xf numFmtId="0" fontId="6" fillId="3" borderId="8" xfId="0" applyFont="1" applyFill="1" applyBorder="1" applyAlignment="1">
      <alignment horizontal="center"/>
    </xf>
    <xf numFmtId="0" fontId="6" fillId="3" borderId="9" xfId="0" applyFont="1" applyFill="1" applyBorder="1" applyAlignment="1">
      <alignment horizontal="center"/>
    </xf>
    <xf numFmtId="0" fontId="6" fillId="3" borderId="10" xfId="0" applyFont="1" applyFill="1" applyBorder="1" applyAlignment="1">
      <alignment horizontal="center"/>
    </xf>
    <xf numFmtId="0" fontId="10" fillId="6" borderId="8" xfId="0" applyFont="1" applyFill="1" applyBorder="1" applyAlignment="1">
      <alignment horizontal="center"/>
    </xf>
    <xf numFmtId="0" fontId="10" fillId="6" borderId="9" xfId="0" applyFont="1" applyFill="1" applyBorder="1" applyAlignment="1">
      <alignment horizontal="center"/>
    </xf>
    <xf numFmtId="0" fontId="10" fillId="6" borderId="10" xfId="0" applyFont="1" applyFill="1" applyBorder="1" applyAlignment="1">
      <alignment horizontal="center"/>
    </xf>
    <xf numFmtId="0" fontId="13" fillId="6" borderId="15" xfId="0" applyFont="1" applyFill="1" applyBorder="1" applyAlignment="1">
      <alignment horizontal="center"/>
    </xf>
    <xf numFmtId="0" fontId="13" fillId="6" borderId="22" xfId="0" applyFont="1" applyFill="1" applyBorder="1" applyAlignment="1">
      <alignment horizontal="center"/>
    </xf>
    <xf numFmtId="0" fontId="6" fillId="4" borderId="15" xfId="0" applyFont="1" applyFill="1" applyBorder="1" applyAlignment="1">
      <alignment horizontal="center"/>
    </xf>
    <xf numFmtId="0" fontId="6" fillId="3" borderId="15" xfId="0" applyFont="1" applyFill="1" applyBorder="1" applyAlignment="1">
      <alignment horizontal="center"/>
    </xf>
    <xf numFmtId="0" fontId="13" fillId="6" borderId="15" xfId="0" applyFont="1" applyFill="1" applyBorder="1" applyAlignment="1">
      <alignment horizontal="center" vertical="center"/>
    </xf>
    <xf numFmtId="0" fontId="4" fillId="7" borderId="18" xfId="0" applyFont="1" applyFill="1" applyBorder="1" applyAlignment="1">
      <alignment horizontal="center" vertical="center" wrapText="1"/>
    </xf>
    <xf numFmtId="0" fontId="4" fillId="7" borderId="19" xfId="0" applyFont="1" applyFill="1" applyBorder="1" applyAlignment="1">
      <alignment horizontal="center" vertical="center" wrapText="1"/>
    </xf>
    <xf numFmtId="0" fontId="13" fillId="6" borderId="18" xfId="0" applyFont="1" applyFill="1" applyBorder="1" applyAlignment="1">
      <alignment horizontal="center"/>
    </xf>
    <xf numFmtId="0" fontId="13" fillId="6" borderId="20" xfId="0" applyFont="1" applyFill="1" applyBorder="1" applyAlignment="1">
      <alignment horizontal="center"/>
    </xf>
    <xf numFmtId="0" fontId="13" fillId="6" borderId="19" xfId="0" applyFont="1" applyFill="1" applyBorder="1" applyAlignment="1">
      <alignment horizontal="center"/>
    </xf>
    <xf numFmtId="0" fontId="13" fillId="6" borderId="21" xfId="0" applyFont="1" applyFill="1" applyBorder="1" applyAlignment="1">
      <alignment horizontal="center"/>
    </xf>
    <xf numFmtId="0" fontId="13" fillId="6" borderId="0" xfId="0" applyFont="1" applyFill="1" applyBorder="1" applyAlignment="1">
      <alignment horizontal="center"/>
    </xf>
    <xf numFmtId="0" fontId="8" fillId="7" borderId="18" xfId="0" applyFont="1" applyFill="1" applyBorder="1" applyAlignment="1">
      <alignment horizontal="center" vertical="center" wrapText="1"/>
    </xf>
    <xf numFmtId="0" fontId="8" fillId="7" borderId="19" xfId="0" applyFont="1" applyFill="1" applyBorder="1" applyAlignment="1">
      <alignment horizontal="center" vertical="center" wrapText="1"/>
    </xf>
    <xf numFmtId="0" fontId="6" fillId="3" borderId="21" xfId="0" applyFont="1" applyFill="1" applyBorder="1" applyAlignment="1">
      <alignment horizontal="center"/>
    </xf>
    <xf numFmtId="0" fontId="6" fillId="3" borderId="0" xfId="0" applyFont="1" applyFill="1" applyBorder="1" applyAlignment="1">
      <alignment horizontal="center"/>
    </xf>
    <xf numFmtId="0" fontId="8" fillId="7" borderId="15" xfId="0" applyFont="1" applyFill="1" applyBorder="1" applyAlignment="1">
      <alignment horizontal="center" vertical="center" wrapText="1"/>
    </xf>
    <xf numFmtId="0" fontId="5" fillId="0" borderId="15" xfId="0" applyFont="1" applyBorder="1" applyAlignment="1">
      <alignment horizontal="center" vertical="center" wrapText="1"/>
    </xf>
    <xf numFmtId="0" fontId="8" fillId="7" borderId="26"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21" fillId="7" borderId="18" xfId="0" applyFont="1" applyFill="1" applyBorder="1" applyAlignment="1">
      <alignment horizontal="center" vertical="center" wrapText="1"/>
    </xf>
    <xf numFmtId="0" fontId="21" fillId="7" borderId="20" xfId="0" applyFont="1" applyFill="1" applyBorder="1" applyAlignment="1">
      <alignment horizontal="center" vertical="center" wrapText="1"/>
    </xf>
    <xf numFmtId="0" fontId="21" fillId="7" borderId="19" xfId="0" applyFont="1" applyFill="1" applyBorder="1" applyAlignment="1">
      <alignment horizontal="center" vertical="center" wrapText="1"/>
    </xf>
    <xf numFmtId="0" fontId="22" fillId="0" borderId="28" xfId="0" applyFont="1" applyFill="1" applyBorder="1" applyAlignment="1">
      <alignment horizontal="center" vertical="center" wrapText="1"/>
    </xf>
    <xf numFmtId="44" fontId="4" fillId="0" borderId="6" xfId="1" applyFont="1" applyFill="1" applyBorder="1" applyAlignment="1">
      <alignment horizontal="center" vertical="center" wrapText="1"/>
    </xf>
  </cellXfs>
  <cellStyles count="3">
    <cellStyle name="Moneda" xfId="1" builtinId="4"/>
    <cellStyle name="Normal" xfId="0" builtinId="0"/>
    <cellStyle name="Porcentaje" xfId="2" builtinId="5"/>
  </cellStyles>
  <dxfs count="0"/>
  <tableStyles count="0" defaultTableStyle="TableStyleMedium2" defaultPivotStyle="PivotStyleLight16"/>
  <colors>
    <mruColors>
      <color rgb="FFA78AFA"/>
      <color rgb="FF88A6F0"/>
      <color rgb="FFEDC2F6"/>
      <color rgb="FFD26DFB"/>
      <color rgb="FF4A77E8"/>
      <color rgb="FFA4D284"/>
      <color rgb="FFF2C444"/>
      <color rgb="FFF2B468"/>
      <color rgb="FFFFECC1"/>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2</xdr:row>
      <xdr:rowOff>0</xdr:rowOff>
    </xdr:from>
    <xdr:to>
      <xdr:col>6</xdr:col>
      <xdr:colOff>1371600</xdr:colOff>
      <xdr:row>3</xdr:row>
      <xdr:rowOff>7619</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44440" y="533400"/>
          <a:ext cx="2087880" cy="20878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88" workbookViewId="0">
      <selection activeCell="E4" sqref="E4:G4"/>
    </sheetView>
  </sheetViews>
  <sheetFormatPr baseColWidth="10" defaultRowHeight="14.4" x14ac:dyDescent="0.3"/>
  <cols>
    <col min="3" max="3" width="26.21875" customWidth="1"/>
    <col min="7" max="7" width="33.33203125" customWidth="1"/>
  </cols>
  <sheetData>
    <row r="1" spans="1:8" ht="21" x14ac:dyDescent="0.4">
      <c r="A1" s="180" t="s">
        <v>0</v>
      </c>
      <c r="B1" s="180"/>
      <c r="C1" s="180"/>
      <c r="E1" s="186" t="s">
        <v>252</v>
      </c>
      <c r="F1" s="186"/>
      <c r="G1" s="186"/>
    </row>
    <row r="2" spans="1:8" ht="39" customHeight="1" x14ac:dyDescent="0.4">
      <c r="A2" s="180" t="s">
        <v>1</v>
      </c>
      <c r="B2" s="180"/>
      <c r="C2" s="180"/>
      <c r="E2" s="184" t="s">
        <v>255</v>
      </c>
      <c r="F2" s="187"/>
      <c r="G2" s="187"/>
    </row>
    <row r="3" spans="1:8" ht="163.80000000000001" customHeight="1" x14ac:dyDescent="0.3">
      <c r="A3" s="181" t="s">
        <v>2</v>
      </c>
      <c r="B3" s="181"/>
      <c r="C3" s="181"/>
      <c r="E3" s="185"/>
      <c r="F3" s="185"/>
      <c r="G3" s="185"/>
      <c r="H3" s="18"/>
    </row>
    <row r="4" spans="1:8" ht="42" customHeight="1" x14ac:dyDescent="0.4">
      <c r="A4" s="180" t="s">
        <v>3</v>
      </c>
      <c r="B4" s="180"/>
      <c r="C4" s="180"/>
      <c r="E4" s="184" t="s">
        <v>335</v>
      </c>
      <c r="F4" s="184"/>
      <c r="G4" s="184"/>
    </row>
    <row r="5" spans="1:8" ht="51.6" customHeight="1" x14ac:dyDescent="0.3">
      <c r="A5" s="181" t="s">
        <v>4</v>
      </c>
      <c r="B5" s="182"/>
      <c r="C5" s="182"/>
      <c r="E5" s="183" t="s">
        <v>254</v>
      </c>
      <c r="F5" s="183"/>
      <c r="G5" s="183"/>
    </row>
    <row r="6" spans="1:8" ht="14.4" customHeight="1" x14ac:dyDescent="0.3">
      <c r="E6" s="86"/>
      <c r="F6" s="86"/>
      <c r="G6" s="86"/>
    </row>
  </sheetData>
  <mergeCells count="10">
    <mergeCell ref="E5:G5"/>
    <mergeCell ref="E4:G4"/>
    <mergeCell ref="E3:G3"/>
    <mergeCell ref="E1:G1"/>
    <mergeCell ref="E2:G2"/>
    <mergeCell ref="A1:C1"/>
    <mergeCell ref="A2:C2"/>
    <mergeCell ref="A3:C3"/>
    <mergeCell ref="A4:C4"/>
    <mergeCell ref="A5:C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
  <sheetViews>
    <sheetView zoomScale="104" workbookViewId="0">
      <selection activeCell="E16" sqref="E16"/>
    </sheetView>
  </sheetViews>
  <sheetFormatPr baseColWidth="10" defaultRowHeight="14.4" x14ac:dyDescent="0.3"/>
  <cols>
    <col min="1" max="1" width="23.6640625" customWidth="1"/>
    <col min="2" max="2" width="16.88671875" customWidth="1"/>
    <col min="3" max="3" width="16.77734375" customWidth="1"/>
    <col min="4" max="4" width="16.88671875" customWidth="1"/>
    <col min="5" max="5" width="17.21875" customWidth="1"/>
    <col min="6" max="6" width="17.6640625" customWidth="1"/>
    <col min="8" max="8" width="28.109375" customWidth="1"/>
  </cols>
  <sheetData>
    <row r="1" spans="1:8" ht="21" x14ac:dyDescent="0.4">
      <c r="A1" s="219" t="s">
        <v>252</v>
      </c>
      <c r="B1" s="220"/>
      <c r="C1" s="220"/>
      <c r="D1" s="220"/>
      <c r="E1" s="220"/>
      <c r="F1" s="220"/>
    </row>
    <row r="3" spans="1:8" ht="15.6" x14ac:dyDescent="0.3">
      <c r="A3" s="50"/>
      <c r="B3" s="104" t="s">
        <v>173</v>
      </c>
      <c r="C3" s="104" t="s">
        <v>174</v>
      </c>
      <c r="D3" s="104" t="s">
        <v>175</v>
      </c>
      <c r="E3" s="104" t="s">
        <v>176</v>
      </c>
      <c r="F3" s="104" t="s">
        <v>177</v>
      </c>
    </row>
    <row r="4" spans="1:8" ht="15.6" x14ac:dyDescent="0.3">
      <c r="A4" s="104" t="s">
        <v>172</v>
      </c>
      <c r="B4" s="128">
        <f>Ingresos!E4</f>
        <v>3751947.6955199996</v>
      </c>
      <c r="C4" s="128">
        <f>B4*1.0463</f>
        <v>3925662.8738225754</v>
      </c>
      <c r="D4" s="128">
        <f t="shared" ref="D4:F4" si="0">C4*1.0463</f>
        <v>4107421.0648805606</v>
      </c>
      <c r="E4" s="128">
        <f t="shared" si="0"/>
        <v>4297594.6601845305</v>
      </c>
      <c r="F4" s="128">
        <f t="shared" si="0"/>
        <v>4496573.2929510744</v>
      </c>
      <c r="H4" s="71" t="s">
        <v>178</v>
      </c>
    </row>
    <row r="5" spans="1:8" ht="15.6" x14ac:dyDescent="0.3">
      <c r="A5" s="104" t="s">
        <v>171</v>
      </c>
      <c r="B5" s="128">
        <f>SUM(B6,B7,B8,B9)</f>
        <v>2779220.5151999998</v>
      </c>
      <c r="C5" s="128">
        <f>SUM(C6,C7,C8,C9)</f>
        <v>2907898.4250537599</v>
      </c>
      <c r="D5" s="128">
        <f>SUM(D6,D7,D8,D9)</f>
        <v>3042534.1221337491</v>
      </c>
      <c r="E5" s="128">
        <f>SUM(E6,E7,E8,E9)</f>
        <v>3183403.4519885415</v>
      </c>
      <c r="F5" s="128">
        <f>SUM(F6,F7,F8,F9)</f>
        <v>3330795.0318156113</v>
      </c>
    </row>
    <row r="6" spans="1:8" ht="15.6" x14ac:dyDescent="0.3">
      <c r="A6" s="111" t="s">
        <v>37</v>
      </c>
      <c r="B6" s="32">
        <f>'Costos '!I15</f>
        <v>2133768.1151999999</v>
      </c>
      <c r="C6" s="32">
        <f>B6*1.0463</f>
        <v>2232561.5789337601</v>
      </c>
      <c r="D6" s="32">
        <f t="shared" ref="D6:F6" si="1">C6*1.0463</f>
        <v>2335929.180038393</v>
      </c>
      <c r="E6" s="32">
        <f t="shared" si="1"/>
        <v>2444082.7010741704</v>
      </c>
      <c r="F6" s="32">
        <f t="shared" si="1"/>
        <v>2557243.7301339046</v>
      </c>
    </row>
    <row r="7" spans="1:8" ht="15.6" x14ac:dyDescent="0.3">
      <c r="A7" s="111" t="s">
        <v>39</v>
      </c>
      <c r="B7" s="32">
        <f>'Costos '!G25</f>
        <v>592844.4</v>
      </c>
      <c r="C7" s="32">
        <f>B7*1.0463</f>
        <v>620293.09571999998</v>
      </c>
      <c r="D7" s="32">
        <f t="shared" ref="D7:F7" si="2">C7*1.0463</f>
        <v>649012.66605183599</v>
      </c>
      <c r="E7" s="32">
        <f t="shared" si="2"/>
        <v>679061.95249003603</v>
      </c>
      <c r="F7" s="32">
        <f t="shared" si="2"/>
        <v>710502.52089032473</v>
      </c>
    </row>
    <row r="8" spans="1:8" ht="15.6" x14ac:dyDescent="0.3">
      <c r="A8" s="111" t="s">
        <v>147</v>
      </c>
      <c r="B8" s="32">
        <f>'Costos '!D35</f>
        <v>52608</v>
      </c>
      <c r="C8" s="32">
        <f>B8*1.0463</f>
        <v>55043.750399999997</v>
      </c>
      <c r="D8" s="32">
        <f t="shared" ref="D8:F8" si="3">C8*1.0463</f>
        <v>57592.276043519996</v>
      </c>
      <c r="E8" s="32">
        <f t="shared" si="3"/>
        <v>60258.798424334971</v>
      </c>
      <c r="F8" s="32">
        <f t="shared" si="3"/>
        <v>63048.78079138168</v>
      </c>
    </row>
    <row r="9" spans="1:8" ht="15.6" x14ac:dyDescent="0.3">
      <c r="A9" s="111" t="s">
        <v>161</v>
      </c>
      <c r="B9" s="32"/>
      <c r="C9" s="32"/>
      <c r="D9" s="32"/>
      <c r="E9" s="32"/>
      <c r="F9" s="32"/>
    </row>
    <row r="10" spans="1:8" ht="15.6" x14ac:dyDescent="0.3">
      <c r="A10" s="104" t="s">
        <v>162</v>
      </c>
      <c r="B10" s="128">
        <f>B4-B5</f>
        <v>972727.18031999981</v>
      </c>
      <c r="C10" s="128">
        <f>C4-C5</f>
        <v>1017764.4487688155</v>
      </c>
      <c r="D10" s="128">
        <f>D4-D5</f>
        <v>1064886.9427468115</v>
      </c>
      <c r="E10" s="128">
        <f>E4-E5</f>
        <v>1114191.208195989</v>
      </c>
      <c r="F10" s="128">
        <f>F4-F5</f>
        <v>1165778.2611354631</v>
      </c>
    </row>
    <row r="11" spans="1:8" ht="15.6" x14ac:dyDescent="0.3">
      <c r="A11" s="104" t="s">
        <v>163</v>
      </c>
      <c r="B11" s="128">
        <f>SUM(,B12,B13)</f>
        <v>174298.856332</v>
      </c>
      <c r="C11" s="128">
        <f t="shared" ref="C11:F11" si="4">SUM(,C12,C13)</f>
        <v>182368.89338017162</v>
      </c>
      <c r="D11" s="128">
        <f t="shared" si="4"/>
        <v>190812.57314367357</v>
      </c>
      <c r="E11" s="128">
        <f t="shared" si="4"/>
        <v>199647.19528022566</v>
      </c>
      <c r="F11" s="128">
        <f t="shared" si="4"/>
        <v>208890.86042170008</v>
      </c>
    </row>
    <row r="12" spans="1:8" ht="15.6" x14ac:dyDescent="0.3">
      <c r="A12" s="111" t="s">
        <v>164</v>
      </c>
      <c r="B12" s="32">
        <f>'Gastos '!D9</f>
        <v>56947.283499999998</v>
      </c>
      <c r="C12" s="32">
        <f>B12*1.0463</f>
        <v>59583.942726050002</v>
      </c>
      <c r="D12" s="32">
        <f t="shared" ref="D12:F12" si="5">C12*1.0463</f>
        <v>62342.67927426612</v>
      </c>
      <c r="E12" s="32">
        <f>D12*1.0463</f>
        <v>65229.145324664642</v>
      </c>
      <c r="F12" s="32">
        <f t="shared" si="5"/>
        <v>68249.254753196612</v>
      </c>
    </row>
    <row r="13" spans="1:8" ht="15.6" x14ac:dyDescent="0.3">
      <c r="A13" s="111" t="s">
        <v>149</v>
      </c>
      <c r="B13" s="32">
        <f>'Gastos '!D22</f>
        <v>117351.57283200001</v>
      </c>
      <c r="C13" s="32">
        <f>B13*1.0463</f>
        <v>122784.95065412161</v>
      </c>
      <c r="D13" s="32">
        <f t="shared" ref="D13:F13" si="6">C13*1.0463</f>
        <v>128469.89386940745</v>
      </c>
      <c r="E13" s="32">
        <f t="shared" si="6"/>
        <v>134418.049955561</v>
      </c>
      <c r="F13" s="32">
        <f t="shared" si="6"/>
        <v>140641.60566850347</v>
      </c>
    </row>
    <row r="14" spans="1:8" ht="15.6" x14ac:dyDescent="0.3">
      <c r="A14" s="104" t="s">
        <v>165</v>
      </c>
      <c r="B14" s="128">
        <f>B10-B11</f>
        <v>798428.32398799981</v>
      </c>
      <c r="C14" s="128">
        <f>C10-C11</f>
        <v>835395.55538864387</v>
      </c>
      <c r="D14" s="128">
        <f>D10-D11</f>
        <v>874074.36960313795</v>
      </c>
      <c r="E14" s="128">
        <f>E10-E11</f>
        <v>914544.01291576331</v>
      </c>
      <c r="F14" s="128">
        <f>F10-F11</f>
        <v>956887.40071376308</v>
      </c>
    </row>
    <row r="15" spans="1:8" ht="15.6" x14ac:dyDescent="0.3">
      <c r="A15" s="111" t="s">
        <v>166</v>
      </c>
      <c r="B15" s="32">
        <f>'Tabla de amortizacion '!F23+'Tabla de amortizacion '!F81</f>
        <v>60408.338000776952</v>
      </c>
      <c r="C15" s="32">
        <f>'Tabla de amortizacion '!F35+'Tabla de amortizacion '!F93</f>
        <v>45829.082602377108</v>
      </c>
      <c r="D15" s="32">
        <f>'Tabla de amortizacion '!F47+'Tabla de amortizacion '!F105</f>
        <v>31453.984909188945</v>
      </c>
      <c r="E15" s="32">
        <f>'Tabla de amortizacion '!F59</f>
        <v>10784.085495636411</v>
      </c>
      <c r="F15" s="32">
        <v>0</v>
      </c>
    </row>
    <row r="16" spans="1:8" ht="31.2" x14ac:dyDescent="0.3">
      <c r="A16" s="104" t="s">
        <v>167</v>
      </c>
      <c r="B16" s="128">
        <f>B14-B15</f>
        <v>738019.98598722287</v>
      </c>
      <c r="C16" s="128">
        <f t="shared" ref="C16:F16" si="7">C14-C15</f>
        <v>789566.47278626682</v>
      </c>
      <c r="D16" s="128">
        <f t="shared" si="7"/>
        <v>842620.38469394902</v>
      </c>
      <c r="E16" s="128">
        <f t="shared" si="7"/>
        <v>903759.92742012686</v>
      </c>
      <c r="F16" s="128">
        <f t="shared" si="7"/>
        <v>956887.40071376308</v>
      </c>
    </row>
    <row r="17" spans="1:6" ht="15.6" x14ac:dyDescent="0.3">
      <c r="A17" s="111" t="s">
        <v>168</v>
      </c>
      <c r="B17" s="32">
        <f>B16*0.1</f>
        <v>73801.99859872229</v>
      </c>
      <c r="C17" s="32">
        <f t="shared" ref="C17:F17" si="8">C16*0.1</f>
        <v>78956.647278626682</v>
      </c>
      <c r="D17" s="32">
        <f t="shared" si="8"/>
        <v>84262.038469394902</v>
      </c>
      <c r="E17" s="32">
        <f t="shared" si="8"/>
        <v>90375.992742012691</v>
      </c>
      <c r="F17" s="32">
        <f t="shared" si="8"/>
        <v>95688.74007137632</v>
      </c>
    </row>
    <row r="18" spans="1:6" ht="15.6" x14ac:dyDescent="0.3">
      <c r="A18" s="111" t="s">
        <v>169</v>
      </c>
      <c r="B18" s="32">
        <f>B16*0.28</f>
        <v>206645.59607642243</v>
      </c>
      <c r="C18" s="32">
        <f t="shared" ref="C18:F18" si="9">C16*0.28</f>
        <v>221078.61238015472</v>
      </c>
      <c r="D18" s="32">
        <f t="shared" si="9"/>
        <v>235933.70771430575</v>
      </c>
      <c r="E18" s="32">
        <f t="shared" si="9"/>
        <v>253052.77967763555</v>
      </c>
      <c r="F18" s="32">
        <f t="shared" si="9"/>
        <v>267928.47219985368</v>
      </c>
    </row>
    <row r="19" spans="1:6" ht="31.2" x14ac:dyDescent="0.3">
      <c r="A19" s="121" t="s">
        <v>170</v>
      </c>
      <c r="B19" s="116">
        <f>B16-B17-B18</f>
        <v>457572.39131207817</v>
      </c>
      <c r="C19" s="116">
        <f>C16-C17-C18</f>
        <v>489531.21312748542</v>
      </c>
      <c r="D19" s="116">
        <f>D16-D17-D18</f>
        <v>522424.63851024839</v>
      </c>
      <c r="E19" s="116">
        <f t="shared" ref="E19:F19" si="10">E16-E17-E18</f>
        <v>560331.15500047861</v>
      </c>
      <c r="F19" s="116">
        <f t="shared" si="10"/>
        <v>593270.18844253314</v>
      </c>
    </row>
  </sheetData>
  <mergeCells count="1">
    <mergeCell ref="A1:F1"/>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1"/>
  <sheetViews>
    <sheetView zoomScale="66" workbookViewId="0">
      <selection activeCell="B17" sqref="B17"/>
    </sheetView>
  </sheetViews>
  <sheetFormatPr baseColWidth="10" defaultRowHeight="14.4" x14ac:dyDescent="0.3"/>
  <cols>
    <col min="1" max="1" width="18" customWidth="1"/>
    <col min="2" max="2" width="16.5546875" customWidth="1"/>
    <col min="3" max="3" width="17.77734375" customWidth="1"/>
    <col min="4" max="4" width="17.33203125" customWidth="1"/>
    <col min="5" max="5" width="16.5546875" customWidth="1"/>
    <col min="6" max="6" width="17.33203125" customWidth="1"/>
    <col min="7" max="7" width="19" customWidth="1"/>
  </cols>
  <sheetData>
    <row r="1" spans="1:7" ht="21" x14ac:dyDescent="0.4">
      <c r="A1" s="219" t="s">
        <v>252</v>
      </c>
      <c r="B1" s="220"/>
      <c r="C1" s="220"/>
      <c r="D1" s="220"/>
      <c r="E1" s="220"/>
      <c r="F1" s="220"/>
      <c r="G1" s="220"/>
    </row>
    <row r="2" spans="1:7" ht="18" x14ac:dyDescent="0.35">
      <c r="A2" s="215" t="s">
        <v>179</v>
      </c>
      <c r="B2" s="216"/>
      <c r="C2" s="216"/>
      <c r="D2" s="216"/>
      <c r="E2" s="216"/>
      <c r="F2" s="216"/>
      <c r="G2" s="216"/>
    </row>
    <row r="3" spans="1:7" ht="15.6" x14ac:dyDescent="0.3">
      <c r="A3" s="104" t="s">
        <v>38</v>
      </c>
      <c r="B3" s="104" t="s">
        <v>190</v>
      </c>
      <c r="C3" s="104" t="s">
        <v>191</v>
      </c>
      <c r="D3" s="104" t="s">
        <v>192</v>
      </c>
      <c r="E3" s="104" t="s">
        <v>193</v>
      </c>
      <c r="F3" s="104" t="s">
        <v>194</v>
      </c>
      <c r="G3" s="104" t="s">
        <v>33</v>
      </c>
    </row>
    <row r="4" spans="1:7" ht="15.6" x14ac:dyDescent="0.3">
      <c r="A4" s="118" t="s">
        <v>180</v>
      </c>
      <c r="B4" s="59">
        <v>0</v>
      </c>
      <c r="C4" s="59">
        <f>'Estado de resultados '!B4</f>
        <v>3751947.6955199996</v>
      </c>
      <c r="D4" s="59">
        <f>'Estado de resultados '!C4</f>
        <v>3925662.8738225754</v>
      </c>
      <c r="E4" s="59">
        <f>'Estado de resultados '!D4</f>
        <v>4107421.0648805606</v>
      </c>
      <c r="F4" s="59">
        <f>'Estado de resultados '!E4</f>
        <v>4297594.6601845305</v>
      </c>
      <c r="G4" s="59">
        <f>'Estado de resultados '!F4</f>
        <v>4496573.2929510744</v>
      </c>
    </row>
    <row r="5" spans="1:7" ht="31.2" x14ac:dyDescent="0.3">
      <c r="A5" s="118" t="s">
        <v>181</v>
      </c>
      <c r="B5" s="59">
        <v>0</v>
      </c>
      <c r="C5" s="59">
        <v>0</v>
      </c>
      <c r="D5" s="59">
        <v>0</v>
      </c>
      <c r="E5" s="59">
        <v>0</v>
      </c>
      <c r="F5" s="59">
        <v>0</v>
      </c>
      <c r="G5" s="59">
        <v>0</v>
      </c>
    </row>
    <row r="6" spans="1:7" ht="31.2" x14ac:dyDescent="0.3">
      <c r="A6" s="118" t="s">
        <v>182</v>
      </c>
      <c r="B6" s="59">
        <f>B4+B5</f>
        <v>0</v>
      </c>
      <c r="C6" s="59">
        <f>C4+C5</f>
        <v>3751947.6955199996</v>
      </c>
      <c r="D6" s="59">
        <f t="shared" ref="D6:G6" si="0">D4+D5</f>
        <v>3925662.8738225754</v>
      </c>
      <c r="E6" s="59">
        <f t="shared" si="0"/>
        <v>4107421.0648805606</v>
      </c>
      <c r="F6" s="59">
        <f t="shared" si="0"/>
        <v>4297594.6601845305</v>
      </c>
      <c r="G6" s="59">
        <f t="shared" si="0"/>
        <v>4496573.2929510744</v>
      </c>
    </row>
    <row r="7" spans="1:7" ht="31.2" x14ac:dyDescent="0.3">
      <c r="A7" s="118" t="s">
        <v>58</v>
      </c>
      <c r="B7" s="59">
        <v>0</v>
      </c>
      <c r="C7" s="59">
        <f>'Estado de resultados '!B5</f>
        <v>2779220.5151999998</v>
      </c>
      <c r="D7" s="59">
        <f>'Estado de resultados '!C5</f>
        <v>2907898.4250537599</v>
      </c>
      <c r="E7" s="59">
        <f>'Estado de resultados '!D5</f>
        <v>3042534.1221337491</v>
      </c>
      <c r="F7" s="59">
        <f>'Estado de resultados '!E5</f>
        <v>3183403.4519885415</v>
      </c>
      <c r="G7" s="59">
        <f>'Estado de resultados '!F5</f>
        <v>3330795.0318156113</v>
      </c>
    </row>
    <row r="8" spans="1:7" ht="31.2" x14ac:dyDescent="0.3">
      <c r="A8" s="118" t="s">
        <v>183</v>
      </c>
      <c r="B8" s="59">
        <v>0</v>
      </c>
      <c r="C8" s="59">
        <f>'Estado de resultados '!B11</f>
        <v>174298.856332</v>
      </c>
      <c r="D8" s="59">
        <f>'Estado de resultados '!C11</f>
        <v>182368.89338017162</v>
      </c>
      <c r="E8" s="59">
        <f>'Estado de resultados '!D11</f>
        <v>190812.57314367357</v>
      </c>
      <c r="F8" s="59">
        <f>'Estado de resultados '!E11</f>
        <v>199647.19528022566</v>
      </c>
      <c r="G8" s="59">
        <f>'Estado de resultados '!F11</f>
        <v>208890.86042170008</v>
      </c>
    </row>
    <row r="9" spans="1:7" ht="31.2" x14ac:dyDescent="0.3">
      <c r="A9" s="118" t="s">
        <v>184</v>
      </c>
      <c r="B9" s="59">
        <v>0</v>
      </c>
      <c r="C9" s="59">
        <f>'Estado de resultados '!B15</f>
        <v>60408.338000776952</v>
      </c>
      <c r="D9" s="59">
        <f>'Estado de resultados '!C15</f>
        <v>45829.082602377108</v>
      </c>
      <c r="E9" s="59">
        <f>'Estado de resultados '!D15</f>
        <v>31453.984909188945</v>
      </c>
      <c r="F9" s="59">
        <f>'Estado de resultados '!E15</f>
        <v>10784.085495636411</v>
      </c>
      <c r="G9" s="59">
        <f>'Estado de resultados '!F15</f>
        <v>0</v>
      </c>
    </row>
    <row r="10" spans="1:7" ht="15.6" x14ac:dyDescent="0.3">
      <c r="A10" s="118" t="s">
        <v>185</v>
      </c>
      <c r="B10" s="59">
        <f>SUM(B7:B9)</f>
        <v>0</v>
      </c>
      <c r="C10" s="59">
        <f>SUM(C7:C9)</f>
        <v>3013927.7095327768</v>
      </c>
      <c r="D10" s="59">
        <f t="shared" ref="D10:G10" si="1">SUM(D7:D9)</f>
        <v>3136096.4010363086</v>
      </c>
      <c r="E10" s="59">
        <f t="shared" si="1"/>
        <v>3264800.6801866116</v>
      </c>
      <c r="F10" s="59">
        <f t="shared" si="1"/>
        <v>3393834.7327644033</v>
      </c>
      <c r="G10" s="59">
        <f t="shared" si="1"/>
        <v>3539685.8922373112</v>
      </c>
    </row>
    <row r="11" spans="1:7" ht="31.2" x14ac:dyDescent="0.3">
      <c r="A11" s="118" t="s">
        <v>186</v>
      </c>
      <c r="B11" s="59">
        <f>Inversion!H35-Inversion!H25-Inversion!H24</f>
        <v>55353</v>
      </c>
      <c r="C11" s="59">
        <v>0</v>
      </c>
      <c r="D11" s="59">
        <v>0</v>
      </c>
      <c r="E11" s="59">
        <v>0</v>
      </c>
      <c r="F11" s="59">
        <v>0</v>
      </c>
      <c r="G11" s="59">
        <v>0</v>
      </c>
    </row>
    <row r="12" spans="1:7" ht="31.2" x14ac:dyDescent="0.3">
      <c r="A12" s="118" t="s">
        <v>187</v>
      </c>
      <c r="B12" s="59">
        <f>Inversion!H24+Inversion!H25</f>
        <v>3961</v>
      </c>
      <c r="C12" s="59">
        <v>0</v>
      </c>
      <c r="D12" s="59">
        <v>0</v>
      </c>
      <c r="E12" s="59">
        <v>0</v>
      </c>
      <c r="F12" s="59">
        <v>0</v>
      </c>
      <c r="G12" s="59">
        <v>0</v>
      </c>
    </row>
    <row r="13" spans="1:7" ht="31.2" x14ac:dyDescent="0.3">
      <c r="A13" s="118" t="s">
        <v>188</v>
      </c>
      <c r="B13" s="59">
        <f>Inversion!H37</f>
        <v>738379.84288299992</v>
      </c>
      <c r="C13" s="59">
        <v>0</v>
      </c>
      <c r="D13" s="59">
        <v>0</v>
      </c>
      <c r="E13" s="59">
        <v>0</v>
      </c>
      <c r="F13" s="59">
        <v>0</v>
      </c>
      <c r="G13" s="59">
        <v>0</v>
      </c>
    </row>
    <row r="14" spans="1:7" ht="15.6" x14ac:dyDescent="0.3">
      <c r="A14" s="121" t="s">
        <v>189</v>
      </c>
      <c r="B14" s="129">
        <f>B6-B10-B11-B12-B13</f>
        <v>-797693.84288299992</v>
      </c>
      <c r="C14" s="129">
        <f>C6-C10-C11-C12-C13</f>
        <v>738019.98598722275</v>
      </c>
      <c r="D14" s="129">
        <f t="shared" ref="D14:G14" si="2">D6-D10-D11-D12-D13</f>
        <v>789566.47278626682</v>
      </c>
      <c r="E14" s="129">
        <f>E6-E10-E11-E12-E13</f>
        <v>842620.38469394902</v>
      </c>
      <c r="F14" s="129">
        <f>F6-F10-F11-F12-F13</f>
        <v>903759.92742012721</v>
      </c>
      <c r="G14" s="129">
        <f t="shared" si="2"/>
        <v>956887.4007137632</v>
      </c>
    </row>
    <row r="16" spans="1:7" ht="15.6" x14ac:dyDescent="0.3">
      <c r="A16" s="104" t="s">
        <v>195</v>
      </c>
      <c r="B16" s="104" t="s">
        <v>191</v>
      </c>
      <c r="C16" s="104" t="s">
        <v>192</v>
      </c>
      <c r="D16" s="104" t="s">
        <v>193</v>
      </c>
      <c r="E16" s="104" t="s">
        <v>194</v>
      </c>
      <c r="F16" s="104" t="s">
        <v>33</v>
      </c>
    </row>
    <row r="17" spans="1:6" ht="31.2" x14ac:dyDescent="0.3">
      <c r="A17" s="118" t="s">
        <v>170</v>
      </c>
      <c r="B17" s="32">
        <f>'Estado de resultados '!B19</f>
        <v>457572.39131207817</v>
      </c>
      <c r="C17" s="32">
        <f>'Estado de resultados '!C19</f>
        <v>489531.21312748542</v>
      </c>
      <c r="D17" s="32">
        <f>'Estado de resultados '!D19</f>
        <v>522424.63851024839</v>
      </c>
      <c r="E17" s="32">
        <f>'Estado de resultados '!E19</f>
        <v>560331.15500047861</v>
      </c>
      <c r="F17" s="32">
        <f>'Estado de resultados '!F19</f>
        <v>593270.18844253314</v>
      </c>
    </row>
    <row r="18" spans="1:6" ht="15.6" x14ac:dyDescent="0.3">
      <c r="A18" s="118" t="s">
        <v>196</v>
      </c>
      <c r="B18" s="32">
        <f>'Depreciaciones '!J26</f>
        <v>9628.7069999999985</v>
      </c>
      <c r="C18" s="32">
        <f>'Depreciaciones '!K26</f>
        <v>9628.7069999999985</v>
      </c>
      <c r="D18" s="32">
        <f>'Depreciaciones '!L26</f>
        <v>9628.7069999999985</v>
      </c>
      <c r="E18" s="32">
        <f>'Depreciaciones '!M26</f>
        <v>2366.1</v>
      </c>
      <c r="F18" s="32">
        <f>'Depreciaciones '!N26</f>
        <v>2366.1</v>
      </c>
    </row>
    <row r="19" spans="1:6" ht="15.6" x14ac:dyDescent="0.3">
      <c r="A19" s="131" t="s">
        <v>200</v>
      </c>
      <c r="B19" s="132">
        <f>B17+B18</f>
        <v>467201.09831207816</v>
      </c>
      <c r="C19" s="132">
        <f t="shared" ref="C19:F19" si="3">C17+C18</f>
        <v>499159.92012748541</v>
      </c>
      <c r="D19" s="132">
        <f t="shared" si="3"/>
        <v>532053.34551024844</v>
      </c>
      <c r="E19" s="132">
        <f t="shared" si="3"/>
        <v>562697.25500047859</v>
      </c>
      <c r="F19" s="132">
        <f t="shared" si="3"/>
        <v>595636.28844253311</v>
      </c>
    </row>
    <row r="20" spans="1:6" ht="31.2" x14ac:dyDescent="0.3">
      <c r="A20" s="118" t="s">
        <v>197</v>
      </c>
      <c r="B20" s="31">
        <v>0</v>
      </c>
      <c r="C20" s="31">
        <v>0</v>
      </c>
      <c r="D20" s="31">
        <v>0</v>
      </c>
      <c r="E20" s="31">
        <v>0</v>
      </c>
      <c r="F20" s="31">
        <v>0</v>
      </c>
    </row>
    <row r="21" spans="1:6" ht="31.2" x14ac:dyDescent="0.3">
      <c r="A21" s="121" t="s">
        <v>198</v>
      </c>
      <c r="B21" s="130">
        <f>B19+B20</f>
        <v>467201.09831207816</v>
      </c>
      <c r="C21" s="130">
        <f t="shared" ref="C21:F21" si="4">C19+C20</f>
        <v>499159.92012748541</v>
      </c>
      <c r="D21" s="130">
        <f t="shared" si="4"/>
        <v>532053.34551024844</v>
      </c>
      <c r="E21" s="130">
        <f t="shared" si="4"/>
        <v>562697.25500047859</v>
      </c>
      <c r="F21" s="130">
        <f t="shared" si="4"/>
        <v>595636.28844253311</v>
      </c>
    </row>
  </sheetData>
  <mergeCells count="2">
    <mergeCell ref="A1:G1"/>
    <mergeCell ref="A2:G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2" zoomScale="71" workbookViewId="0">
      <selection activeCell="B16" sqref="B16:F16"/>
    </sheetView>
  </sheetViews>
  <sheetFormatPr baseColWidth="10" defaultRowHeight="14.4" x14ac:dyDescent="0.3"/>
  <cols>
    <col min="1" max="1" width="22.21875" customWidth="1"/>
    <col min="2" max="2" width="19.77734375" customWidth="1"/>
    <col min="3" max="6" width="13.109375" bestFit="1" customWidth="1"/>
    <col min="7" max="7" width="15.109375" customWidth="1"/>
  </cols>
  <sheetData>
    <row r="1" spans="1:7" ht="21" x14ac:dyDescent="0.4">
      <c r="A1" s="219" t="s">
        <v>252</v>
      </c>
      <c r="B1" s="220"/>
      <c r="C1" s="220"/>
      <c r="D1" s="220"/>
      <c r="E1" s="220"/>
      <c r="F1" s="220"/>
      <c r="G1" s="220"/>
    </row>
    <row r="2" spans="1:7" ht="18" x14ac:dyDescent="0.35">
      <c r="A2" s="215" t="s">
        <v>201</v>
      </c>
      <c r="B2" s="216"/>
      <c r="C2" s="216"/>
      <c r="D2" s="216"/>
      <c r="E2" s="216"/>
      <c r="F2" s="216"/>
      <c r="G2" s="216"/>
    </row>
    <row r="3" spans="1:7" ht="15.6" x14ac:dyDescent="0.3">
      <c r="B3" s="104" t="s">
        <v>191</v>
      </c>
      <c r="C3" s="104" t="s">
        <v>192</v>
      </c>
      <c r="D3" s="104" t="s">
        <v>193</v>
      </c>
      <c r="E3" s="104" t="s">
        <v>194</v>
      </c>
      <c r="F3" s="104" t="s">
        <v>33</v>
      </c>
    </row>
    <row r="4" spans="1:7" ht="15.6" x14ac:dyDescent="0.3">
      <c r="A4" s="104" t="s">
        <v>202</v>
      </c>
      <c r="B4" s="63"/>
      <c r="C4" s="63"/>
      <c r="D4" s="63"/>
      <c r="E4" s="63"/>
      <c r="F4" s="63"/>
    </row>
    <row r="5" spans="1:7" ht="15.6" x14ac:dyDescent="0.3">
      <c r="A5" s="112" t="s">
        <v>203</v>
      </c>
      <c r="B5" s="63"/>
      <c r="C5" s="63"/>
      <c r="D5" s="63"/>
      <c r="E5" s="63"/>
      <c r="F5" s="63"/>
    </row>
    <row r="6" spans="1:7" ht="15.6" x14ac:dyDescent="0.3">
      <c r="A6" s="111" t="s">
        <v>204</v>
      </c>
      <c r="B6" s="64">
        <v>41031.1</v>
      </c>
      <c r="C6" s="64">
        <v>17673.349999999999</v>
      </c>
      <c r="D6" s="64">
        <v>18870.240000000002</v>
      </c>
      <c r="E6" s="64">
        <v>16330.67</v>
      </c>
      <c r="F6" s="64">
        <v>8799.48</v>
      </c>
    </row>
    <row r="7" spans="1:7" ht="15.6" x14ac:dyDescent="0.3">
      <c r="A7" s="111" t="s">
        <v>205</v>
      </c>
      <c r="B7" s="64">
        <v>60900</v>
      </c>
      <c r="C7" s="64">
        <v>36000</v>
      </c>
      <c r="D7" s="64">
        <v>36090</v>
      </c>
      <c r="E7" s="64">
        <v>37060</v>
      </c>
      <c r="F7" s="64">
        <v>46000</v>
      </c>
    </row>
    <row r="8" spans="1:7" ht="15.6" x14ac:dyDescent="0.3">
      <c r="A8" s="121" t="s">
        <v>206</v>
      </c>
      <c r="B8" s="134">
        <f>B6+B7</f>
        <v>101931.1</v>
      </c>
      <c r="C8" s="134">
        <f t="shared" ref="C8:F8" si="0">C6+C7</f>
        <v>53673.35</v>
      </c>
      <c r="D8" s="134">
        <f t="shared" si="0"/>
        <v>54960.240000000005</v>
      </c>
      <c r="E8" s="134">
        <f t="shared" si="0"/>
        <v>53390.67</v>
      </c>
      <c r="F8" s="134">
        <f t="shared" si="0"/>
        <v>54799.479999999996</v>
      </c>
    </row>
    <row r="9" spans="1:7" ht="15.6" x14ac:dyDescent="0.3">
      <c r="A9" s="74"/>
      <c r="B9" s="63"/>
      <c r="C9" s="63"/>
      <c r="D9" s="63"/>
      <c r="E9" s="63"/>
      <c r="F9" s="63"/>
    </row>
    <row r="10" spans="1:7" ht="15.6" x14ac:dyDescent="0.3">
      <c r="A10" s="104" t="s">
        <v>207</v>
      </c>
      <c r="B10" s="63"/>
      <c r="C10" s="63"/>
      <c r="D10" s="63"/>
      <c r="E10" s="63"/>
      <c r="F10" s="63"/>
      <c r="G10" s="37"/>
    </row>
    <row r="11" spans="1:7" ht="15.6" x14ac:dyDescent="0.3">
      <c r="A11" s="111" t="s">
        <v>208</v>
      </c>
      <c r="B11" s="40">
        <f>Inversion!$H$4+Inversion!$H$5+Inversion!$H$6</f>
        <v>7080</v>
      </c>
      <c r="C11" s="40">
        <f>Inversion!$H$4+Inversion!$H$5+Inversion!$H$6</f>
        <v>7080</v>
      </c>
      <c r="D11" s="40">
        <f>Inversion!$H$4+Inversion!$H$5+Inversion!$H$6</f>
        <v>7080</v>
      </c>
      <c r="E11" s="40">
        <f>Inversion!$H$4+Inversion!$H$5+Inversion!$H$6</f>
        <v>7080</v>
      </c>
      <c r="F11" s="40">
        <f>Inversion!$H$4+Inversion!$H$5+Inversion!$H$6</f>
        <v>7080</v>
      </c>
      <c r="G11" s="37"/>
    </row>
    <row r="12" spans="1:7" ht="15.6" x14ac:dyDescent="0.3">
      <c r="A12" s="111" t="s">
        <v>209</v>
      </c>
      <c r="B12" s="40">
        <f>'Depreciaciones '!J6</f>
        <v>708</v>
      </c>
      <c r="C12" s="40">
        <f>'Depreciaciones '!K6</f>
        <v>708</v>
      </c>
      <c r="D12" s="40">
        <f>'Depreciaciones '!L6</f>
        <v>708</v>
      </c>
      <c r="E12" s="40">
        <f>'Depreciaciones '!M6</f>
        <v>708</v>
      </c>
      <c r="F12" s="40">
        <f>'Depreciaciones '!N6</f>
        <v>708</v>
      </c>
    </row>
    <row r="13" spans="1:7" ht="15.6" x14ac:dyDescent="0.3">
      <c r="A13" s="111" t="s">
        <v>210</v>
      </c>
      <c r="B13" s="40">
        <f>Inversion!$H$14+Inversion!$H$20+Inversion!$H$21+Inversion!$H$26+Inversion!$H$27</f>
        <v>15381</v>
      </c>
      <c r="C13" s="40">
        <f>Inversion!$H$14+Inversion!$H$20+Inversion!$H$21+Inversion!$H$26+Inversion!$H$27</f>
        <v>15381</v>
      </c>
      <c r="D13" s="40">
        <f>Inversion!$H$14+Inversion!$H$20+Inversion!$H$21+Inversion!$H$26+Inversion!$H$27</f>
        <v>15381</v>
      </c>
      <c r="E13" s="40">
        <f>Inversion!$H$14+Inversion!$H$20+Inversion!$H$21+Inversion!$H$26+Inversion!$H$27</f>
        <v>15381</v>
      </c>
      <c r="F13" s="40">
        <f>Inversion!$H$14+Inversion!$H$20+Inversion!$H$21+Inversion!$H$26+Inversion!$H$27</f>
        <v>15381</v>
      </c>
      <c r="G13" s="37"/>
    </row>
    <row r="14" spans="1:7" ht="15.6" x14ac:dyDescent="0.3">
      <c r="A14" s="111" t="s">
        <v>209</v>
      </c>
      <c r="B14" s="40">
        <f>'Depreciaciones '!J10+'Depreciaciones '!J13+'Depreciaciones '!J20</f>
        <v>1658.1</v>
      </c>
      <c r="C14" s="40">
        <f>'Depreciaciones '!K10+'Depreciaciones '!K13+'Depreciaciones '!K20</f>
        <v>1658.1</v>
      </c>
      <c r="D14" s="40">
        <f>'Depreciaciones '!L10+'Depreciaciones '!L13+'Depreciaciones '!L20</f>
        <v>1658.1</v>
      </c>
      <c r="E14" s="40">
        <f>'Depreciaciones '!M10+'Depreciaciones '!M13+'Depreciaciones '!M20</f>
        <v>1658.1</v>
      </c>
      <c r="F14" s="40">
        <f>'Depreciaciones '!N10+'Depreciaciones '!N13+'Depreciaciones '!N20</f>
        <v>1658.1</v>
      </c>
    </row>
    <row r="15" spans="1:7" ht="15.6" x14ac:dyDescent="0.3">
      <c r="A15" s="111" t="s">
        <v>211</v>
      </c>
      <c r="B15" s="40">
        <f>Inversion!$H$22+Inversion!$H$23+Inversion!$H$28+Inversion!$H$29+Inversion!$H$30</f>
        <v>22750</v>
      </c>
      <c r="C15" s="40">
        <f>Inversion!$H$22+Inversion!$H$23+Inversion!$H$28+Inversion!$H$29+Inversion!$H$30</f>
        <v>22750</v>
      </c>
      <c r="D15" s="40">
        <f>Inversion!$H$22+Inversion!$H$23+Inversion!$H$28+Inversion!$H$29+Inversion!$H$30</f>
        <v>22750</v>
      </c>
      <c r="E15" s="40">
        <f>Inversion!$H$22+Inversion!$H$23+Inversion!$H$28+Inversion!$H$29+Inversion!$H$30</f>
        <v>22750</v>
      </c>
      <c r="F15" s="40">
        <f>Inversion!$H$22+Inversion!$H$23+Inversion!$H$28+Inversion!$H$29+Inversion!$H$30</f>
        <v>22750</v>
      </c>
    </row>
    <row r="16" spans="1:7" ht="15.6" x14ac:dyDescent="0.3">
      <c r="A16" s="111" t="s">
        <v>209</v>
      </c>
      <c r="B16" s="40">
        <f>'Depreciaciones '!J16+'Depreciaciones '!J23</f>
        <v>7262.6069999999991</v>
      </c>
      <c r="C16" s="40">
        <f>'Depreciaciones '!K16+'Depreciaciones '!K23</f>
        <v>7262.6069999999991</v>
      </c>
      <c r="D16" s="40">
        <f>'Depreciaciones '!L16+'Depreciaciones '!L23</f>
        <v>7262.6069999999991</v>
      </c>
      <c r="E16" s="40">
        <f>'Depreciaciones '!M16+'Depreciaciones '!M23</f>
        <v>0</v>
      </c>
      <c r="F16" s="40">
        <f>'Depreciaciones '!N16+'Depreciaciones '!N23</f>
        <v>0</v>
      </c>
    </row>
    <row r="17" spans="1:7" ht="15.6" x14ac:dyDescent="0.3">
      <c r="A17" s="121" t="s">
        <v>219</v>
      </c>
      <c r="B17" s="134">
        <f>B11+B13+B15-B12-B14-B16</f>
        <v>35582.293000000005</v>
      </c>
      <c r="C17" s="134">
        <f t="shared" ref="C17:F17" si="1">C11+C13+C15-C12-C14-C16</f>
        <v>35582.293000000005</v>
      </c>
      <c r="D17" s="134">
        <f t="shared" si="1"/>
        <v>35582.293000000005</v>
      </c>
      <c r="E17" s="134">
        <f t="shared" si="1"/>
        <v>42844.9</v>
      </c>
      <c r="F17" s="134">
        <f t="shared" si="1"/>
        <v>42844.9</v>
      </c>
    </row>
    <row r="18" spans="1:7" ht="15.6" x14ac:dyDescent="0.3">
      <c r="A18" s="74"/>
      <c r="B18" s="40"/>
      <c r="C18" s="63"/>
      <c r="D18" s="63"/>
      <c r="E18" s="63"/>
      <c r="F18" s="63"/>
    </row>
    <row r="19" spans="1:7" ht="15.6" x14ac:dyDescent="0.3">
      <c r="A19" s="104" t="s">
        <v>221</v>
      </c>
      <c r="B19" s="40"/>
      <c r="C19" s="63"/>
      <c r="D19" s="63"/>
      <c r="E19" s="63"/>
      <c r="F19" s="63"/>
    </row>
    <row r="20" spans="1:7" ht="15.6" x14ac:dyDescent="0.3">
      <c r="A20" s="111" t="s">
        <v>222</v>
      </c>
      <c r="B20" s="40">
        <f>Inversion!$H$24+Inversion!$H$25</f>
        <v>3961</v>
      </c>
      <c r="C20" s="40">
        <f>Inversion!$H$24+Inversion!$H$25</f>
        <v>3961</v>
      </c>
      <c r="D20" s="40">
        <f>Inversion!$H$24+Inversion!$H$25</f>
        <v>3961</v>
      </c>
      <c r="E20" s="40">
        <f>Inversion!$H$24+Inversion!$H$25</f>
        <v>3961</v>
      </c>
      <c r="F20" s="40">
        <f>Inversion!$H$24+Inversion!$H$25</f>
        <v>3961</v>
      </c>
    </row>
    <row r="21" spans="1:7" ht="15.6" x14ac:dyDescent="0.3">
      <c r="A21" s="121" t="s">
        <v>223</v>
      </c>
      <c r="B21" s="134">
        <f>B20</f>
        <v>3961</v>
      </c>
      <c r="C21" s="134">
        <f t="shared" ref="C21:F21" si="2">C20</f>
        <v>3961</v>
      </c>
      <c r="D21" s="134">
        <f t="shared" si="2"/>
        <v>3961</v>
      </c>
      <c r="E21" s="134">
        <f t="shared" si="2"/>
        <v>3961</v>
      </c>
      <c r="F21" s="134">
        <f t="shared" si="2"/>
        <v>3961</v>
      </c>
    </row>
    <row r="22" spans="1:7" ht="15.6" x14ac:dyDescent="0.3">
      <c r="A22" s="121" t="s">
        <v>220</v>
      </c>
      <c r="B22" s="114">
        <f>B8+B17+B21</f>
        <v>141474.39300000001</v>
      </c>
      <c r="C22" s="114">
        <f t="shared" ref="C22:F22" si="3">C8+C17+C21</f>
        <v>93216.643000000011</v>
      </c>
      <c r="D22" s="114">
        <f t="shared" si="3"/>
        <v>94503.53300000001</v>
      </c>
      <c r="E22" s="114">
        <f t="shared" si="3"/>
        <v>100196.57</v>
      </c>
      <c r="F22" s="114">
        <f t="shared" si="3"/>
        <v>101605.38</v>
      </c>
    </row>
    <row r="23" spans="1:7" ht="15.6" x14ac:dyDescent="0.3">
      <c r="A23" s="74"/>
      <c r="B23" s="63"/>
      <c r="C23" s="63"/>
      <c r="D23" s="63"/>
      <c r="E23" s="63"/>
      <c r="F23" s="63"/>
      <c r="G23" s="37"/>
    </row>
    <row r="24" spans="1:7" ht="15.6" x14ac:dyDescent="0.3">
      <c r="A24" s="104" t="s">
        <v>212</v>
      </c>
      <c r="B24" s="63"/>
      <c r="C24" s="63"/>
      <c r="D24" s="63"/>
      <c r="E24" s="63"/>
      <c r="F24" s="63"/>
    </row>
    <row r="25" spans="1:7" ht="15.6" x14ac:dyDescent="0.3">
      <c r="A25" s="104" t="s">
        <v>224</v>
      </c>
      <c r="B25" s="63"/>
      <c r="C25" s="63"/>
      <c r="D25" s="63"/>
      <c r="E25" s="63"/>
      <c r="F25" s="63"/>
    </row>
    <row r="26" spans="1:7" ht="31.2" x14ac:dyDescent="0.3">
      <c r="A26" s="111" t="s">
        <v>213</v>
      </c>
      <c r="B26" s="63"/>
      <c r="C26" s="63"/>
      <c r="D26" s="63"/>
      <c r="E26" s="63"/>
      <c r="F26" s="63"/>
    </row>
    <row r="27" spans="1:7" ht="15.6" x14ac:dyDescent="0.3">
      <c r="A27" s="111" t="s">
        <v>225</v>
      </c>
      <c r="B27" s="40">
        <f>'Estructura de capital'!F8+'Estructura de capital'!F9</f>
        <v>552306.15711700008</v>
      </c>
      <c r="C27" s="63">
        <v>0</v>
      </c>
      <c r="D27" s="63">
        <v>0</v>
      </c>
      <c r="E27" s="63">
        <v>0</v>
      </c>
      <c r="F27" s="63">
        <v>0</v>
      </c>
    </row>
    <row r="28" spans="1:7" ht="15.6" x14ac:dyDescent="0.3">
      <c r="A28" s="121" t="s">
        <v>206</v>
      </c>
      <c r="B28" s="134">
        <f>B27</f>
        <v>552306.15711700008</v>
      </c>
      <c r="C28" s="134">
        <v>0</v>
      </c>
      <c r="D28" s="134">
        <v>0</v>
      </c>
      <c r="E28" s="134">
        <v>0</v>
      </c>
      <c r="F28" s="134">
        <v>0</v>
      </c>
    </row>
    <row r="29" spans="1:7" ht="15.6" x14ac:dyDescent="0.3">
      <c r="A29" s="121" t="s">
        <v>214</v>
      </c>
      <c r="B29" s="114">
        <f>B28</f>
        <v>552306.15711700008</v>
      </c>
      <c r="C29" s="114">
        <v>0</v>
      </c>
      <c r="D29" s="114">
        <v>0</v>
      </c>
      <c r="E29" s="114">
        <v>0</v>
      </c>
      <c r="F29" s="114">
        <v>0</v>
      </c>
      <c r="G29" s="37"/>
    </row>
    <row r="30" spans="1:7" ht="15.6" x14ac:dyDescent="0.3">
      <c r="A30" s="74"/>
      <c r="B30" s="63"/>
      <c r="C30" s="63"/>
      <c r="D30" s="63"/>
      <c r="E30" s="63"/>
      <c r="F30" s="63"/>
    </row>
    <row r="31" spans="1:7" ht="15.6" x14ac:dyDescent="0.3">
      <c r="A31" s="104" t="s">
        <v>215</v>
      </c>
      <c r="B31" s="63"/>
      <c r="C31" s="63"/>
      <c r="D31" s="63"/>
      <c r="E31" s="63"/>
      <c r="F31" s="63"/>
    </row>
    <row r="32" spans="1:7" ht="15.6" x14ac:dyDescent="0.3">
      <c r="A32" s="111" t="s">
        <v>216</v>
      </c>
      <c r="B32" s="40">
        <f>'Estructura de capital'!$C$18</f>
        <v>350000</v>
      </c>
      <c r="C32" s="40">
        <f>'Estructura de capital'!$C$18</f>
        <v>350000</v>
      </c>
      <c r="D32" s="40">
        <f>'Estructura de capital'!$C$18</f>
        <v>350000</v>
      </c>
      <c r="E32" s="40">
        <f>'Estructura de capital'!$C$18</f>
        <v>350000</v>
      </c>
      <c r="F32" s="40">
        <f>'Estructura de capital'!$C$18</f>
        <v>350000</v>
      </c>
    </row>
    <row r="33" spans="1:6" ht="15.6" x14ac:dyDescent="0.3">
      <c r="A33" s="111" t="s">
        <v>217</v>
      </c>
      <c r="B33" s="40">
        <f>'Estado de resultados '!B19</f>
        <v>457572.39131207817</v>
      </c>
      <c r="C33" s="40">
        <f>'Estado de resultados '!C19</f>
        <v>489531.21312748542</v>
      </c>
      <c r="D33" s="40">
        <f>'Estado de resultados '!D19</f>
        <v>522424.63851024839</v>
      </c>
      <c r="E33" s="40">
        <f>'Estado de resultados '!E19</f>
        <v>560331.15500047861</v>
      </c>
      <c r="F33" s="40">
        <f>'Estado de resultados '!F19</f>
        <v>593270.18844253314</v>
      </c>
    </row>
    <row r="34" spans="1:6" ht="15.6" x14ac:dyDescent="0.3">
      <c r="A34" s="121" t="s">
        <v>226</v>
      </c>
      <c r="B34" s="114">
        <f>B32+B33</f>
        <v>807572.39131207811</v>
      </c>
      <c r="C34" s="114">
        <f t="shared" ref="C34:F34" si="4">C32+C33</f>
        <v>839531.21312748548</v>
      </c>
      <c r="D34" s="114">
        <f t="shared" si="4"/>
        <v>872424.63851024839</v>
      </c>
      <c r="E34" s="114">
        <f t="shared" si="4"/>
        <v>910331.15500047861</v>
      </c>
      <c r="F34" s="114">
        <f t="shared" si="4"/>
        <v>943270.18844253314</v>
      </c>
    </row>
    <row r="35" spans="1:6" ht="15.6" x14ac:dyDescent="0.3">
      <c r="A35" s="104" t="s">
        <v>218</v>
      </c>
      <c r="B35" s="133">
        <f>B34+B29</f>
        <v>1359878.5484290782</v>
      </c>
      <c r="C35" s="133">
        <f>C34+C29</f>
        <v>839531.21312748548</v>
      </c>
      <c r="D35" s="133">
        <f t="shared" ref="D35:F35" si="5">D34+D29</f>
        <v>872424.63851024839</v>
      </c>
      <c r="E35" s="133">
        <f t="shared" si="5"/>
        <v>910331.15500047861</v>
      </c>
      <c r="F35" s="133">
        <f t="shared" si="5"/>
        <v>943270.18844253314</v>
      </c>
    </row>
    <row r="37" spans="1:6" x14ac:dyDescent="0.3">
      <c r="B37" s="37"/>
    </row>
    <row r="38" spans="1:6" x14ac:dyDescent="0.3">
      <c r="B38" s="37"/>
    </row>
    <row r="40" spans="1:6" x14ac:dyDescent="0.3">
      <c r="B40" s="37"/>
    </row>
  </sheetData>
  <mergeCells count="2">
    <mergeCell ref="A1:G1"/>
    <mergeCell ref="A2:G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zoomScale="55" workbookViewId="0">
      <selection activeCell="B9" sqref="B9"/>
    </sheetView>
  </sheetViews>
  <sheetFormatPr baseColWidth="10" defaultRowHeight="14.4" x14ac:dyDescent="0.3"/>
  <cols>
    <col min="1" max="1" width="16.6640625" customWidth="1"/>
    <col min="2" max="2" width="23.109375" customWidth="1"/>
    <col min="3" max="3" width="16.44140625" customWidth="1"/>
    <col min="4" max="4" width="22" customWidth="1"/>
    <col min="5" max="5" width="19.21875" customWidth="1"/>
    <col min="6" max="6" width="16.88671875" customWidth="1"/>
    <col min="8" max="8" width="15.44140625" customWidth="1"/>
    <col min="9" max="9" width="17.44140625" customWidth="1"/>
    <col min="10" max="10" width="17.6640625" customWidth="1"/>
    <col min="11" max="11" width="38" customWidth="1"/>
  </cols>
  <sheetData>
    <row r="1" spans="1:11" ht="21" x14ac:dyDescent="0.4">
      <c r="A1" s="219" t="s">
        <v>252</v>
      </c>
      <c r="B1" s="220"/>
      <c r="C1" s="220"/>
      <c r="D1" s="220"/>
      <c r="E1" s="220"/>
      <c r="F1" s="220"/>
      <c r="G1" s="220"/>
      <c r="H1" s="220"/>
      <c r="I1" s="220"/>
      <c r="J1" s="220"/>
      <c r="K1" s="220"/>
    </row>
    <row r="2" spans="1:11" ht="18" x14ac:dyDescent="0.35">
      <c r="A2" s="215" t="s">
        <v>227</v>
      </c>
      <c r="B2" s="216"/>
      <c r="C2" s="216"/>
      <c r="D2" s="216"/>
      <c r="E2" s="216"/>
      <c r="F2" s="216"/>
      <c r="G2" s="216"/>
      <c r="H2" s="216"/>
      <c r="I2" s="216"/>
      <c r="J2" s="216"/>
      <c r="K2" s="216"/>
    </row>
    <row r="3" spans="1:11" ht="31.2" x14ac:dyDescent="0.3">
      <c r="A3" s="127" t="s">
        <v>228</v>
      </c>
      <c r="B3" s="127" t="s">
        <v>191</v>
      </c>
      <c r="C3" s="127" t="s">
        <v>192</v>
      </c>
      <c r="D3" s="127" t="s">
        <v>193</v>
      </c>
      <c r="E3" s="127" t="s">
        <v>194</v>
      </c>
      <c r="F3" s="127" t="s">
        <v>33</v>
      </c>
      <c r="H3" s="221" t="s">
        <v>233</v>
      </c>
      <c r="I3" s="221"/>
      <c r="J3" s="221"/>
    </row>
    <row r="4" spans="1:11" ht="15.6" x14ac:dyDescent="0.3">
      <c r="A4" s="32">
        <f>'Flujo de efectivo'!B14</f>
        <v>-797693.84288299992</v>
      </c>
      <c r="B4" s="32">
        <f>'Flujo de efectivo'!C14</f>
        <v>738019.98598722275</v>
      </c>
      <c r="C4" s="32">
        <f>'Flujo de efectivo'!D14</f>
        <v>789566.47278626682</v>
      </c>
      <c r="D4" s="32">
        <f>'Flujo de efectivo'!E14</f>
        <v>842620.38469394902</v>
      </c>
      <c r="E4" s="32">
        <f>'Flujo de efectivo'!F14</f>
        <v>903759.92742012721</v>
      </c>
      <c r="F4" s="32">
        <f>'Flujo de efectivo'!G14</f>
        <v>956887.4007137632</v>
      </c>
      <c r="G4" s="50"/>
      <c r="H4" s="31"/>
      <c r="I4" s="111" t="s">
        <v>239</v>
      </c>
      <c r="J4" s="111" t="s">
        <v>238</v>
      </c>
    </row>
    <row r="5" spans="1:11" ht="15.6" x14ac:dyDescent="0.3">
      <c r="A5" s="50"/>
      <c r="B5" s="50"/>
      <c r="C5" s="50"/>
      <c r="D5" s="50"/>
      <c r="E5" s="50"/>
      <c r="F5" s="50"/>
      <c r="G5" s="50"/>
      <c r="H5" s="31">
        <v>0</v>
      </c>
      <c r="I5" s="32">
        <f>A4</f>
        <v>-797693.84288299992</v>
      </c>
      <c r="J5" s="32">
        <f>I5</f>
        <v>-797693.84288299992</v>
      </c>
    </row>
    <row r="6" spans="1:11" ht="46.8" x14ac:dyDescent="0.3">
      <c r="A6" s="135" t="s">
        <v>229</v>
      </c>
      <c r="B6" s="69">
        <v>0.1135</v>
      </c>
      <c r="C6" s="11"/>
      <c r="D6" s="11"/>
      <c r="E6" s="50"/>
      <c r="F6" s="50"/>
      <c r="G6" s="50"/>
      <c r="H6" s="31">
        <v>1</v>
      </c>
      <c r="I6" s="32">
        <f>'Flujo de efectivo'!B21</f>
        <v>467201.09831207816</v>
      </c>
      <c r="J6" s="32">
        <f>J5+I6</f>
        <v>-330492.74457092176</v>
      </c>
    </row>
    <row r="7" spans="1:11" ht="15.6" x14ac:dyDescent="0.3">
      <c r="A7" s="135" t="s">
        <v>230</v>
      </c>
      <c r="B7" s="32">
        <f>NPV(B6,I6:I10)+I5</f>
        <v>1123835.7110765558</v>
      </c>
      <c r="C7" s="11"/>
      <c r="D7" s="11"/>
      <c r="E7" s="50"/>
      <c r="F7" s="50"/>
      <c r="G7" s="50"/>
      <c r="H7" s="31">
        <v>2</v>
      </c>
      <c r="I7" s="32">
        <f>'Flujo de efectivo'!C21</f>
        <v>499159.92012748541</v>
      </c>
      <c r="J7" s="32">
        <f t="shared" ref="J7:J10" si="0">J6+I7</f>
        <v>168667.17555656366</v>
      </c>
    </row>
    <row r="8" spans="1:11" ht="15.6" x14ac:dyDescent="0.3">
      <c r="A8" s="79"/>
      <c r="B8" s="31"/>
      <c r="C8" s="11"/>
      <c r="D8" s="11"/>
      <c r="E8" s="50"/>
      <c r="F8" s="50"/>
      <c r="G8" s="50"/>
      <c r="H8" s="31">
        <v>3</v>
      </c>
      <c r="I8" s="32">
        <f>'Flujo de efectivo'!D21</f>
        <v>532053.34551024844</v>
      </c>
      <c r="J8" s="32">
        <f t="shared" si="0"/>
        <v>700720.5210668121</v>
      </c>
    </row>
    <row r="9" spans="1:11" ht="46.8" customHeight="1" x14ac:dyDescent="0.3">
      <c r="A9" s="135" t="s">
        <v>231</v>
      </c>
      <c r="B9" s="82">
        <f>IRR(I5:I10)</f>
        <v>0.56560195784206768</v>
      </c>
      <c r="C9" s="11"/>
      <c r="D9" s="11"/>
      <c r="E9" s="50"/>
      <c r="F9" s="50"/>
      <c r="G9" s="77"/>
      <c r="H9" s="75">
        <v>4</v>
      </c>
      <c r="I9" s="78">
        <f>'Flujo de efectivo'!E21</f>
        <v>562697.25500047859</v>
      </c>
      <c r="J9" s="32">
        <f t="shared" si="0"/>
        <v>1263417.7760672907</v>
      </c>
    </row>
    <row r="10" spans="1:11" ht="15.6" x14ac:dyDescent="0.3">
      <c r="A10" s="76"/>
      <c r="B10" s="83"/>
      <c r="C10" s="11"/>
      <c r="D10" s="11"/>
      <c r="E10" s="50"/>
      <c r="F10" s="50"/>
      <c r="G10" s="80"/>
      <c r="H10" s="28">
        <v>5</v>
      </c>
      <c r="I10" s="85">
        <f>'Flujo de efectivo'!F21</f>
        <v>595636.28844253311</v>
      </c>
      <c r="J10" s="32">
        <f t="shared" si="0"/>
        <v>1859054.0645098239</v>
      </c>
    </row>
    <row r="11" spans="1:11" ht="31.2" customHeight="1" x14ac:dyDescent="0.3">
      <c r="A11" s="223" t="s">
        <v>232</v>
      </c>
      <c r="B11" s="111" t="s">
        <v>234</v>
      </c>
      <c r="C11" s="78">
        <f>I9/12</f>
        <v>46891.437916706549</v>
      </c>
      <c r="D11" s="35"/>
      <c r="E11" s="50"/>
      <c r="F11" s="50"/>
      <c r="G11" s="80"/>
      <c r="H11" s="81"/>
      <c r="I11" s="81"/>
      <c r="J11" s="50"/>
    </row>
    <row r="12" spans="1:11" ht="46.8" x14ac:dyDescent="0.3">
      <c r="A12" s="224"/>
      <c r="B12" s="111" t="s">
        <v>235</v>
      </c>
      <c r="C12" s="84">
        <f>J8/C11</f>
        <v>14.943464141822753</v>
      </c>
      <c r="D12" s="136" t="s">
        <v>241</v>
      </c>
      <c r="E12" s="50"/>
      <c r="F12" s="50"/>
      <c r="G12" s="225" t="s">
        <v>240</v>
      </c>
      <c r="H12" s="226"/>
      <c r="I12" s="226"/>
      <c r="J12" s="226"/>
      <c r="K12" s="227"/>
    </row>
    <row r="13" spans="1:11" ht="15.6" x14ac:dyDescent="0.3">
      <c r="A13" s="224"/>
      <c r="B13" s="111" t="s">
        <v>236</v>
      </c>
      <c r="C13" s="78">
        <f>I9/365</f>
        <v>1541.6363150698044</v>
      </c>
      <c r="D13" s="75"/>
      <c r="E13" s="50"/>
      <c r="F13" s="50"/>
      <c r="G13" s="222" t="s">
        <v>243</v>
      </c>
      <c r="H13" s="222"/>
      <c r="I13" s="222"/>
      <c r="J13" s="222"/>
      <c r="K13" s="222"/>
    </row>
    <row r="14" spans="1:11" ht="60" customHeight="1" x14ac:dyDescent="0.3">
      <c r="A14" s="224"/>
      <c r="B14" s="111" t="s">
        <v>237</v>
      </c>
      <c r="C14" s="75">
        <f>J8/C13</f>
        <v>454.53036764710873</v>
      </c>
      <c r="D14" s="136" t="s">
        <v>242</v>
      </c>
      <c r="E14" s="50"/>
      <c r="F14" s="50"/>
      <c r="G14" s="222"/>
      <c r="H14" s="222"/>
      <c r="I14" s="222"/>
      <c r="J14" s="222"/>
      <c r="K14" s="222"/>
    </row>
    <row r="15" spans="1:11" x14ac:dyDescent="0.3">
      <c r="G15" s="222" t="s">
        <v>244</v>
      </c>
      <c r="H15" s="222"/>
      <c r="I15" s="222"/>
      <c r="J15" s="222"/>
      <c r="K15" s="222"/>
    </row>
    <row r="16" spans="1:11" ht="42" customHeight="1" x14ac:dyDescent="0.3">
      <c r="G16" s="222"/>
      <c r="H16" s="222"/>
      <c r="I16" s="222"/>
      <c r="J16" s="222"/>
      <c r="K16" s="222"/>
    </row>
    <row r="17" spans="7:11" ht="30" customHeight="1" x14ac:dyDescent="0.3">
      <c r="G17" s="222" t="s">
        <v>245</v>
      </c>
      <c r="H17" s="222"/>
      <c r="I17" s="222"/>
      <c r="J17" s="222"/>
      <c r="K17" s="222"/>
    </row>
    <row r="18" spans="7:11" ht="61.2" customHeight="1" x14ac:dyDescent="0.3">
      <c r="G18" s="222"/>
      <c r="H18" s="222"/>
      <c r="I18" s="222"/>
      <c r="J18" s="222"/>
      <c r="K18" s="222"/>
    </row>
    <row r="19" spans="7:11" ht="12.6" customHeight="1" x14ac:dyDescent="0.3">
      <c r="G19" s="222" t="s">
        <v>246</v>
      </c>
      <c r="H19" s="222"/>
      <c r="I19" s="222"/>
      <c r="J19" s="222"/>
      <c r="K19" s="222"/>
    </row>
    <row r="20" spans="7:11" ht="30.6" customHeight="1" x14ac:dyDescent="0.3">
      <c r="G20" s="222"/>
      <c r="H20" s="222"/>
      <c r="I20" s="222"/>
      <c r="J20" s="222"/>
      <c r="K20" s="222"/>
    </row>
  </sheetData>
  <mergeCells count="9">
    <mergeCell ref="A2:K2"/>
    <mergeCell ref="A1:K1"/>
    <mergeCell ref="G15:K16"/>
    <mergeCell ref="G17:K18"/>
    <mergeCell ref="G19:K20"/>
    <mergeCell ref="A11:A14"/>
    <mergeCell ref="H3:J3"/>
    <mergeCell ref="G12:K12"/>
    <mergeCell ref="G13:K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67" zoomScaleNormal="66" workbookViewId="0">
      <selection activeCell="F9" sqref="F9"/>
    </sheetView>
  </sheetViews>
  <sheetFormatPr baseColWidth="10" defaultRowHeight="14.4" x14ac:dyDescent="0.3"/>
  <cols>
    <col min="2" max="2" width="16.21875" customWidth="1"/>
    <col min="3" max="3" width="21" customWidth="1"/>
    <col min="4" max="4" width="19" customWidth="1"/>
    <col min="5" max="5" width="24.44140625" customWidth="1"/>
    <col min="6" max="6" width="101.21875" customWidth="1"/>
    <col min="7" max="7" width="20.44140625" customWidth="1"/>
    <col min="8" max="8" width="24.33203125" customWidth="1"/>
    <col min="9" max="9" width="50.77734375" customWidth="1"/>
  </cols>
  <sheetData>
    <row r="1" spans="1:9" ht="21.6" thickBot="1" x14ac:dyDescent="0.45">
      <c r="A1" s="2"/>
      <c r="B1" s="188" t="s">
        <v>252</v>
      </c>
      <c r="C1" s="189"/>
      <c r="D1" s="189"/>
      <c r="E1" s="189"/>
      <c r="F1" s="189"/>
      <c r="G1" s="189"/>
      <c r="H1" s="190"/>
    </row>
    <row r="2" spans="1:9" ht="15" thickBot="1" x14ac:dyDescent="0.35">
      <c r="B2" s="4"/>
      <c r="C2" s="4"/>
      <c r="D2" s="4"/>
      <c r="E2" s="4"/>
      <c r="F2" s="4"/>
      <c r="G2" s="4"/>
      <c r="H2" s="4"/>
    </row>
    <row r="3" spans="1:9" ht="31.8" thickBot="1" x14ac:dyDescent="0.35">
      <c r="B3" s="141" t="s">
        <v>5</v>
      </c>
      <c r="C3" s="102" t="s">
        <v>6</v>
      </c>
      <c r="D3" s="102" t="s">
        <v>7</v>
      </c>
      <c r="E3" s="102" t="s">
        <v>8</v>
      </c>
      <c r="F3" s="102" t="s">
        <v>9</v>
      </c>
      <c r="G3" s="102" t="s">
        <v>11</v>
      </c>
      <c r="H3" s="140" t="s">
        <v>12</v>
      </c>
    </row>
    <row r="4" spans="1:9" ht="94.2" customHeight="1" x14ac:dyDescent="0.3">
      <c r="B4" s="196" t="s">
        <v>10</v>
      </c>
      <c r="C4" s="191" t="s">
        <v>13</v>
      </c>
      <c r="D4" s="142">
        <v>1</v>
      </c>
      <c r="E4" s="142" t="s">
        <v>247</v>
      </c>
      <c r="F4" s="146" t="s">
        <v>346</v>
      </c>
      <c r="G4" s="143">
        <v>2800</v>
      </c>
      <c r="H4" s="144">
        <f>G4*D4</f>
        <v>2800</v>
      </c>
      <c r="I4" s="1"/>
    </row>
    <row r="5" spans="1:9" ht="91.8" customHeight="1" x14ac:dyDescent="0.3">
      <c r="B5" s="197"/>
      <c r="C5" s="192"/>
      <c r="D5" s="12">
        <v>1</v>
      </c>
      <c r="E5" s="12" t="s">
        <v>258</v>
      </c>
      <c r="F5" s="12" t="s">
        <v>282</v>
      </c>
      <c r="G5" s="13">
        <v>1181</v>
      </c>
      <c r="H5" s="14">
        <f>G5*D5</f>
        <v>1181</v>
      </c>
    </row>
    <row r="6" spans="1:9" ht="31.8" customHeight="1" thickBot="1" x14ac:dyDescent="0.35">
      <c r="B6" s="197"/>
      <c r="C6" s="192"/>
      <c r="D6" s="12">
        <v>1</v>
      </c>
      <c r="E6" s="12" t="s">
        <v>248</v>
      </c>
      <c r="F6" s="8" t="s">
        <v>283</v>
      </c>
      <c r="G6" s="13">
        <v>3099</v>
      </c>
      <c r="H6" s="14">
        <f t="shared" ref="H6:H25" si="0">G6*D6</f>
        <v>3099</v>
      </c>
      <c r="I6" s="18"/>
    </row>
    <row r="7" spans="1:9" ht="111.6" customHeight="1" x14ac:dyDescent="0.3">
      <c r="B7" s="197"/>
      <c r="C7" s="193" t="s">
        <v>14</v>
      </c>
      <c r="D7" s="146">
        <v>1</v>
      </c>
      <c r="E7" s="142" t="s">
        <v>281</v>
      </c>
      <c r="F7" s="147" t="s">
        <v>284</v>
      </c>
      <c r="G7" s="143">
        <v>799</v>
      </c>
      <c r="H7" s="144">
        <f t="shared" si="0"/>
        <v>799</v>
      </c>
      <c r="I7" s="18"/>
    </row>
    <row r="8" spans="1:9" ht="52.8" customHeight="1" x14ac:dyDescent="0.3">
      <c r="B8" s="197"/>
      <c r="C8" s="194"/>
      <c r="D8" s="139">
        <v>1</v>
      </c>
      <c r="E8" s="139" t="s">
        <v>280</v>
      </c>
      <c r="F8" s="8" t="s">
        <v>285</v>
      </c>
      <c r="G8" s="13">
        <v>340</v>
      </c>
      <c r="H8" s="14">
        <f t="shared" si="0"/>
        <v>340</v>
      </c>
    </row>
    <row r="9" spans="1:9" ht="24" customHeight="1" x14ac:dyDescent="0.3">
      <c r="B9" s="197"/>
      <c r="C9" s="194"/>
      <c r="D9" s="149">
        <v>1</v>
      </c>
      <c r="E9" s="139" t="s">
        <v>279</v>
      </c>
      <c r="F9" s="158"/>
      <c r="G9" s="13">
        <v>90</v>
      </c>
      <c r="H9" s="14">
        <f t="shared" si="0"/>
        <v>90</v>
      </c>
    </row>
    <row r="10" spans="1:9" ht="45" customHeight="1" x14ac:dyDescent="0.3">
      <c r="B10" s="197"/>
      <c r="C10" s="194"/>
      <c r="D10" s="139">
        <v>2</v>
      </c>
      <c r="E10" s="139" t="s">
        <v>278</v>
      </c>
      <c r="F10" s="8" t="s">
        <v>286</v>
      </c>
      <c r="G10" s="13">
        <v>30</v>
      </c>
      <c r="H10" s="14">
        <f t="shared" si="0"/>
        <v>60</v>
      </c>
    </row>
    <row r="11" spans="1:9" ht="99" customHeight="1" x14ac:dyDescent="0.3">
      <c r="B11" s="197"/>
      <c r="C11" s="194"/>
      <c r="D11" s="149">
        <v>2</v>
      </c>
      <c r="E11" s="139" t="s">
        <v>277</v>
      </c>
      <c r="F11" s="9" t="s">
        <v>287</v>
      </c>
      <c r="G11" s="150">
        <v>125</v>
      </c>
      <c r="H11" s="14">
        <f t="shared" si="0"/>
        <v>250</v>
      </c>
    </row>
    <row r="12" spans="1:9" ht="37.200000000000003" customHeight="1" x14ac:dyDescent="0.3">
      <c r="B12" s="197"/>
      <c r="C12" s="194"/>
      <c r="D12" s="139">
        <v>1</v>
      </c>
      <c r="E12" s="139" t="s">
        <v>276</v>
      </c>
      <c r="F12" s="9" t="s">
        <v>288</v>
      </c>
      <c r="G12" s="13">
        <v>150</v>
      </c>
      <c r="H12" s="14">
        <f t="shared" si="0"/>
        <v>150</v>
      </c>
    </row>
    <row r="13" spans="1:9" ht="90" customHeight="1" x14ac:dyDescent="0.3">
      <c r="B13" s="197"/>
      <c r="C13" s="194"/>
      <c r="D13" s="139">
        <v>1</v>
      </c>
      <c r="E13" s="139" t="s">
        <v>275</v>
      </c>
      <c r="F13" s="9" t="s">
        <v>303</v>
      </c>
      <c r="G13" s="13">
        <v>185</v>
      </c>
      <c r="H13" s="14">
        <f t="shared" si="0"/>
        <v>185</v>
      </c>
    </row>
    <row r="14" spans="1:9" ht="75" customHeight="1" thickBot="1" x14ac:dyDescent="0.35">
      <c r="B14" s="197"/>
      <c r="C14" s="194"/>
      <c r="D14" s="139">
        <v>3</v>
      </c>
      <c r="E14" s="139" t="s">
        <v>327</v>
      </c>
      <c r="F14" s="160"/>
      <c r="G14" s="13">
        <v>600</v>
      </c>
      <c r="H14" s="14">
        <f>G14*D14</f>
        <v>1800</v>
      </c>
    </row>
    <row r="15" spans="1:9" ht="34.200000000000003" customHeight="1" x14ac:dyDescent="0.3">
      <c r="B15" s="197"/>
      <c r="C15" s="193" t="s">
        <v>16</v>
      </c>
      <c r="D15" s="146">
        <v>2</v>
      </c>
      <c r="E15" s="142" t="s">
        <v>291</v>
      </c>
      <c r="F15" s="153" t="s">
        <v>297</v>
      </c>
      <c r="G15" s="143">
        <v>1268</v>
      </c>
      <c r="H15" s="144">
        <f t="shared" si="0"/>
        <v>2536</v>
      </c>
    </row>
    <row r="16" spans="1:9" ht="34.799999999999997" customHeight="1" x14ac:dyDescent="0.3">
      <c r="B16" s="197"/>
      <c r="C16" s="194"/>
      <c r="D16" s="35">
        <v>3</v>
      </c>
      <c r="E16" s="139" t="s">
        <v>292</v>
      </c>
      <c r="F16" s="159"/>
      <c r="G16" s="13">
        <v>41</v>
      </c>
      <c r="H16" s="14">
        <f t="shared" si="0"/>
        <v>123</v>
      </c>
    </row>
    <row r="17" spans="2:8" ht="43.8" customHeight="1" x14ac:dyDescent="0.3">
      <c r="B17" s="197"/>
      <c r="C17" s="194"/>
      <c r="D17" s="35">
        <v>7</v>
      </c>
      <c r="E17" s="139" t="s">
        <v>293</v>
      </c>
      <c r="F17" s="137" t="s">
        <v>298</v>
      </c>
      <c r="G17" s="13">
        <v>58</v>
      </c>
      <c r="H17" s="14">
        <f t="shared" si="0"/>
        <v>406</v>
      </c>
    </row>
    <row r="18" spans="2:8" ht="55.2" customHeight="1" x14ac:dyDescent="0.3">
      <c r="B18" s="197"/>
      <c r="C18" s="194"/>
      <c r="D18" s="35">
        <v>7</v>
      </c>
      <c r="E18" s="139" t="s">
        <v>294</v>
      </c>
      <c r="F18" s="137" t="s">
        <v>304</v>
      </c>
      <c r="G18" s="13">
        <v>99</v>
      </c>
      <c r="H18" s="14">
        <f>G18*D18</f>
        <v>693</v>
      </c>
    </row>
    <row r="19" spans="2:8" ht="60.6" customHeight="1" thickBot="1" x14ac:dyDescent="0.35">
      <c r="B19" s="198"/>
      <c r="C19" s="195"/>
      <c r="D19" s="156">
        <v>1</v>
      </c>
      <c r="E19" s="15" t="s">
        <v>295</v>
      </c>
      <c r="F19" s="157" t="s">
        <v>299</v>
      </c>
      <c r="G19" s="148">
        <v>549</v>
      </c>
      <c r="H19" s="17">
        <f>G19*D19</f>
        <v>549</v>
      </c>
    </row>
    <row r="20" spans="2:8" ht="42" customHeight="1" x14ac:dyDescent="0.3">
      <c r="B20" s="152" t="s">
        <v>17</v>
      </c>
      <c r="C20" s="194" t="s">
        <v>14</v>
      </c>
      <c r="D20" s="139">
        <v>1</v>
      </c>
      <c r="E20" s="139" t="s">
        <v>263</v>
      </c>
      <c r="F20" s="154" t="s">
        <v>333</v>
      </c>
      <c r="G20" s="13">
        <v>1180</v>
      </c>
      <c r="H20" s="14">
        <f t="shared" si="0"/>
        <v>1180</v>
      </c>
    </row>
    <row r="21" spans="2:8" ht="58.2" customHeight="1" thickBot="1" x14ac:dyDescent="0.35">
      <c r="B21" s="152"/>
      <c r="C21" s="195"/>
      <c r="D21" s="15">
        <v>1</v>
      </c>
      <c r="E21" s="15" t="s">
        <v>339</v>
      </c>
      <c r="F21" s="9" t="s">
        <v>296</v>
      </c>
      <c r="G21" s="229">
        <v>591</v>
      </c>
      <c r="H21" s="17">
        <f t="shared" si="0"/>
        <v>591</v>
      </c>
    </row>
    <row r="22" spans="2:8" ht="48.6" customHeight="1" x14ac:dyDescent="0.3">
      <c r="B22" s="152"/>
      <c r="C22" s="193" t="s">
        <v>15</v>
      </c>
      <c r="D22" s="142">
        <v>1</v>
      </c>
      <c r="E22" s="142" t="s">
        <v>336</v>
      </c>
      <c r="F22" s="155" t="s">
        <v>300</v>
      </c>
      <c r="G22" s="178">
        <v>1295</v>
      </c>
      <c r="H22" s="144">
        <f t="shared" si="0"/>
        <v>1295</v>
      </c>
    </row>
    <row r="23" spans="2:8" ht="54" customHeight="1" thickBot="1" x14ac:dyDescent="0.35">
      <c r="B23" s="152"/>
      <c r="C23" s="194"/>
      <c r="D23" s="139">
        <v>1</v>
      </c>
      <c r="E23" s="139" t="s">
        <v>18</v>
      </c>
      <c r="F23" s="9" t="s">
        <v>302</v>
      </c>
      <c r="G23" s="13">
        <v>3200</v>
      </c>
      <c r="H23" s="14">
        <f t="shared" si="0"/>
        <v>3200</v>
      </c>
    </row>
    <row r="24" spans="2:8" ht="31.2" x14ac:dyDescent="0.3">
      <c r="B24" s="152"/>
      <c r="C24" s="193" t="s">
        <v>16</v>
      </c>
      <c r="D24" s="142">
        <v>1</v>
      </c>
      <c r="E24" s="142" t="s">
        <v>19</v>
      </c>
      <c r="F24" s="145" t="s">
        <v>289</v>
      </c>
      <c r="G24" s="143">
        <v>3000</v>
      </c>
      <c r="H24" s="144">
        <f>G24*D24</f>
        <v>3000</v>
      </c>
    </row>
    <row r="25" spans="2:8" ht="63" thickBot="1" x14ac:dyDescent="0.35">
      <c r="B25" s="152"/>
      <c r="C25" s="195"/>
      <c r="D25" s="15">
        <v>1</v>
      </c>
      <c r="E25" s="15" t="s">
        <v>20</v>
      </c>
      <c r="F25" s="10" t="s">
        <v>334</v>
      </c>
      <c r="G25" s="16">
        <v>961</v>
      </c>
      <c r="H25" s="17">
        <f t="shared" si="0"/>
        <v>961</v>
      </c>
    </row>
    <row r="26" spans="2:8" ht="43.2" customHeight="1" x14ac:dyDescent="0.3">
      <c r="B26" s="196" t="s">
        <v>259</v>
      </c>
      <c r="C26" s="194" t="s">
        <v>14</v>
      </c>
      <c r="D26" s="139">
        <v>5</v>
      </c>
      <c r="E26" s="139" t="s">
        <v>264</v>
      </c>
      <c r="F26" s="154" t="s">
        <v>333</v>
      </c>
      <c r="G26" s="13">
        <v>1180</v>
      </c>
      <c r="H26" s="14">
        <f t="shared" ref="H26:H30" si="1">G26*D26</f>
        <v>5900</v>
      </c>
    </row>
    <row r="27" spans="2:8" ht="136.80000000000001" customHeight="1" x14ac:dyDescent="0.3">
      <c r="B27" s="197"/>
      <c r="C27" s="194"/>
      <c r="D27" s="139">
        <v>10</v>
      </c>
      <c r="E27" s="139" t="s">
        <v>265</v>
      </c>
      <c r="F27" s="9" t="s">
        <v>332</v>
      </c>
      <c r="G27" s="13">
        <v>591</v>
      </c>
      <c r="H27" s="14">
        <f t="shared" si="1"/>
        <v>5910</v>
      </c>
    </row>
    <row r="28" spans="2:8" ht="31.2" x14ac:dyDescent="0.3">
      <c r="B28" s="197"/>
      <c r="C28" s="194" t="s">
        <v>15</v>
      </c>
      <c r="D28" s="139">
        <v>1</v>
      </c>
      <c r="E28" s="139" t="s">
        <v>260</v>
      </c>
      <c r="F28" s="154" t="s">
        <v>301</v>
      </c>
      <c r="G28" s="13">
        <v>1295</v>
      </c>
      <c r="H28" s="14">
        <f t="shared" si="1"/>
        <v>1295</v>
      </c>
    </row>
    <row r="29" spans="2:8" ht="15.6" x14ac:dyDescent="0.3">
      <c r="B29" s="197"/>
      <c r="C29" s="194"/>
      <c r="D29" s="177">
        <v>3</v>
      </c>
      <c r="E29" s="177" t="s">
        <v>337</v>
      </c>
      <c r="F29" s="160"/>
      <c r="G29" s="13">
        <v>320</v>
      </c>
      <c r="H29" s="14">
        <f>G29*D29</f>
        <v>960</v>
      </c>
    </row>
    <row r="30" spans="2:8" ht="47.4" thickBot="1" x14ac:dyDescent="0.35">
      <c r="B30" s="197"/>
      <c r="C30" s="194"/>
      <c r="D30" s="12">
        <v>5</v>
      </c>
      <c r="E30" s="12" t="s">
        <v>18</v>
      </c>
      <c r="F30" s="9" t="s">
        <v>302</v>
      </c>
      <c r="G30" s="13">
        <v>3200</v>
      </c>
      <c r="H30" s="14">
        <f t="shared" si="1"/>
        <v>16000</v>
      </c>
    </row>
    <row r="31" spans="2:8" ht="31.2" x14ac:dyDescent="0.3">
      <c r="B31" s="197"/>
      <c r="C31" s="193" t="s">
        <v>16</v>
      </c>
      <c r="D31" s="142">
        <v>1</v>
      </c>
      <c r="E31" s="142" t="s">
        <v>19</v>
      </c>
      <c r="F31" s="145" t="s">
        <v>289</v>
      </c>
      <c r="G31" s="143">
        <v>3000</v>
      </c>
      <c r="H31" s="144">
        <f>G31*D31</f>
        <v>3000</v>
      </c>
    </row>
    <row r="32" spans="2:8" ht="63" thickBot="1" x14ac:dyDescent="0.35">
      <c r="B32" s="198"/>
      <c r="C32" s="195"/>
      <c r="D32" s="15">
        <v>1</v>
      </c>
      <c r="E32" s="15" t="s">
        <v>20</v>
      </c>
      <c r="F32" s="10" t="s">
        <v>334</v>
      </c>
      <c r="G32" s="16">
        <v>961</v>
      </c>
      <c r="H32" s="17">
        <f t="shared" ref="H32" si="2">G32*D32</f>
        <v>961</v>
      </c>
    </row>
    <row r="33" spans="3:8" ht="15.6" x14ac:dyDescent="0.3">
      <c r="C33" s="12"/>
      <c r="D33" s="12"/>
      <c r="E33" s="12"/>
      <c r="F33" s="137"/>
      <c r="G33" s="138"/>
      <c r="H33" s="13"/>
    </row>
    <row r="35" spans="3:8" ht="15.6" x14ac:dyDescent="0.3">
      <c r="C35" s="87" t="s">
        <v>42</v>
      </c>
      <c r="D35" s="88"/>
      <c r="E35" s="88"/>
      <c r="F35" s="88"/>
      <c r="G35" s="88"/>
      <c r="H35" s="89">
        <f>SUM(H4:H32)</f>
        <v>59314</v>
      </c>
    </row>
    <row r="36" spans="3:8" x14ac:dyDescent="0.3">
      <c r="D36" s="3"/>
      <c r="E36" s="3"/>
      <c r="F36" s="3"/>
      <c r="G36" s="3"/>
      <c r="H36" s="3"/>
    </row>
    <row r="37" spans="3:8" ht="15.6" x14ac:dyDescent="0.3">
      <c r="C37" s="87" t="s">
        <v>117</v>
      </c>
      <c r="D37" s="87"/>
      <c r="E37" s="87"/>
      <c r="F37" s="87"/>
      <c r="G37" s="87"/>
      <c r="H37" s="90">
        <f>'Costos '!C42+'Gastos '!C24</f>
        <v>738379.84288299992</v>
      </c>
    </row>
    <row r="38" spans="3:8" x14ac:dyDescent="0.3">
      <c r="C38" s="5"/>
    </row>
    <row r="39" spans="3:8" ht="15.6" x14ac:dyDescent="0.3">
      <c r="C39" s="87" t="s">
        <v>118</v>
      </c>
      <c r="D39" s="87"/>
      <c r="E39" s="87"/>
      <c r="F39" s="87"/>
      <c r="G39" s="87"/>
      <c r="H39" s="91">
        <f>H35+H37</f>
        <v>797693.84288299992</v>
      </c>
    </row>
  </sheetData>
  <mergeCells count="12">
    <mergeCell ref="B1:H1"/>
    <mergeCell ref="C4:C6"/>
    <mergeCell ref="C15:C19"/>
    <mergeCell ref="C31:C32"/>
    <mergeCell ref="C26:C27"/>
    <mergeCell ref="C28:C30"/>
    <mergeCell ref="B26:B32"/>
    <mergeCell ref="C20:C21"/>
    <mergeCell ref="C22:C23"/>
    <mergeCell ref="C24:C25"/>
    <mergeCell ref="B4:B19"/>
    <mergeCell ref="C7:C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28"/>
  <sheetViews>
    <sheetView topLeftCell="B5" zoomScale="91" workbookViewId="0">
      <selection activeCell="J13" sqref="J13"/>
    </sheetView>
  </sheetViews>
  <sheetFormatPr baseColWidth="10" defaultRowHeight="14.4" x14ac:dyDescent="0.3"/>
  <cols>
    <col min="2" max="2" width="17.77734375" customWidth="1"/>
    <col min="3" max="3" width="16.6640625" customWidth="1"/>
    <col min="4" max="4" width="27.5546875" customWidth="1"/>
    <col min="5" max="5" width="18.44140625" customWidth="1"/>
    <col min="7" max="7" width="22.5546875" customWidth="1"/>
    <col min="9" max="9" width="15.109375" customWidth="1"/>
    <col min="10" max="11" width="14.5546875" customWidth="1"/>
    <col min="12" max="12" width="13.21875" bestFit="1" customWidth="1"/>
    <col min="13" max="13" width="15.33203125" customWidth="1"/>
    <col min="14" max="14" width="14.6640625" customWidth="1"/>
  </cols>
  <sheetData>
    <row r="1" spans="2:15" ht="21.6" thickBot="1" x14ac:dyDescent="0.45">
      <c r="B1" s="199" t="s">
        <v>251</v>
      </c>
      <c r="C1" s="200"/>
      <c r="D1" s="200"/>
      <c r="E1" s="200"/>
      <c r="F1" s="200"/>
      <c r="G1" s="200"/>
      <c r="H1" s="200"/>
      <c r="I1" s="200"/>
      <c r="J1" s="200"/>
      <c r="K1" s="200"/>
      <c r="L1" s="200"/>
      <c r="M1" s="200"/>
      <c r="N1" s="200"/>
      <c r="O1" s="201"/>
    </row>
    <row r="2" spans="2:15" ht="15" thickBot="1" x14ac:dyDescent="0.35"/>
    <row r="3" spans="2:15" ht="18" thickBot="1" x14ac:dyDescent="0.35">
      <c r="B3" s="202" t="s">
        <v>22</v>
      </c>
      <c r="C3" s="203"/>
      <c r="D3" s="203"/>
      <c r="E3" s="203"/>
      <c r="F3" s="203"/>
      <c r="G3" s="203"/>
      <c r="H3" s="203"/>
      <c r="I3" s="203"/>
      <c r="J3" s="203"/>
      <c r="K3" s="203"/>
      <c r="L3" s="203"/>
      <c r="M3" s="203"/>
      <c r="N3" s="203"/>
      <c r="O3" s="204"/>
    </row>
    <row r="4" spans="2:15" ht="15" thickBot="1" x14ac:dyDescent="0.35"/>
    <row r="5" spans="2:15" ht="34.799999999999997" x14ac:dyDescent="0.3">
      <c r="B5" s="98" t="s">
        <v>21</v>
      </c>
      <c r="C5" s="99" t="s">
        <v>23</v>
      </c>
      <c r="D5" s="99" t="s">
        <v>24</v>
      </c>
      <c r="E5" s="100" t="s">
        <v>25</v>
      </c>
      <c r="F5" s="99" t="s">
        <v>28</v>
      </c>
      <c r="G5" s="100" t="s">
        <v>26</v>
      </c>
      <c r="H5" s="100" t="s">
        <v>29</v>
      </c>
      <c r="I5" s="100" t="s">
        <v>27</v>
      </c>
      <c r="J5" s="99" t="s">
        <v>30</v>
      </c>
      <c r="K5" s="99" t="s">
        <v>199</v>
      </c>
      <c r="L5" s="99" t="s">
        <v>31</v>
      </c>
      <c r="M5" s="99" t="s">
        <v>32</v>
      </c>
      <c r="N5" s="101" t="s">
        <v>33</v>
      </c>
      <c r="O5" s="11"/>
    </row>
    <row r="6" spans="2:15" ht="15.6" x14ac:dyDescent="0.3">
      <c r="B6" s="92" t="s">
        <v>34</v>
      </c>
      <c r="C6" s="6"/>
      <c r="D6" s="93" t="s">
        <v>13</v>
      </c>
      <c r="E6" s="20"/>
      <c r="F6" s="6"/>
      <c r="G6" s="6"/>
      <c r="H6" s="6"/>
      <c r="I6" s="95">
        <f>SUM(I7,I8,I9)</f>
        <v>708</v>
      </c>
      <c r="J6" s="95">
        <f>SUM(J7,J8,J9)</f>
        <v>708</v>
      </c>
      <c r="K6" s="95">
        <f t="shared" ref="J6:N6" si="0">SUM(K7,K8,K9)</f>
        <v>708</v>
      </c>
      <c r="L6" s="95">
        <f t="shared" si="0"/>
        <v>708</v>
      </c>
      <c r="M6" s="95">
        <f t="shared" si="0"/>
        <v>708</v>
      </c>
      <c r="N6" s="95">
        <f t="shared" si="0"/>
        <v>708</v>
      </c>
    </row>
    <row r="7" spans="2:15" ht="15.6" x14ac:dyDescent="0.3">
      <c r="B7" s="19"/>
      <c r="C7" s="6">
        <v>1</v>
      </c>
      <c r="D7" s="139" t="s">
        <v>257</v>
      </c>
      <c r="E7" s="20">
        <v>0.1</v>
      </c>
      <c r="F7" s="6">
        <v>1</v>
      </c>
      <c r="G7" s="21">
        <f>Inversion!G4</f>
        <v>2800</v>
      </c>
      <c r="H7" s="6">
        <v>20</v>
      </c>
      <c r="I7" s="21">
        <f>G7*E7</f>
        <v>280</v>
      </c>
      <c r="J7" s="21">
        <f>$I$7*$C$7</f>
        <v>280</v>
      </c>
      <c r="K7" s="21">
        <f>$I$7*$C$7</f>
        <v>280</v>
      </c>
      <c r="L7" s="21">
        <f>$I$7*$C$7</f>
        <v>280</v>
      </c>
      <c r="M7" s="21">
        <f>$I$7*$C$7</f>
        <v>280</v>
      </c>
      <c r="N7" s="22">
        <f>$I$7*$C$7</f>
        <v>280</v>
      </c>
    </row>
    <row r="8" spans="2:15" ht="15.6" x14ac:dyDescent="0.3">
      <c r="B8" s="19"/>
      <c r="C8" s="6">
        <v>1</v>
      </c>
      <c r="D8" s="149" t="s">
        <v>305</v>
      </c>
      <c r="E8" s="20">
        <v>0.1</v>
      </c>
      <c r="F8" s="6">
        <v>1</v>
      </c>
      <c r="G8" s="21">
        <f>Inversion!G5</f>
        <v>1181</v>
      </c>
      <c r="H8" s="6">
        <v>20</v>
      </c>
      <c r="I8" s="21">
        <f>$G$8*$E$8</f>
        <v>118.10000000000001</v>
      </c>
      <c r="J8" s="21">
        <f>$I$8*$C$8</f>
        <v>118.10000000000001</v>
      </c>
      <c r="K8" s="21">
        <f>$I$8*$C$8</f>
        <v>118.10000000000001</v>
      </c>
      <c r="L8" s="21">
        <f>$I$8*$C$8</f>
        <v>118.10000000000001</v>
      </c>
      <c r="M8" s="21">
        <f t="shared" ref="M8:N8" si="1">$I$8*$C$8</f>
        <v>118.10000000000001</v>
      </c>
      <c r="N8" s="22">
        <f t="shared" si="1"/>
        <v>118.10000000000001</v>
      </c>
    </row>
    <row r="9" spans="2:15" ht="15.6" x14ac:dyDescent="0.3">
      <c r="B9" s="19"/>
      <c r="C9" s="6">
        <v>1</v>
      </c>
      <c r="D9" s="139" t="s">
        <v>248</v>
      </c>
      <c r="E9" s="20">
        <v>0.1</v>
      </c>
      <c r="F9" s="6">
        <v>1</v>
      </c>
      <c r="G9" s="21">
        <f>Inversion!G6</f>
        <v>3099</v>
      </c>
      <c r="H9" s="6">
        <v>20</v>
      </c>
      <c r="I9" s="21">
        <f>$E$9*$G$9</f>
        <v>309.90000000000003</v>
      </c>
      <c r="J9" s="21">
        <f>$C$9*$I$9</f>
        <v>309.90000000000003</v>
      </c>
      <c r="K9" s="21">
        <f t="shared" ref="K9:N9" si="2">$C$9*$I$9</f>
        <v>309.90000000000003</v>
      </c>
      <c r="L9" s="21">
        <f t="shared" si="2"/>
        <v>309.90000000000003</v>
      </c>
      <c r="M9" s="21">
        <f t="shared" si="2"/>
        <v>309.90000000000003</v>
      </c>
      <c r="N9" s="22">
        <f t="shared" si="2"/>
        <v>309.90000000000003</v>
      </c>
    </row>
    <row r="10" spans="2:15" ht="15.6" x14ac:dyDescent="0.3">
      <c r="B10" s="19"/>
      <c r="C10" s="6"/>
      <c r="D10" s="94" t="s">
        <v>14</v>
      </c>
      <c r="E10" s="4"/>
      <c r="F10" s="6"/>
      <c r="G10" s="6"/>
      <c r="H10" s="6"/>
      <c r="I10" s="95">
        <f>SUM(I11)</f>
        <v>60</v>
      </c>
      <c r="J10" s="95">
        <f t="shared" ref="J10:N10" si="3">SUM(J11)</f>
        <v>300</v>
      </c>
      <c r="K10" s="95">
        <f t="shared" si="3"/>
        <v>300</v>
      </c>
      <c r="L10" s="95">
        <f t="shared" si="3"/>
        <v>300</v>
      </c>
      <c r="M10" s="95">
        <f t="shared" si="3"/>
        <v>300</v>
      </c>
      <c r="N10" s="95">
        <f t="shared" si="3"/>
        <v>300</v>
      </c>
    </row>
    <row r="11" spans="2:15" ht="15.6" x14ac:dyDescent="0.3">
      <c r="B11" s="19"/>
      <c r="C11" s="6">
        <v>5</v>
      </c>
      <c r="D11" s="6" t="s">
        <v>328</v>
      </c>
      <c r="E11" s="20">
        <v>0.1</v>
      </c>
      <c r="F11" s="6">
        <v>1</v>
      </c>
      <c r="G11" s="21">
        <f>Inversion!G14</f>
        <v>600</v>
      </c>
      <c r="H11" s="6">
        <v>10</v>
      </c>
      <c r="I11" s="21">
        <f>G11*E11</f>
        <v>60</v>
      </c>
      <c r="J11" s="21">
        <f>$I$11*$C$11</f>
        <v>300</v>
      </c>
      <c r="K11" s="21">
        <f>$I$11*$C$11</f>
        <v>300</v>
      </c>
      <c r="L11" s="21">
        <f t="shared" ref="L11:N11" si="4">$I$11*$C$11</f>
        <v>300</v>
      </c>
      <c r="M11" s="21">
        <f t="shared" si="4"/>
        <v>300</v>
      </c>
      <c r="N11" s="22">
        <f t="shared" si="4"/>
        <v>300</v>
      </c>
    </row>
    <row r="12" spans="2:15" ht="15.6" x14ac:dyDescent="0.3">
      <c r="B12" s="19"/>
      <c r="C12" s="6"/>
      <c r="D12" s="6"/>
      <c r="E12" s="20"/>
      <c r="F12" s="6"/>
      <c r="G12" s="21"/>
      <c r="H12" s="6"/>
      <c r="I12" s="21"/>
      <c r="J12" s="21"/>
      <c r="K12" s="21"/>
      <c r="L12" s="21"/>
      <c r="M12" s="21"/>
      <c r="N12" s="22"/>
    </row>
    <row r="13" spans="2:15" ht="15.6" x14ac:dyDescent="0.3">
      <c r="B13" s="92" t="s">
        <v>35</v>
      </c>
      <c r="C13" s="6"/>
      <c r="D13" s="94" t="s">
        <v>14</v>
      </c>
      <c r="E13" s="4"/>
      <c r="F13" s="6"/>
      <c r="G13" s="6"/>
      <c r="H13" s="6"/>
      <c r="I13" s="95">
        <f>SUM(I14,I15)</f>
        <v>177.1</v>
      </c>
      <c r="J13" s="95">
        <f t="shared" ref="J13:N13" si="5">SUM(J14,J15)</f>
        <v>177.1</v>
      </c>
      <c r="K13" s="95">
        <f t="shared" si="5"/>
        <v>177.1</v>
      </c>
      <c r="L13" s="95">
        <f t="shared" si="5"/>
        <v>177.1</v>
      </c>
      <c r="M13" s="95">
        <f t="shared" si="5"/>
        <v>177.1</v>
      </c>
      <c r="N13" s="96">
        <f t="shared" si="5"/>
        <v>177.1</v>
      </c>
    </row>
    <row r="14" spans="2:15" ht="15.6" x14ac:dyDescent="0.3">
      <c r="B14" s="19"/>
      <c r="C14" s="6">
        <v>1</v>
      </c>
      <c r="D14" s="6" t="s">
        <v>264</v>
      </c>
      <c r="E14" s="20">
        <v>0.1</v>
      </c>
      <c r="F14" s="6">
        <v>1</v>
      </c>
      <c r="G14" s="21">
        <f>Inversion!G20</f>
        <v>1180</v>
      </c>
      <c r="H14" s="6">
        <v>10</v>
      </c>
      <c r="I14" s="21">
        <f>G14*E14</f>
        <v>118</v>
      </c>
      <c r="J14" s="21">
        <f>$I$14*$C$14</f>
        <v>118</v>
      </c>
      <c r="K14" s="21">
        <f>$I$14*$C$14</f>
        <v>118</v>
      </c>
      <c r="L14" s="21">
        <f>$I$14*$C$14</f>
        <v>118</v>
      </c>
      <c r="M14" s="21">
        <f>$I$14*$C$14</f>
        <v>118</v>
      </c>
      <c r="N14" s="22">
        <f>$I$14*$C$14</f>
        <v>118</v>
      </c>
    </row>
    <row r="15" spans="2:15" ht="15.6" x14ac:dyDescent="0.3">
      <c r="B15" s="19"/>
      <c r="C15" s="6">
        <v>1</v>
      </c>
      <c r="D15" s="6" t="s">
        <v>340</v>
      </c>
      <c r="E15" s="20">
        <v>0.1</v>
      </c>
      <c r="F15" s="6">
        <v>1</v>
      </c>
      <c r="G15" s="21">
        <f>Inversion!G21</f>
        <v>591</v>
      </c>
      <c r="H15" s="6">
        <v>10</v>
      </c>
      <c r="I15" s="21">
        <f>G15*E15</f>
        <v>59.1</v>
      </c>
      <c r="J15" s="21">
        <f>$I$15*$C$15</f>
        <v>59.1</v>
      </c>
      <c r="K15" s="21">
        <f>$I$15*$C$15</f>
        <v>59.1</v>
      </c>
      <c r="L15" s="21">
        <f>$I$15*$C$15</f>
        <v>59.1</v>
      </c>
      <c r="M15" s="21">
        <f>$I$15*$C$15</f>
        <v>59.1</v>
      </c>
      <c r="N15" s="22">
        <f>$I$15*$C$15</f>
        <v>59.1</v>
      </c>
    </row>
    <row r="16" spans="2:15" ht="15.6" x14ac:dyDescent="0.3">
      <c r="B16" s="19"/>
      <c r="C16" s="6"/>
      <c r="D16" s="94" t="s">
        <v>36</v>
      </c>
      <c r="E16" s="4"/>
      <c r="F16" s="6"/>
      <c r="G16" s="6"/>
      <c r="H16" s="6"/>
      <c r="I16" s="95">
        <f>SUM(I17,I18)</f>
        <v>1498.1834999999999</v>
      </c>
      <c r="J16" s="95">
        <f t="shared" ref="J16:L16" si="6">SUM(J17,J18)</f>
        <v>1498.1834999999999</v>
      </c>
      <c r="K16" s="95">
        <f t="shared" si="6"/>
        <v>1498.1834999999999</v>
      </c>
      <c r="L16" s="95">
        <f t="shared" si="6"/>
        <v>1498.1834999999999</v>
      </c>
      <c r="M16" s="95">
        <v>0</v>
      </c>
      <c r="N16" s="96">
        <f>SUM(N17,N18)</f>
        <v>0</v>
      </c>
    </row>
    <row r="17" spans="2:14" ht="15.6" x14ac:dyDescent="0.3">
      <c r="B17" s="19"/>
      <c r="C17" s="6">
        <v>1</v>
      </c>
      <c r="D17" s="139" t="s">
        <v>261</v>
      </c>
      <c r="E17" s="23">
        <v>0.33329999999999999</v>
      </c>
      <c r="F17" s="6">
        <v>1</v>
      </c>
      <c r="G17" s="21">
        <f>Inversion!G22</f>
        <v>1295</v>
      </c>
      <c r="H17" s="6">
        <v>3</v>
      </c>
      <c r="I17" s="21">
        <f>G17*E17</f>
        <v>431.62349999999998</v>
      </c>
      <c r="J17" s="21">
        <f>$I$17*$C$17</f>
        <v>431.62349999999998</v>
      </c>
      <c r="K17" s="21">
        <f>$I$17*$C$17</f>
        <v>431.62349999999998</v>
      </c>
      <c r="L17" s="21">
        <f>$I$17*$C$17</f>
        <v>431.62349999999998</v>
      </c>
      <c r="M17" s="21">
        <v>0</v>
      </c>
      <c r="N17" s="22">
        <v>0</v>
      </c>
    </row>
    <row r="18" spans="2:14" ht="15.6" x14ac:dyDescent="0.3">
      <c r="B18" s="19"/>
      <c r="C18" s="6">
        <v>1</v>
      </c>
      <c r="D18" s="139" t="s">
        <v>18</v>
      </c>
      <c r="E18" s="23">
        <v>0.33329999999999999</v>
      </c>
      <c r="F18" s="6">
        <v>1</v>
      </c>
      <c r="G18" s="21">
        <f>Inversion!G23</f>
        <v>3200</v>
      </c>
      <c r="H18" s="6">
        <v>3</v>
      </c>
      <c r="I18" s="21">
        <f>G18*E18</f>
        <v>1066.56</v>
      </c>
      <c r="J18" s="21">
        <f>$I$18*$C$18</f>
        <v>1066.56</v>
      </c>
      <c r="K18" s="21">
        <f>$I$18*$C$18</f>
        <v>1066.56</v>
      </c>
      <c r="L18" s="21">
        <f>$I$18*$C$18</f>
        <v>1066.56</v>
      </c>
      <c r="M18" s="21">
        <v>0</v>
      </c>
      <c r="N18" s="22">
        <v>0</v>
      </c>
    </row>
    <row r="19" spans="2:14" ht="15.6" x14ac:dyDescent="0.3">
      <c r="B19" s="19"/>
      <c r="C19" s="6"/>
      <c r="D19" s="139"/>
      <c r="E19" s="23"/>
      <c r="F19" s="6"/>
      <c r="G19" s="21"/>
      <c r="H19" s="6"/>
      <c r="I19" s="21"/>
      <c r="J19" s="21"/>
      <c r="K19" s="21"/>
      <c r="L19" s="21"/>
      <c r="M19" s="21"/>
      <c r="N19" s="22"/>
    </row>
    <row r="20" spans="2:14" ht="15.6" x14ac:dyDescent="0.3">
      <c r="B20" s="92" t="s">
        <v>259</v>
      </c>
      <c r="C20" s="34"/>
      <c r="D20" s="94" t="s">
        <v>14</v>
      </c>
      <c r="E20" s="4"/>
      <c r="F20" s="4"/>
      <c r="G20" s="4"/>
      <c r="H20" s="4"/>
      <c r="I20" s="95">
        <f>SUM(I21,I22)</f>
        <v>177.1</v>
      </c>
      <c r="J20" s="95">
        <f t="shared" ref="J20:N20" si="7">SUM(J21,J22)</f>
        <v>1181</v>
      </c>
      <c r="K20" s="95">
        <f t="shared" si="7"/>
        <v>1181</v>
      </c>
      <c r="L20" s="95">
        <f t="shared" si="7"/>
        <v>1181</v>
      </c>
      <c r="M20" s="95">
        <f t="shared" si="7"/>
        <v>1181</v>
      </c>
      <c r="N20" s="95">
        <f t="shared" si="7"/>
        <v>1181</v>
      </c>
    </row>
    <row r="21" spans="2:14" ht="15.6" x14ac:dyDescent="0.3">
      <c r="B21" s="161"/>
      <c r="C21" s="34">
        <v>5</v>
      </c>
      <c r="D21" s="35" t="s">
        <v>263</v>
      </c>
      <c r="E21" s="23">
        <v>0.1</v>
      </c>
      <c r="F21" s="149">
        <v>1</v>
      </c>
      <c r="G21" s="21">
        <f>Inversion!G26</f>
        <v>1180</v>
      </c>
      <c r="H21" s="6">
        <v>10</v>
      </c>
      <c r="I21" s="21">
        <f t="shared" ref="I21:I22" si="8">E21*G21</f>
        <v>118</v>
      </c>
      <c r="J21" s="21">
        <f>$I$21*$C$21</f>
        <v>590</v>
      </c>
      <c r="K21" s="21">
        <f t="shared" ref="K21:N21" si="9">$I$21*$C$21</f>
        <v>590</v>
      </c>
      <c r="L21" s="21">
        <f t="shared" si="9"/>
        <v>590</v>
      </c>
      <c r="M21" s="21">
        <f t="shared" si="9"/>
        <v>590</v>
      </c>
      <c r="N21" s="22">
        <f t="shared" si="9"/>
        <v>590</v>
      </c>
    </row>
    <row r="22" spans="2:14" ht="15.6" x14ac:dyDescent="0.3">
      <c r="B22" s="161"/>
      <c r="C22" s="34">
        <v>10</v>
      </c>
      <c r="D22" s="35" t="s">
        <v>290</v>
      </c>
      <c r="E22" s="23">
        <v>0.1</v>
      </c>
      <c r="F22" s="149">
        <v>1</v>
      </c>
      <c r="G22" s="21">
        <f>Inversion!G27</f>
        <v>591</v>
      </c>
      <c r="H22" s="6">
        <v>10</v>
      </c>
      <c r="I22" s="21">
        <f t="shared" si="8"/>
        <v>59.1</v>
      </c>
      <c r="J22" s="21">
        <f>$I$22*$C$22</f>
        <v>591</v>
      </c>
      <c r="K22" s="21">
        <f t="shared" ref="K22:N22" si="10">$I$22*$C$22</f>
        <v>591</v>
      </c>
      <c r="L22" s="21">
        <f t="shared" si="10"/>
        <v>591</v>
      </c>
      <c r="M22" s="21">
        <f t="shared" si="10"/>
        <v>591</v>
      </c>
      <c r="N22" s="22">
        <f t="shared" si="10"/>
        <v>591</v>
      </c>
    </row>
    <row r="23" spans="2:14" ht="15.6" x14ac:dyDescent="0.3">
      <c r="B23" s="161"/>
      <c r="C23" s="4"/>
      <c r="D23" s="94" t="s">
        <v>306</v>
      </c>
      <c r="E23" s="23"/>
      <c r="F23" s="4"/>
      <c r="G23" s="21"/>
      <c r="H23" s="6"/>
      <c r="I23" s="95">
        <f t="shared" ref="I23:N23" si="11">SUM(I24:I25)</f>
        <v>1498.1834999999999</v>
      </c>
      <c r="J23" s="95">
        <f t="shared" si="11"/>
        <v>5764.423499999999</v>
      </c>
      <c r="K23" s="95">
        <f t="shared" si="11"/>
        <v>5764.423499999999</v>
      </c>
      <c r="L23" s="95">
        <f t="shared" si="11"/>
        <v>5764.423499999999</v>
      </c>
      <c r="M23" s="95">
        <f t="shared" si="11"/>
        <v>0</v>
      </c>
      <c r="N23" s="96">
        <f t="shared" si="11"/>
        <v>0</v>
      </c>
    </row>
    <row r="24" spans="2:14" ht="15.6" x14ac:dyDescent="0.3">
      <c r="B24" s="161"/>
      <c r="C24" s="34">
        <v>1</v>
      </c>
      <c r="D24" s="35" t="s">
        <v>261</v>
      </c>
      <c r="E24" s="23">
        <v>0.33329999999999999</v>
      </c>
      <c r="F24" s="149">
        <v>1</v>
      </c>
      <c r="G24" s="21">
        <f>Inversion!G28</f>
        <v>1295</v>
      </c>
      <c r="H24" s="6">
        <v>3</v>
      </c>
      <c r="I24" s="21">
        <f>E24*G24</f>
        <v>431.62349999999998</v>
      </c>
      <c r="J24" s="21">
        <f>$C$24*$I$24</f>
        <v>431.62349999999998</v>
      </c>
      <c r="K24" s="21">
        <f t="shared" ref="K24:L24" si="12">$C$24*$I$24</f>
        <v>431.62349999999998</v>
      </c>
      <c r="L24" s="21">
        <f t="shared" si="12"/>
        <v>431.62349999999998</v>
      </c>
      <c r="M24" s="21"/>
      <c r="N24" s="22"/>
    </row>
    <row r="25" spans="2:14" ht="16.2" thickBot="1" x14ac:dyDescent="0.35">
      <c r="B25" s="162"/>
      <c r="C25" s="163">
        <v>5</v>
      </c>
      <c r="D25" s="156" t="s">
        <v>307</v>
      </c>
      <c r="E25" s="24">
        <v>0.33329999999999999</v>
      </c>
      <c r="F25" s="164">
        <v>1</v>
      </c>
      <c r="G25" s="25">
        <f>Inversion!G30</f>
        <v>3200</v>
      </c>
      <c r="H25" s="7">
        <v>3</v>
      </c>
      <c r="I25" s="25">
        <f t="shared" ref="I25" si="13">E25*G25</f>
        <v>1066.56</v>
      </c>
      <c r="J25" s="25">
        <f>$C$25*$I$25</f>
        <v>5332.7999999999993</v>
      </c>
      <c r="K25" s="25">
        <f t="shared" ref="K25:L25" si="14">$C$25*$I$25</f>
        <v>5332.7999999999993</v>
      </c>
      <c r="L25" s="25">
        <f t="shared" si="14"/>
        <v>5332.7999999999993</v>
      </c>
      <c r="M25" s="25"/>
      <c r="N25" s="26"/>
    </row>
    <row r="26" spans="2:14" ht="15.6" x14ac:dyDescent="0.3">
      <c r="B26" s="11"/>
      <c r="C26" s="11"/>
      <c r="D26" s="11"/>
      <c r="E26" s="11"/>
      <c r="F26" s="11"/>
      <c r="G26" s="11"/>
      <c r="H26" s="11"/>
      <c r="I26" s="11"/>
      <c r="J26" s="97">
        <f>SUM(J16+J13+J10+J6,J20,J23)</f>
        <v>9628.7069999999985</v>
      </c>
      <c r="K26" s="97">
        <f>SUM(K16+K13+K10+K6,K20,K23)</f>
        <v>9628.7069999999985</v>
      </c>
      <c r="L26" s="97">
        <f>SUM(L16+L13+L10+L6,L20,L23)</f>
        <v>9628.7069999999985</v>
      </c>
      <c r="M26" s="97">
        <f>SUM(M16+M13+M10+M6,M20,M23)</f>
        <v>2366.1</v>
      </c>
      <c r="N26" s="97">
        <f>SUM(N16+N13+N10+N6,N20,N23)</f>
        <v>2366.1</v>
      </c>
    </row>
    <row r="27" spans="2:14" ht="15.6" x14ac:dyDescent="0.3">
      <c r="B27" s="11"/>
      <c r="C27" s="11"/>
      <c r="D27" s="11"/>
      <c r="E27" s="11"/>
      <c r="F27" s="11"/>
      <c r="G27" s="11"/>
      <c r="H27" s="11"/>
      <c r="I27" s="11"/>
      <c r="J27" s="11"/>
      <c r="K27" s="11"/>
      <c r="L27" s="11"/>
      <c r="M27" s="11"/>
      <c r="N27" s="11"/>
    </row>
    <row r="28" spans="2:14" ht="15.6" x14ac:dyDescent="0.3">
      <c r="B28" s="11"/>
      <c r="C28" s="11"/>
      <c r="D28" s="11"/>
      <c r="E28" s="11"/>
      <c r="F28" s="11"/>
      <c r="G28" s="11"/>
      <c r="H28" s="11"/>
      <c r="I28" s="11"/>
      <c r="J28" s="11"/>
      <c r="K28" s="11"/>
      <c r="L28" s="11"/>
      <c r="M28" s="11"/>
      <c r="N28" s="11"/>
    </row>
  </sheetData>
  <mergeCells count="2">
    <mergeCell ref="B1:O1"/>
    <mergeCell ref="B3:O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zoomScale="88" zoomScaleNormal="85" workbookViewId="0">
      <selection activeCell="E4" sqref="E4"/>
    </sheetView>
  </sheetViews>
  <sheetFormatPr baseColWidth="10" defaultRowHeight="14.4" x14ac:dyDescent="0.3"/>
  <cols>
    <col min="1" max="1" width="24.88671875" customWidth="1"/>
    <col min="2" max="2" width="18.109375" customWidth="1"/>
    <col min="3" max="3" width="14.77734375" customWidth="1"/>
    <col min="4" max="4" width="17.88671875" customWidth="1"/>
    <col min="5" max="5" width="14.6640625" customWidth="1"/>
    <col min="6" max="6" width="22.77734375" customWidth="1"/>
    <col min="7" max="7" width="19.109375" customWidth="1"/>
    <col min="8" max="8" width="16.109375" customWidth="1"/>
    <col min="9" max="9" width="19.6640625" customWidth="1"/>
  </cols>
  <sheetData>
    <row r="1" spans="1:10" ht="21" x14ac:dyDescent="0.4">
      <c r="A1" s="207" t="s">
        <v>252</v>
      </c>
      <c r="B1" s="207"/>
      <c r="C1" s="207"/>
      <c r="D1" s="207"/>
      <c r="E1" s="207"/>
      <c r="F1" s="207"/>
      <c r="G1" s="207"/>
      <c r="H1" s="207"/>
      <c r="I1" s="207"/>
      <c r="J1" s="207"/>
    </row>
    <row r="2" spans="1:10" ht="18" x14ac:dyDescent="0.35">
      <c r="A2" s="205" t="s">
        <v>37</v>
      </c>
      <c r="B2" s="205"/>
      <c r="C2" s="205"/>
      <c r="D2" s="205"/>
      <c r="E2" s="205"/>
      <c r="F2" s="205"/>
      <c r="G2" s="205"/>
      <c r="H2" s="205"/>
      <c r="I2" s="205"/>
      <c r="J2" s="205"/>
    </row>
    <row r="3" spans="1:10" ht="62.4" x14ac:dyDescent="0.3">
      <c r="A3" s="103" t="s">
        <v>38</v>
      </c>
      <c r="B3" s="104" t="s">
        <v>319</v>
      </c>
      <c r="C3" s="104" t="s">
        <v>52</v>
      </c>
      <c r="D3" s="104" t="s">
        <v>329</v>
      </c>
      <c r="E3" s="104" t="s">
        <v>250</v>
      </c>
      <c r="F3" s="104" t="s">
        <v>330</v>
      </c>
      <c r="G3" s="104" t="s">
        <v>331</v>
      </c>
      <c r="H3" s="104" t="s">
        <v>40</v>
      </c>
      <c r="I3" s="104" t="s">
        <v>41</v>
      </c>
      <c r="J3" s="27"/>
    </row>
    <row r="4" spans="1:10" ht="15.6" x14ac:dyDescent="0.3">
      <c r="A4" s="108" t="s">
        <v>266</v>
      </c>
      <c r="B4" s="29">
        <v>1</v>
      </c>
      <c r="C4" s="30">
        <v>200</v>
      </c>
      <c r="D4" s="30">
        <f>B4*C4</f>
        <v>200</v>
      </c>
      <c r="E4" s="174">
        <v>94</v>
      </c>
      <c r="F4" s="32">
        <f>D4</f>
        <v>200</v>
      </c>
      <c r="G4" s="32">
        <f>F4*E4</f>
        <v>18800</v>
      </c>
      <c r="H4" s="32">
        <f>G4*3</f>
        <v>56400</v>
      </c>
      <c r="I4" s="32">
        <f>H4*4</f>
        <v>225600</v>
      </c>
      <c r="J4" s="27"/>
    </row>
    <row r="5" spans="1:10" ht="31.2" x14ac:dyDescent="0.3">
      <c r="A5" s="108" t="s">
        <v>267</v>
      </c>
      <c r="B5" s="31">
        <v>1</v>
      </c>
      <c r="C5" s="38">
        <v>89</v>
      </c>
      <c r="D5" s="30">
        <f>B5*C5</f>
        <v>89</v>
      </c>
      <c r="E5" s="174">
        <v>94</v>
      </c>
      <c r="F5" s="32">
        <f>D5</f>
        <v>89</v>
      </c>
      <c r="G5" s="32">
        <f>F5*E5</f>
        <v>8366</v>
      </c>
      <c r="H5" s="32">
        <f t="shared" ref="H5:H14" si="0">G5*3</f>
        <v>25098</v>
      </c>
      <c r="I5" s="32">
        <f t="shared" ref="I5:I14" si="1">H5*4</f>
        <v>100392</v>
      </c>
      <c r="J5" s="27"/>
    </row>
    <row r="6" spans="1:10" ht="15.6" x14ac:dyDescent="0.3">
      <c r="A6" s="109" t="s">
        <v>268</v>
      </c>
      <c r="B6" s="31">
        <v>1</v>
      </c>
      <c r="C6" s="38">
        <v>159</v>
      </c>
      <c r="D6" s="30">
        <f>B6*C6</f>
        <v>159</v>
      </c>
      <c r="E6" s="174">
        <v>94</v>
      </c>
      <c r="F6" s="32">
        <f>D6</f>
        <v>159</v>
      </c>
      <c r="G6" s="32">
        <f t="shared" ref="G6:G14" si="2">F6*E6</f>
        <v>14946</v>
      </c>
      <c r="H6" s="32">
        <f t="shared" si="0"/>
        <v>44838</v>
      </c>
      <c r="I6" s="32">
        <f t="shared" si="1"/>
        <v>179352</v>
      </c>
      <c r="J6" s="27"/>
    </row>
    <row r="7" spans="1:10" ht="15.6" x14ac:dyDescent="0.3">
      <c r="A7" s="109" t="s">
        <v>269</v>
      </c>
      <c r="B7" s="31">
        <v>1</v>
      </c>
      <c r="C7" s="38">
        <v>15</v>
      </c>
      <c r="D7" s="30">
        <f t="shared" ref="D7:D11" si="3">B7*C7</f>
        <v>15</v>
      </c>
      <c r="E7" s="174">
        <v>94</v>
      </c>
      <c r="F7" s="32">
        <f t="shared" ref="F7:F14" si="4">D7</f>
        <v>15</v>
      </c>
      <c r="G7" s="32">
        <f t="shared" si="2"/>
        <v>1410</v>
      </c>
      <c r="H7" s="32">
        <f t="shared" si="0"/>
        <v>4230</v>
      </c>
      <c r="I7" s="32">
        <f t="shared" si="1"/>
        <v>16920</v>
      </c>
      <c r="J7" s="27"/>
    </row>
    <row r="8" spans="1:10" ht="15.6" x14ac:dyDescent="0.3">
      <c r="A8" s="109" t="s">
        <v>270</v>
      </c>
      <c r="B8" s="31">
        <v>1</v>
      </c>
      <c r="C8" s="38">
        <v>3</v>
      </c>
      <c r="D8" s="30">
        <f t="shared" si="3"/>
        <v>3</v>
      </c>
      <c r="E8" s="174">
        <v>94</v>
      </c>
      <c r="F8" s="32">
        <f t="shared" si="4"/>
        <v>3</v>
      </c>
      <c r="G8" s="32">
        <f t="shared" si="2"/>
        <v>282</v>
      </c>
      <c r="H8" s="32">
        <f t="shared" si="0"/>
        <v>846</v>
      </c>
      <c r="I8" s="32">
        <f t="shared" si="1"/>
        <v>3384</v>
      </c>
      <c r="J8" s="27"/>
    </row>
    <row r="9" spans="1:10" ht="15.6" x14ac:dyDescent="0.3">
      <c r="A9" s="109" t="s">
        <v>271</v>
      </c>
      <c r="B9" s="31">
        <v>3</v>
      </c>
      <c r="C9" s="38">
        <v>299</v>
      </c>
      <c r="D9" s="30">
        <f>B9*C9</f>
        <v>897</v>
      </c>
      <c r="E9" s="174">
        <v>94</v>
      </c>
      <c r="F9" s="32">
        <f t="shared" si="4"/>
        <v>897</v>
      </c>
      <c r="G9" s="32">
        <f t="shared" si="2"/>
        <v>84318</v>
      </c>
      <c r="H9" s="32">
        <f t="shared" si="0"/>
        <v>252954</v>
      </c>
      <c r="I9" s="32">
        <f t="shared" si="1"/>
        <v>1011816</v>
      </c>
      <c r="J9" s="27"/>
    </row>
    <row r="10" spans="1:10" ht="15.6" x14ac:dyDescent="0.3">
      <c r="A10" s="109" t="s">
        <v>272</v>
      </c>
      <c r="B10" s="31">
        <v>1</v>
      </c>
      <c r="C10" s="38">
        <v>9</v>
      </c>
      <c r="D10" s="30">
        <f t="shared" si="3"/>
        <v>9</v>
      </c>
      <c r="E10" s="174">
        <v>94</v>
      </c>
      <c r="F10" s="32">
        <f t="shared" si="4"/>
        <v>9</v>
      </c>
      <c r="G10" s="32">
        <f>F10*E10</f>
        <v>846</v>
      </c>
      <c r="H10" s="32">
        <f t="shared" si="0"/>
        <v>2538</v>
      </c>
      <c r="I10" s="32">
        <f t="shared" si="1"/>
        <v>10152</v>
      </c>
      <c r="J10" s="27"/>
    </row>
    <row r="11" spans="1:10" ht="15.6" x14ac:dyDescent="0.3">
      <c r="A11" s="109" t="s">
        <v>273</v>
      </c>
      <c r="B11" s="31">
        <v>1</v>
      </c>
      <c r="C11" s="38">
        <v>19</v>
      </c>
      <c r="D11" s="30">
        <f t="shared" si="3"/>
        <v>19</v>
      </c>
      <c r="E11" s="174">
        <v>94</v>
      </c>
      <c r="F11" s="32">
        <f t="shared" si="4"/>
        <v>19</v>
      </c>
      <c r="G11" s="32">
        <f t="shared" si="2"/>
        <v>1786</v>
      </c>
      <c r="H11" s="32">
        <f t="shared" si="0"/>
        <v>5358</v>
      </c>
      <c r="I11" s="32">
        <f t="shared" si="1"/>
        <v>21432</v>
      </c>
      <c r="J11" s="27"/>
    </row>
    <row r="12" spans="1:10" ht="15.6" x14ac:dyDescent="0.3">
      <c r="A12" s="109" t="s">
        <v>249</v>
      </c>
      <c r="B12" s="31">
        <v>1</v>
      </c>
      <c r="C12" s="38">
        <v>500</v>
      </c>
      <c r="D12" s="30">
        <f>B12*C12</f>
        <v>500</v>
      </c>
      <c r="E12" s="174">
        <v>94</v>
      </c>
      <c r="F12" s="32">
        <f t="shared" si="4"/>
        <v>500</v>
      </c>
      <c r="G12" s="32">
        <f t="shared" si="2"/>
        <v>47000</v>
      </c>
      <c r="H12" s="32">
        <f t="shared" si="0"/>
        <v>141000</v>
      </c>
      <c r="I12" s="32">
        <f t="shared" si="1"/>
        <v>564000</v>
      </c>
      <c r="J12" s="27"/>
    </row>
    <row r="13" spans="1:10" ht="15.6" x14ac:dyDescent="0.3">
      <c r="B13" s="31" t="s">
        <v>341</v>
      </c>
      <c r="D13" s="30"/>
      <c r="E13" s="174"/>
      <c r="F13" s="32"/>
      <c r="G13" s="32"/>
      <c r="H13" s="32"/>
      <c r="I13" s="32"/>
      <c r="J13" s="27"/>
    </row>
    <row r="14" spans="1:10" ht="15.6" x14ac:dyDescent="0.3">
      <c r="A14" s="109" t="s">
        <v>274</v>
      </c>
      <c r="B14" s="31">
        <v>0.04</v>
      </c>
      <c r="C14" s="38">
        <v>15.96</v>
      </c>
      <c r="D14" s="30">
        <f>B14*C14</f>
        <v>0.63840000000000008</v>
      </c>
      <c r="E14" s="174">
        <v>94</v>
      </c>
      <c r="F14" s="32">
        <f t="shared" si="4"/>
        <v>0.63840000000000008</v>
      </c>
      <c r="G14" s="32">
        <f t="shared" si="2"/>
        <v>60.009600000000006</v>
      </c>
      <c r="H14" s="32">
        <f t="shared" si="0"/>
        <v>180.02880000000002</v>
      </c>
      <c r="I14" s="32">
        <f t="shared" si="1"/>
        <v>720.11520000000007</v>
      </c>
      <c r="J14" s="27"/>
    </row>
    <row r="15" spans="1:10" ht="15.6" x14ac:dyDescent="0.3">
      <c r="A15" s="113" t="s">
        <v>42</v>
      </c>
      <c r="B15" s="43"/>
      <c r="C15" s="116">
        <f>SUM(C4:C14)</f>
        <v>1308.96</v>
      </c>
      <c r="D15" s="116">
        <f>SUM(D4:D14)</f>
        <v>1891.6384</v>
      </c>
      <c r="E15" s="43"/>
      <c r="F15" s="116">
        <f>SUM(F4:F14)</f>
        <v>1891.6384</v>
      </c>
      <c r="G15" s="116">
        <f>SUM(G4:G14)</f>
        <v>177814.00959999999</v>
      </c>
      <c r="H15" s="116">
        <f>SUM(H4:H14)</f>
        <v>533442.02879999997</v>
      </c>
      <c r="I15" s="116">
        <f>SUM(I4:I14)</f>
        <v>2133768.1151999999</v>
      </c>
      <c r="J15" s="27"/>
    </row>
    <row r="16" spans="1:10" ht="15.6" x14ac:dyDescent="0.3">
      <c r="A16" s="44"/>
      <c r="B16" s="44"/>
      <c r="C16" s="45"/>
      <c r="D16" s="45"/>
      <c r="E16" s="44"/>
      <c r="F16" s="45"/>
      <c r="G16" s="45"/>
      <c r="H16" s="45"/>
      <c r="I16" s="45"/>
      <c r="J16" s="27"/>
    </row>
    <row r="17" spans="1:10" ht="15.6" x14ac:dyDescent="0.3">
      <c r="A17" s="11"/>
      <c r="B17" s="11"/>
      <c r="C17" s="11"/>
      <c r="D17" s="11"/>
      <c r="E17" s="11"/>
      <c r="F17" s="11"/>
      <c r="G17" s="11"/>
      <c r="H17" s="11"/>
      <c r="I17" s="11"/>
      <c r="J17" s="27"/>
    </row>
    <row r="18" spans="1:10" ht="18" x14ac:dyDescent="0.35">
      <c r="A18" s="205" t="s">
        <v>326</v>
      </c>
      <c r="B18" s="205"/>
      <c r="C18" s="205"/>
      <c r="D18" s="205"/>
      <c r="E18" s="205"/>
      <c r="F18" s="205"/>
      <c r="G18" s="205"/>
      <c r="H18" s="205"/>
      <c r="I18" s="205"/>
      <c r="J18" s="205"/>
    </row>
    <row r="19" spans="1:10" ht="46.8" x14ac:dyDescent="0.3">
      <c r="A19" s="105" t="s">
        <v>43</v>
      </c>
      <c r="B19" s="105" t="s">
        <v>44</v>
      </c>
      <c r="C19" s="106" t="s">
        <v>253</v>
      </c>
      <c r="D19" s="105" t="s">
        <v>45</v>
      </c>
      <c r="E19" s="106" t="s">
        <v>46</v>
      </c>
      <c r="F19" s="107" t="s">
        <v>47</v>
      </c>
      <c r="G19" s="104" t="s">
        <v>67</v>
      </c>
      <c r="H19" s="35"/>
      <c r="I19" s="6"/>
      <c r="J19" s="33"/>
    </row>
    <row r="20" spans="1:10" ht="15.6" x14ac:dyDescent="0.3">
      <c r="A20" s="28">
        <v>1</v>
      </c>
      <c r="B20" s="28" t="s">
        <v>48</v>
      </c>
      <c r="C20" s="170">
        <v>5.5</v>
      </c>
      <c r="D20" s="165">
        <v>248.93</v>
      </c>
      <c r="E20" s="85">
        <f>D20*30</f>
        <v>7467.9000000000005</v>
      </c>
      <c r="F20" s="166">
        <f>E20*3</f>
        <v>22403.7</v>
      </c>
      <c r="G20" s="85">
        <f>F20*4</f>
        <v>89614.8</v>
      </c>
      <c r="H20" s="39"/>
      <c r="I20" s="6"/>
      <c r="J20" s="33"/>
    </row>
    <row r="21" spans="1:10" ht="15.6" x14ac:dyDescent="0.3">
      <c r="A21" s="28">
        <v>1</v>
      </c>
      <c r="B21" s="28" t="s">
        <v>48</v>
      </c>
      <c r="C21" s="170">
        <v>5.5</v>
      </c>
      <c r="D21" s="165">
        <v>248.93</v>
      </c>
      <c r="E21" s="85">
        <f t="shared" ref="E21:E24" si="5">D21*30</f>
        <v>7467.9000000000005</v>
      </c>
      <c r="F21" s="166">
        <f t="shared" ref="F21:F24" si="6">E21*3</f>
        <v>22403.7</v>
      </c>
      <c r="G21" s="85">
        <f t="shared" ref="G21:G24" si="7">F21*4</f>
        <v>89614.8</v>
      </c>
      <c r="H21" s="39"/>
      <c r="I21" s="6"/>
      <c r="J21" s="33"/>
    </row>
    <row r="22" spans="1:10" ht="15.6" x14ac:dyDescent="0.3">
      <c r="A22" s="28">
        <v>1</v>
      </c>
      <c r="B22" s="28" t="s">
        <v>48</v>
      </c>
      <c r="C22" s="170">
        <v>5.5</v>
      </c>
      <c r="D22" s="165">
        <v>248.93</v>
      </c>
      <c r="E22" s="85">
        <f t="shared" si="5"/>
        <v>7467.9000000000005</v>
      </c>
      <c r="F22" s="166">
        <f t="shared" si="6"/>
        <v>22403.7</v>
      </c>
      <c r="G22" s="85">
        <f t="shared" si="7"/>
        <v>89614.8</v>
      </c>
      <c r="H22" s="39"/>
      <c r="I22" s="6"/>
      <c r="J22" s="33"/>
    </row>
    <row r="23" spans="1:10" ht="31.2" x14ac:dyDescent="0.3">
      <c r="A23" s="28">
        <v>1</v>
      </c>
      <c r="B23" s="28" t="s">
        <v>308</v>
      </c>
      <c r="C23" s="170">
        <v>5.5</v>
      </c>
      <c r="D23" s="165">
        <v>400</v>
      </c>
      <c r="E23" s="85">
        <f t="shared" si="5"/>
        <v>12000</v>
      </c>
      <c r="F23" s="166">
        <f t="shared" si="6"/>
        <v>36000</v>
      </c>
      <c r="G23" s="85">
        <f t="shared" si="7"/>
        <v>144000</v>
      </c>
      <c r="H23" s="39"/>
      <c r="I23" s="6"/>
      <c r="J23" s="33"/>
    </row>
    <row r="24" spans="1:10" ht="31.2" x14ac:dyDescent="0.3">
      <c r="A24" s="28">
        <v>1</v>
      </c>
      <c r="B24" s="28" t="s">
        <v>313</v>
      </c>
      <c r="C24" s="170">
        <v>5.5</v>
      </c>
      <c r="D24" s="165">
        <v>500</v>
      </c>
      <c r="E24" s="85">
        <f t="shared" si="5"/>
        <v>15000</v>
      </c>
      <c r="F24" s="166">
        <f t="shared" si="6"/>
        <v>45000</v>
      </c>
      <c r="G24" s="85">
        <f t="shared" si="7"/>
        <v>180000</v>
      </c>
      <c r="H24" s="39"/>
      <c r="I24" s="6"/>
      <c r="J24" s="33"/>
    </row>
    <row r="25" spans="1:10" ht="15.6" x14ac:dyDescent="0.3">
      <c r="A25" s="167" t="s">
        <v>66</v>
      </c>
      <c r="B25" s="168"/>
      <c r="C25" s="169"/>
      <c r="D25" s="123">
        <f>SUM(D20:D24)</f>
        <v>1646.79</v>
      </c>
      <c r="E25" s="123">
        <f>SUM(E20:E24)</f>
        <v>49403.7</v>
      </c>
      <c r="F25" s="123">
        <f>SUM(F20:F24)</f>
        <v>148211.1</v>
      </c>
      <c r="G25" s="123">
        <f>SUM(G20:G24)</f>
        <v>592844.4</v>
      </c>
      <c r="H25" s="21"/>
      <c r="I25" s="6"/>
      <c r="J25" s="33"/>
    </row>
    <row r="26" spans="1:10" ht="15.6" x14ac:dyDescent="0.3">
      <c r="A26" s="11"/>
      <c r="B26" s="11"/>
      <c r="C26" s="11"/>
      <c r="D26" s="11"/>
      <c r="E26" s="11"/>
      <c r="F26" s="11"/>
      <c r="G26" s="11"/>
      <c r="H26" s="11"/>
      <c r="I26" s="11"/>
      <c r="J26" s="27"/>
    </row>
    <row r="27" spans="1:10" ht="18" x14ac:dyDescent="0.35">
      <c r="A27" s="205" t="s">
        <v>89</v>
      </c>
      <c r="B27" s="205"/>
      <c r="C27" s="205"/>
      <c r="D27" s="205"/>
      <c r="E27" s="205"/>
      <c r="F27" s="205"/>
      <c r="G27" s="205"/>
      <c r="H27" s="205"/>
      <c r="I27" s="205"/>
      <c r="J27" s="205"/>
    </row>
    <row r="28" spans="1:10" ht="46.8" x14ac:dyDescent="0.3">
      <c r="A28" s="105" t="s">
        <v>53</v>
      </c>
      <c r="B28" s="106" t="s">
        <v>54</v>
      </c>
      <c r="C28" s="106" t="s">
        <v>55</v>
      </c>
      <c r="D28" s="103" t="s">
        <v>56</v>
      </c>
      <c r="E28" s="34"/>
      <c r="F28" s="34"/>
      <c r="G28" s="34"/>
      <c r="H28" s="34"/>
      <c r="I28" s="11"/>
      <c r="J28" s="27"/>
    </row>
    <row r="29" spans="1:10" ht="15.6" x14ac:dyDescent="0.3">
      <c r="A29" s="110" t="s">
        <v>49</v>
      </c>
      <c r="B29" s="30">
        <v>1000</v>
      </c>
      <c r="C29" s="32">
        <f>B29*3</f>
        <v>3000</v>
      </c>
      <c r="D29" s="32">
        <f>C29*4</f>
        <v>12000</v>
      </c>
      <c r="E29" s="34"/>
      <c r="F29" s="34"/>
      <c r="G29" s="34"/>
      <c r="H29" s="34"/>
      <c r="I29" s="11"/>
      <c r="J29" s="27"/>
    </row>
    <row r="30" spans="1:10" ht="15.6" x14ac:dyDescent="0.3">
      <c r="A30" s="110" t="s">
        <v>262</v>
      </c>
      <c r="B30" s="30">
        <f>400/3</f>
        <v>133.33333333333334</v>
      </c>
      <c r="C30" s="32">
        <f>B30*3</f>
        <v>400</v>
      </c>
      <c r="D30" s="32">
        <f>C30*4</f>
        <v>1600</v>
      </c>
      <c r="E30" s="34"/>
      <c r="F30" s="34"/>
      <c r="G30" s="34"/>
      <c r="H30" s="34"/>
      <c r="I30" s="11"/>
      <c r="J30" s="27"/>
    </row>
    <row r="31" spans="1:10" ht="15.6" x14ac:dyDescent="0.3">
      <c r="A31" s="110" t="s">
        <v>50</v>
      </c>
      <c r="B31" s="30">
        <v>500</v>
      </c>
      <c r="C31" s="32">
        <f>B31*3</f>
        <v>1500</v>
      </c>
      <c r="D31" s="32">
        <f t="shared" ref="D31:D34" si="8">C31*4</f>
        <v>6000</v>
      </c>
      <c r="E31" s="34"/>
      <c r="F31" s="34"/>
      <c r="G31" s="34"/>
      <c r="H31" s="34"/>
      <c r="I31" s="11"/>
      <c r="J31" s="27"/>
    </row>
    <row r="32" spans="1:10" ht="31.2" x14ac:dyDescent="0.3">
      <c r="A32" s="111" t="s">
        <v>65</v>
      </c>
      <c r="B32" s="30">
        <f>'Depreciaciones '!J10/12</f>
        <v>25</v>
      </c>
      <c r="C32" s="32">
        <f>B32*3</f>
        <v>75</v>
      </c>
      <c r="D32" s="32">
        <f>C32*4</f>
        <v>300</v>
      </c>
      <c r="E32" s="34"/>
      <c r="F32" s="34"/>
      <c r="G32" s="34"/>
      <c r="H32" s="34"/>
      <c r="I32" s="11"/>
      <c r="J32" s="27"/>
    </row>
    <row r="33" spans="1:10" ht="31.2" x14ac:dyDescent="0.3">
      <c r="A33" s="111" t="s">
        <v>64</v>
      </c>
      <c r="B33" s="30">
        <f>'Depreciaciones '!J6/12</f>
        <v>59</v>
      </c>
      <c r="C33" s="32">
        <f>B33*3</f>
        <v>177</v>
      </c>
      <c r="D33" s="32">
        <f t="shared" si="8"/>
        <v>708</v>
      </c>
      <c r="E33" s="34"/>
      <c r="F33" s="34"/>
      <c r="G33" s="34"/>
      <c r="H33" s="34"/>
      <c r="I33" s="11"/>
      <c r="J33" s="27"/>
    </row>
    <row r="34" spans="1:10" ht="15.6" x14ac:dyDescent="0.3">
      <c r="A34" s="110" t="s">
        <v>51</v>
      </c>
      <c r="B34" s="30">
        <f>8000/3</f>
        <v>2666.6666666666665</v>
      </c>
      <c r="C34" s="32">
        <f t="shared" ref="C34" si="9">B34*3</f>
        <v>8000</v>
      </c>
      <c r="D34" s="32">
        <f t="shared" si="8"/>
        <v>32000</v>
      </c>
      <c r="E34" s="34"/>
      <c r="F34" s="34"/>
      <c r="G34" s="34"/>
      <c r="H34" s="34"/>
      <c r="I34" s="11"/>
      <c r="J34" s="27"/>
    </row>
    <row r="35" spans="1:10" ht="15.6" x14ac:dyDescent="0.3">
      <c r="A35" s="113" t="s">
        <v>57</v>
      </c>
      <c r="B35" s="114">
        <f>SUM(B29:B34)</f>
        <v>4384</v>
      </c>
      <c r="C35" s="114">
        <f t="shared" ref="C35" si="10">SUM(C29:C34)</f>
        <v>13152</v>
      </c>
      <c r="D35" s="114">
        <f>SUM(D29:D34)</f>
        <v>52608</v>
      </c>
    </row>
    <row r="37" spans="1:10" ht="18" x14ac:dyDescent="0.35">
      <c r="A37" s="205" t="s">
        <v>68</v>
      </c>
      <c r="B37" s="205"/>
      <c r="C37" s="205"/>
      <c r="D37" s="205"/>
      <c r="E37" s="205"/>
      <c r="F37" s="205"/>
      <c r="G37" s="205"/>
      <c r="H37" s="205"/>
      <c r="I37" s="205"/>
      <c r="J37" s="205"/>
    </row>
    <row r="38" spans="1:10" ht="46.8" x14ac:dyDescent="0.3">
      <c r="A38" s="104" t="s">
        <v>58</v>
      </c>
      <c r="B38" s="104" t="s">
        <v>59</v>
      </c>
      <c r="C38" s="104" t="s">
        <v>60</v>
      </c>
      <c r="D38" s="103" t="s">
        <v>56</v>
      </c>
    </row>
    <row r="39" spans="1:10" ht="15.6" x14ac:dyDescent="0.3">
      <c r="A39" s="110" t="s">
        <v>37</v>
      </c>
      <c r="B39" s="40">
        <f>G15</f>
        <v>177814.00959999999</v>
      </c>
      <c r="C39" s="40">
        <f>H15</f>
        <v>533442.02879999997</v>
      </c>
      <c r="D39" s="40">
        <f>I15</f>
        <v>2133768.1151999999</v>
      </c>
    </row>
    <row r="40" spans="1:10" ht="15.6" x14ac:dyDescent="0.3">
      <c r="A40" s="110" t="s">
        <v>39</v>
      </c>
      <c r="B40" s="40">
        <f>E25</f>
        <v>49403.7</v>
      </c>
      <c r="C40" s="40">
        <f>F25</f>
        <v>148211.1</v>
      </c>
      <c r="D40" s="40">
        <f>G25</f>
        <v>592844.4</v>
      </c>
    </row>
    <row r="41" spans="1:10" ht="15.6" x14ac:dyDescent="0.3">
      <c r="A41" s="110" t="s">
        <v>61</v>
      </c>
      <c r="B41" s="40">
        <f>B35</f>
        <v>4384</v>
      </c>
      <c r="C41" s="40">
        <f>C35</f>
        <v>13152</v>
      </c>
      <c r="D41" s="40">
        <f>D35</f>
        <v>52608</v>
      </c>
    </row>
    <row r="42" spans="1:10" ht="15.6" x14ac:dyDescent="0.3">
      <c r="A42" s="113" t="s">
        <v>42</v>
      </c>
      <c r="B42" s="114">
        <f>SUM(B39:B41)</f>
        <v>231601.7096</v>
      </c>
      <c r="C42" s="114">
        <f>SUM(C39:C41)</f>
        <v>694805.12879999995</v>
      </c>
      <c r="D42" s="114">
        <f>SUM(D39:D41)</f>
        <v>2779220.5151999998</v>
      </c>
    </row>
    <row r="44" spans="1:10" ht="18" x14ac:dyDescent="0.35">
      <c r="A44" s="205" t="s">
        <v>62</v>
      </c>
      <c r="B44" s="205"/>
      <c r="C44" s="205"/>
      <c r="D44" s="206"/>
      <c r="E44" s="205"/>
      <c r="F44" s="205"/>
      <c r="G44" s="205"/>
      <c r="H44" s="205"/>
      <c r="I44" s="205"/>
      <c r="J44" s="205"/>
    </row>
    <row r="45" spans="1:10" ht="31.2" x14ac:dyDescent="0.3">
      <c r="A45" s="112" t="s">
        <v>309</v>
      </c>
      <c r="B45" s="112" t="s">
        <v>63</v>
      </c>
      <c r="C45" s="151" t="s">
        <v>311</v>
      </c>
      <c r="D45" s="172"/>
      <c r="E45" s="37"/>
      <c r="F45" s="35"/>
    </row>
    <row r="46" spans="1:10" x14ac:dyDescent="0.3">
      <c r="A46" s="41">
        <f>E5*12</f>
        <v>1128</v>
      </c>
      <c r="B46" s="42">
        <f>D42</f>
        <v>2779220.5151999998</v>
      </c>
      <c r="C46" s="171">
        <f>B46/A46</f>
        <v>2463.8479744680849</v>
      </c>
      <c r="D46" s="173"/>
      <c r="F46" s="52"/>
    </row>
    <row r="47" spans="1:10" x14ac:dyDescent="0.3">
      <c r="A47" s="1"/>
      <c r="B47" s="37"/>
      <c r="C47" s="37"/>
      <c r="E47" t="s">
        <v>79</v>
      </c>
      <c r="F47" s="36"/>
    </row>
  </sheetData>
  <mergeCells count="6">
    <mergeCell ref="A44:J44"/>
    <mergeCell ref="A1:J1"/>
    <mergeCell ref="A2:J2"/>
    <mergeCell ref="A18:J18"/>
    <mergeCell ref="A27:J27"/>
    <mergeCell ref="A37:J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zoomScale="79" workbookViewId="0">
      <selection activeCell="B4" sqref="B4"/>
    </sheetView>
  </sheetViews>
  <sheetFormatPr baseColWidth="10" defaultRowHeight="14.4" x14ac:dyDescent="0.3"/>
  <cols>
    <col min="1" max="1" width="20.6640625" customWidth="1"/>
    <col min="2" max="2" width="12.5546875" customWidth="1"/>
    <col min="4" max="4" width="13.44140625" customWidth="1"/>
    <col min="5" max="5" width="14.6640625" customWidth="1"/>
    <col min="7" max="7" width="17.44140625" customWidth="1"/>
  </cols>
  <sheetData>
    <row r="1" spans="1:10" ht="21" x14ac:dyDescent="0.4">
      <c r="A1" s="208" t="s">
        <v>252</v>
      </c>
      <c r="B1" s="208"/>
      <c r="C1" s="208"/>
      <c r="D1" s="208"/>
      <c r="E1" s="208"/>
      <c r="F1" s="208"/>
      <c r="G1" s="208"/>
      <c r="H1" s="208"/>
      <c r="I1" s="47"/>
      <c r="J1" s="47"/>
    </row>
    <row r="2" spans="1:10" ht="50.4" customHeight="1" x14ac:dyDescent="0.3">
      <c r="A2" s="209" t="s">
        <v>69</v>
      </c>
      <c r="B2" s="209"/>
      <c r="C2" s="209"/>
      <c r="D2" s="209"/>
      <c r="E2" s="209"/>
      <c r="F2" s="209"/>
      <c r="G2" s="209"/>
      <c r="H2" s="209"/>
    </row>
    <row r="3" spans="1:10" ht="62.4" x14ac:dyDescent="0.3">
      <c r="A3" s="112" t="s">
        <v>70</v>
      </c>
      <c r="B3" s="112" t="s">
        <v>310</v>
      </c>
      <c r="C3" s="112" t="s">
        <v>73</v>
      </c>
      <c r="D3" s="112" t="s">
        <v>71</v>
      </c>
      <c r="E3" s="112" t="s">
        <v>72</v>
      </c>
      <c r="F3" s="49"/>
      <c r="G3" s="210" t="s">
        <v>74</v>
      </c>
      <c r="H3" s="211"/>
    </row>
    <row r="4" spans="1:10" ht="41.4" x14ac:dyDescent="0.3">
      <c r="A4" s="117" t="s">
        <v>256</v>
      </c>
      <c r="B4" s="53">
        <f>'Costos '!B6*'Costos '!E6</f>
        <v>94</v>
      </c>
      <c r="C4" s="54">
        <f>H7</f>
        <v>3326.1947655319145</v>
      </c>
      <c r="D4" s="54">
        <f>C4*B4</f>
        <v>312662.30795999995</v>
      </c>
      <c r="E4" s="54">
        <f>D4*12</f>
        <v>3751947.6955199996</v>
      </c>
      <c r="F4" s="48"/>
      <c r="G4" s="117" t="s">
        <v>75</v>
      </c>
      <c r="H4" s="42">
        <f>'Costos '!C46</f>
        <v>2463.8479744680849</v>
      </c>
    </row>
    <row r="5" spans="1:10" x14ac:dyDescent="0.3">
      <c r="A5" s="48"/>
      <c r="B5" s="48"/>
      <c r="C5" s="48"/>
      <c r="D5" s="48"/>
      <c r="E5" s="48"/>
      <c r="F5" s="48"/>
      <c r="G5" s="117" t="s">
        <v>76</v>
      </c>
      <c r="H5" s="42">
        <f>H4*0.35</f>
        <v>862.34679106382964</v>
      </c>
    </row>
    <row r="6" spans="1:10" ht="27.6" x14ac:dyDescent="0.3">
      <c r="A6" s="48"/>
      <c r="B6" s="48"/>
      <c r="C6" s="48"/>
      <c r="D6" s="48"/>
      <c r="E6" s="48"/>
      <c r="F6" s="48"/>
      <c r="G6" s="117" t="s">
        <v>77</v>
      </c>
      <c r="H6" s="55">
        <v>4499</v>
      </c>
    </row>
    <row r="7" spans="1:10" x14ac:dyDescent="0.3">
      <c r="A7" s="51"/>
      <c r="B7" s="48"/>
      <c r="C7" s="48"/>
      <c r="D7" s="48"/>
      <c r="E7" s="48"/>
      <c r="F7" s="48"/>
      <c r="G7" s="117" t="s">
        <v>78</v>
      </c>
      <c r="H7" s="42">
        <f>H5+H4</f>
        <v>3326.1947655319145</v>
      </c>
      <c r="I7" s="40"/>
    </row>
    <row r="8" spans="1:10" x14ac:dyDescent="0.3">
      <c r="A8" s="48"/>
      <c r="B8" s="48"/>
      <c r="C8" s="48"/>
      <c r="D8" s="48"/>
      <c r="E8" s="48"/>
      <c r="F8" s="48"/>
      <c r="G8" s="48"/>
      <c r="H8" s="50"/>
    </row>
    <row r="9" spans="1:10" x14ac:dyDescent="0.3">
      <c r="A9" s="48"/>
      <c r="B9" s="48"/>
      <c r="C9" s="51"/>
      <c r="D9" s="48"/>
      <c r="E9" s="48"/>
      <c r="F9" s="48"/>
      <c r="G9" s="48"/>
      <c r="H9" s="50"/>
    </row>
    <row r="10" spans="1:10" x14ac:dyDescent="0.3">
      <c r="A10" s="48"/>
      <c r="B10" s="48"/>
      <c r="C10" s="48"/>
      <c r="D10" s="48"/>
      <c r="E10" s="48"/>
      <c r="F10" s="48"/>
      <c r="G10" s="48"/>
      <c r="H10" s="50"/>
    </row>
    <row r="11" spans="1:10" x14ac:dyDescent="0.3">
      <c r="A11" s="48"/>
      <c r="B11" s="48"/>
      <c r="C11" s="48"/>
      <c r="D11" s="48"/>
      <c r="E11" s="48"/>
      <c r="F11" s="48"/>
      <c r="G11" s="48"/>
      <c r="H11" s="50"/>
    </row>
    <row r="12" spans="1:10" x14ac:dyDescent="0.3">
      <c r="A12" s="48"/>
      <c r="B12" s="48"/>
      <c r="C12" s="48"/>
      <c r="D12" s="48"/>
      <c r="E12" s="48"/>
      <c r="F12" s="48"/>
      <c r="G12" s="48"/>
      <c r="H12" s="50"/>
    </row>
    <row r="13" spans="1:10" x14ac:dyDescent="0.3">
      <c r="A13" s="46"/>
      <c r="B13" s="46"/>
      <c r="C13" s="46"/>
      <c r="D13" s="46"/>
      <c r="E13" s="46"/>
      <c r="F13" s="46"/>
      <c r="G13" s="46"/>
    </row>
    <row r="14" spans="1:10" x14ac:dyDescent="0.3">
      <c r="A14" s="46"/>
      <c r="B14" s="46"/>
      <c r="C14" s="46"/>
      <c r="D14" s="46"/>
      <c r="E14" s="46"/>
      <c r="F14" s="46"/>
      <c r="G14" s="46"/>
    </row>
    <row r="15" spans="1:10" x14ac:dyDescent="0.3">
      <c r="A15" s="46"/>
      <c r="B15" s="46"/>
      <c r="C15" s="46"/>
      <c r="D15" s="46"/>
      <c r="E15" s="46"/>
      <c r="F15" s="46"/>
      <c r="G15" s="46"/>
    </row>
  </sheetData>
  <mergeCells count="3">
    <mergeCell ref="A1:H1"/>
    <mergeCell ref="A2:H2"/>
    <mergeCell ref="G3:H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9" zoomScale="101" workbookViewId="0">
      <selection activeCell="B4" sqref="B4"/>
    </sheetView>
  </sheetViews>
  <sheetFormatPr baseColWidth="10" defaultRowHeight="14.4" x14ac:dyDescent="0.3"/>
  <cols>
    <col min="1" max="1" width="25.21875" customWidth="1"/>
    <col min="2" max="2" width="15.6640625" customWidth="1"/>
    <col min="3" max="3" width="16" customWidth="1"/>
    <col min="4" max="4" width="18" customWidth="1"/>
    <col min="5" max="5" width="14.5546875" customWidth="1"/>
    <col min="6" max="6" width="15.33203125" customWidth="1"/>
    <col min="7" max="7" width="16.88671875" customWidth="1"/>
    <col min="8" max="8" width="14.109375" customWidth="1"/>
  </cols>
  <sheetData>
    <row r="1" spans="1:10" ht="21" x14ac:dyDescent="0.4">
      <c r="A1" s="208" t="s">
        <v>252</v>
      </c>
      <c r="B1" s="208"/>
      <c r="C1" s="208"/>
      <c r="D1" s="208"/>
    </row>
    <row r="2" spans="1:10" ht="18" x14ac:dyDescent="0.35">
      <c r="A2" s="205" t="s">
        <v>80</v>
      </c>
      <c r="B2" s="205"/>
      <c r="C2" s="205"/>
      <c r="D2" s="205"/>
      <c r="E2" s="56"/>
      <c r="F2" s="56"/>
      <c r="G2" s="56"/>
      <c r="H2" s="56"/>
      <c r="I2" s="56"/>
      <c r="J2" s="56"/>
    </row>
    <row r="3" spans="1:10" ht="46.8" x14ac:dyDescent="0.3">
      <c r="A3" s="104" t="s">
        <v>81</v>
      </c>
      <c r="B3" s="104" t="s">
        <v>82</v>
      </c>
      <c r="C3" s="104" t="s">
        <v>55</v>
      </c>
      <c r="D3" s="104" t="s">
        <v>56</v>
      </c>
    </row>
    <row r="4" spans="1:10" ht="15.6" x14ac:dyDescent="0.3">
      <c r="A4" s="119" t="s">
        <v>83</v>
      </c>
      <c r="B4" s="59">
        <v>306</v>
      </c>
      <c r="C4" s="58">
        <f>B4*3</f>
        <v>918</v>
      </c>
      <c r="D4" s="58">
        <f>C4*4</f>
        <v>3672</v>
      </c>
    </row>
    <row r="5" spans="1:10" ht="15.6" x14ac:dyDescent="0.3">
      <c r="A5" s="119" t="s">
        <v>84</v>
      </c>
      <c r="B5" s="58">
        <f>'Costos '!B34</f>
        <v>2666.6666666666665</v>
      </c>
      <c r="C5" s="58">
        <f t="shared" ref="C5:C8" si="0">B5*3</f>
        <v>8000</v>
      </c>
      <c r="D5" s="58">
        <f t="shared" ref="D5:D8" si="1">C5*4</f>
        <v>32000</v>
      </c>
    </row>
    <row r="6" spans="1:10" ht="15.6" x14ac:dyDescent="0.3">
      <c r="A6" s="119" t="s">
        <v>85</v>
      </c>
      <c r="B6" s="59">
        <f>'Costos '!B29+'Costos '!B31+'Costos '!B30</f>
        <v>1633.3333333333333</v>
      </c>
      <c r="C6" s="58">
        <f t="shared" si="0"/>
        <v>4900</v>
      </c>
      <c r="D6" s="58">
        <f t="shared" si="1"/>
        <v>19600</v>
      </c>
    </row>
    <row r="7" spans="1:10" ht="31.2" x14ac:dyDescent="0.3">
      <c r="A7" s="119" t="s">
        <v>86</v>
      </c>
      <c r="B7" s="58">
        <f>'Depreciaciones '!I13/12</f>
        <v>14.758333333333333</v>
      </c>
      <c r="C7" s="58">
        <f>B7*3</f>
        <v>44.274999999999999</v>
      </c>
      <c r="D7" s="58">
        <f t="shared" si="1"/>
        <v>177.1</v>
      </c>
    </row>
    <row r="8" spans="1:10" ht="31.2" x14ac:dyDescent="0.3">
      <c r="A8" s="119" t="s">
        <v>87</v>
      </c>
      <c r="B8" s="58">
        <f>'Depreciaciones '!I16/12</f>
        <v>124.84862499999998</v>
      </c>
      <c r="C8" s="58">
        <f t="shared" si="0"/>
        <v>374.54587499999997</v>
      </c>
      <c r="D8" s="58">
        <f t="shared" si="1"/>
        <v>1498.1834999999999</v>
      </c>
    </row>
    <row r="9" spans="1:10" ht="15.6" x14ac:dyDescent="0.3">
      <c r="A9" s="113" t="s">
        <v>88</v>
      </c>
      <c r="B9" s="124">
        <f>SUM(B4:B8)</f>
        <v>4745.6069583333328</v>
      </c>
      <c r="C9" s="124">
        <f>SUM(C4:C8)</f>
        <v>14236.820874999999</v>
      </c>
      <c r="D9" s="124">
        <f>SUM(D4:D8)</f>
        <v>56947.283499999998</v>
      </c>
    </row>
    <row r="12" spans="1:10" ht="18" x14ac:dyDescent="0.35">
      <c r="A12" s="212" t="s">
        <v>90</v>
      </c>
      <c r="B12" s="213"/>
      <c r="C12" s="213"/>
      <c r="D12" s="214"/>
    </row>
    <row r="13" spans="1:10" ht="15.6" x14ac:dyDescent="0.3">
      <c r="A13" s="104" t="s">
        <v>38</v>
      </c>
      <c r="B13" s="104" t="s">
        <v>92</v>
      </c>
      <c r="C13" s="104" t="s">
        <v>93</v>
      </c>
      <c r="D13" s="104" t="s">
        <v>94</v>
      </c>
    </row>
    <row r="14" spans="1:10" ht="15.6" x14ac:dyDescent="0.3">
      <c r="A14" s="119" t="s">
        <v>91</v>
      </c>
      <c r="B14" s="62">
        <f>D14/12</f>
        <v>2058.4874999999997</v>
      </c>
      <c r="C14" s="62">
        <f>B14*3</f>
        <v>6175.4624999999996</v>
      </c>
      <c r="D14" s="58">
        <f>C33</f>
        <v>24701.85</v>
      </c>
    </row>
    <row r="15" spans="1:10" ht="31.2" x14ac:dyDescent="0.3">
      <c r="A15" s="119" t="s">
        <v>95</v>
      </c>
      <c r="B15" s="62">
        <f>D15/12</f>
        <v>411.69749999999999</v>
      </c>
      <c r="C15" s="62">
        <f>B15*3</f>
        <v>1235.0925</v>
      </c>
      <c r="D15" s="58">
        <f>F33</f>
        <v>4940.37</v>
      </c>
    </row>
    <row r="16" spans="1:10" ht="28.8" x14ac:dyDescent="0.3">
      <c r="A16" s="119" t="s">
        <v>116</v>
      </c>
      <c r="B16" s="125"/>
      <c r="C16" s="125"/>
      <c r="D16" s="125"/>
      <c r="E16" s="36" t="s">
        <v>107</v>
      </c>
    </row>
    <row r="17" spans="1:9" ht="15.6" x14ac:dyDescent="0.3">
      <c r="A17" s="119" t="s">
        <v>101</v>
      </c>
      <c r="B17" s="126"/>
      <c r="C17" s="126"/>
      <c r="D17" s="126"/>
    </row>
    <row r="18" spans="1:9" ht="15.6" x14ac:dyDescent="0.3">
      <c r="A18" s="119" t="s">
        <v>96</v>
      </c>
      <c r="B18" s="125"/>
      <c r="C18" s="125"/>
      <c r="D18" s="125"/>
    </row>
    <row r="19" spans="1:9" ht="15.6" x14ac:dyDescent="0.3">
      <c r="A19" s="119" t="s">
        <v>97</v>
      </c>
      <c r="B19" s="58">
        <f>G33</f>
        <v>3904.8684480000002</v>
      </c>
      <c r="C19" s="58">
        <f>B19*3</f>
        <v>11714.605344</v>
      </c>
      <c r="D19" s="58">
        <f>C19*4</f>
        <v>46858.421375999998</v>
      </c>
    </row>
    <row r="20" spans="1:9" ht="15.6" x14ac:dyDescent="0.3">
      <c r="A20" s="119" t="s">
        <v>98</v>
      </c>
      <c r="B20" s="58">
        <f>H33</f>
        <v>2503.1208000000001</v>
      </c>
      <c r="C20" s="58">
        <f>B20*3</f>
        <v>7509.3624</v>
      </c>
      <c r="D20" s="58">
        <f>C20*4</f>
        <v>30037.4496</v>
      </c>
    </row>
    <row r="21" spans="1:9" ht="31.2" x14ac:dyDescent="0.3">
      <c r="A21" s="119" t="s">
        <v>99</v>
      </c>
      <c r="B21" s="58">
        <f>I33</f>
        <v>901.12348800000007</v>
      </c>
      <c r="C21" s="58">
        <f>B21*3</f>
        <v>2703.3704640000001</v>
      </c>
      <c r="D21" s="58">
        <f>C21*4</f>
        <v>10813.481856</v>
      </c>
    </row>
    <row r="22" spans="1:9" ht="31.2" x14ac:dyDescent="0.3">
      <c r="A22" s="121" t="s">
        <v>100</v>
      </c>
      <c r="B22" s="124">
        <f>SUM(B14:B21)</f>
        <v>9779.2977359999986</v>
      </c>
      <c r="C22" s="124">
        <f>SUM(C14:C21)</f>
        <v>29337.893208000001</v>
      </c>
      <c r="D22" s="124">
        <f>SUM(D14:D21)</f>
        <v>117351.57283200001</v>
      </c>
    </row>
    <row r="23" spans="1:9" ht="15.6" x14ac:dyDescent="0.3">
      <c r="B23" s="57"/>
      <c r="C23" s="57"/>
      <c r="D23" s="57"/>
    </row>
    <row r="24" spans="1:9" ht="31.2" x14ac:dyDescent="0.3">
      <c r="A24" s="121" t="s">
        <v>102</v>
      </c>
      <c r="B24" s="123">
        <f>B9+B22</f>
        <v>14524.904694333331</v>
      </c>
      <c r="C24" s="123">
        <f>C9+C22</f>
        <v>43574.714082999999</v>
      </c>
      <c r="D24" s="123">
        <f>D9+D22</f>
        <v>174298.856332</v>
      </c>
    </row>
    <row r="26" spans="1:9" ht="18" x14ac:dyDescent="0.35">
      <c r="A26" s="215" t="s">
        <v>104</v>
      </c>
      <c r="B26" s="216"/>
      <c r="C26" s="216"/>
      <c r="D26" s="216"/>
      <c r="E26" s="216"/>
      <c r="F26" s="216"/>
      <c r="G26" s="216"/>
      <c r="H26" s="216"/>
      <c r="I26" s="216"/>
    </row>
    <row r="27" spans="1:9" ht="46.8" x14ac:dyDescent="0.3">
      <c r="A27" s="104" t="s">
        <v>103</v>
      </c>
      <c r="B27" s="104" t="s">
        <v>108</v>
      </c>
      <c r="C27" s="104" t="s">
        <v>109</v>
      </c>
      <c r="D27" s="104" t="s">
        <v>110</v>
      </c>
      <c r="E27" s="104" t="s">
        <v>111</v>
      </c>
      <c r="F27" s="104" t="s">
        <v>115</v>
      </c>
      <c r="G27" s="104" t="s">
        <v>114</v>
      </c>
      <c r="H27" s="104" t="s">
        <v>113</v>
      </c>
      <c r="I27" s="104" t="s">
        <v>112</v>
      </c>
    </row>
    <row r="28" spans="1:9" ht="15.6" x14ac:dyDescent="0.3">
      <c r="A28" s="120" t="s">
        <v>106</v>
      </c>
      <c r="B28" s="58">
        <f>'Costos '!D20</f>
        <v>248.93</v>
      </c>
      <c r="C28" s="58">
        <f>B28*15</f>
        <v>3733.9500000000003</v>
      </c>
      <c r="D28" s="175">
        <v>12</v>
      </c>
      <c r="E28" s="58">
        <f>B28*D28</f>
        <v>2987.16</v>
      </c>
      <c r="F28" s="58">
        <f>E28*25%</f>
        <v>746.79</v>
      </c>
      <c r="G28" s="59">
        <f>(B28*7.8%)*30.4</f>
        <v>590.26281600000004</v>
      </c>
      <c r="H28" s="59">
        <f>(B28*5%)*30.4</f>
        <v>378.37360000000001</v>
      </c>
      <c r="I28" s="59">
        <f>(B28*1.8%)*30.4</f>
        <v>136.21449600000003</v>
      </c>
    </row>
    <row r="29" spans="1:9" ht="15.6" x14ac:dyDescent="0.3">
      <c r="A29" s="120" t="s">
        <v>106</v>
      </c>
      <c r="B29" s="58">
        <f>'Costos '!D21</f>
        <v>248.93</v>
      </c>
      <c r="C29" s="58">
        <f t="shared" ref="C29:C32" si="2">B29*15</f>
        <v>3733.9500000000003</v>
      </c>
      <c r="D29" s="175">
        <v>12</v>
      </c>
      <c r="E29" s="58">
        <f t="shared" ref="E29:E32" si="3">B29*D29</f>
        <v>2987.16</v>
      </c>
      <c r="F29" s="58">
        <f t="shared" ref="F29:F32" si="4">E29*25%</f>
        <v>746.79</v>
      </c>
      <c r="G29" s="59">
        <f t="shared" ref="G29:G32" si="5">(B29*7.8%)*30.4</f>
        <v>590.26281600000004</v>
      </c>
      <c r="H29" s="59">
        <f t="shared" ref="H29:H32" si="6">(B29*5%)*30.4</f>
        <v>378.37360000000001</v>
      </c>
      <c r="I29" s="59">
        <f t="shared" ref="I29:I32" si="7">(B29*1.8%)*30.4</f>
        <v>136.21449600000003</v>
      </c>
    </row>
    <row r="30" spans="1:9" ht="15.6" x14ac:dyDescent="0.3">
      <c r="A30" s="120" t="s">
        <v>106</v>
      </c>
      <c r="B30" s="58">
        <f>'Costos '!D22</f>
        <v>248.93</v>
      </c>
      <c r="C30" s="58">
        <f t="shared" si="2"/>
        <v>3733.9500000000003</v>
      </c>
      <c r="D30" s="175">
        <v>12</v>
      </c>
      <c r="E30" s="58">
        <f t="shared" si="3"/>
        <v>2987.16</v>
      </c>
      <c r="F30" s="58">
        <f t="shared" si="4"/>
        <v>746.79</v>
      </c>
      <c r="G30" s="59">
        <f t="shared" si="5"/>
        <v>590.26281600000004</v>
      </c>
      <c r="H30" s="59">
        <f t="shared" si="6"/>
        <v>378.37360000000001</v>
      </c>
      <c r="I30" s="59">
        <f t="shared" si="7"/>
        <v>136.21449600000003</v>
      </c>
    </row>
    <row r="31" spans="1:9" ht="15.6" x14ac:dyDescent="0.3">
      <c r="A31" s="120" t="s">
        <v>312</v>
      </c>
      <c r="B31" s="58">
        <f>'Costos '!D23</f>
        <v>400</v>
      </c>
      <c r="C31" s="58">
        <f t="shared" si="2"/>
        <v>6000</v>
      </c>
      <c r="D31" s="175">
        <v>12</v>
      </c>
      <c r="E31" s="58">
        <f t="shared" si="3"/>
        <v>4800</v>
      </c>
      <c r="F31" s="58">
        <f t="shared" si="4"/>
        <v>1200</v>
      </c>
      <c r="G31" s="59">
        <f t="shared" si="5"/>
        <v>948.4799999999999</v>
      </c>
      <c r="H31" s="59">
        <f t="shared" si="6"/>
        <v>608</v>
      </c>
      <c r="I31" s="59">
        <f t="shared" si="7"/>
        <v>218.88000000000002</v>
      </c>
    </row>
    <row r="32" spans="1:9" ht="15.6" x14ac:dyDescent="0.3">
      <c r="A32" s="120" t="s">
        <v>313</v>
      </c>
      <c r="B32" s="58">
        <f>'Costos '!D24</f>
        <v>500</v>
      </c>
      <c r="C32" s="58">
        <f t="shared" si="2"/>
        <v>7500</v>
      </c>
      <c r="D32" s="175">
        <v>12</v>
      </c>
      <c r="E32" s="58">
        <f t="shared" si="3"/>
        <v>6000</v>
      </c>
      <c r="F32" s="58">
        <f t="shared" si="4"/>
        <v>1500</v>
      </c>
      <c r="G32" s="59">
        <f t="shared" si="5"/>
        <v>1185.5999999999999</v>
      </c>
      <c r="H32" s="59">
        <f t="shared" si="6"/>
        <v>760</v>
      </c>
      <c r="I32" s="59">
        <f t="shared" si="7"/>
        <v>273.60000000000002</v>
      </c>
    </row>
    <row r="33" spans="1:9" ht="15.6" x14ac:dyDescent="0.3">
      <c r="A33" s="121" t="s">
        <v>105</v>
      </c>
      <c r="B33" s="60"/>
      <c r="C33" s="122">
        <f>SUM(C28:C32)</f>
        <v>24701.85</v>
      </c>
      <c r="D33" s="61"/>
      <c r="E33" s="60"/>
      <c r="F33" s="122">
        <f>SUM(F28:F32)</f>
        <v>4940.37</v>
      </c>
      <c r="G33" s="122">
        <f>SUM(G28:G32)</f>
        <v>3904.8684480000002</v>
      </c>
      <c r="H33" s="122">
        <f>SUM(H28:H32)</f>
        <v>2503.1208000000001</v>
      </c>
      <c r="I33" s="122">
        <f>SUM(I28:I32)</f>
        <v>901.12348800000007</v>
      </c>
    </row>
  </sheetData>
  <mergeCells count="4">
    <mergeCell ref="A1:D1"/>
    <mergeCell ref="A2:D2"/>
    <mergeCell ref="A12:D12"/>
    <mergeCell ref="A26:I2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zoomScale="60" workbookViewId="0">
      <selection activeCell="C10" sqref="C10"/>
    </sheetView>
  </sheetViews>
  <sheetFormatPr baseColWidth="10" defaultRowHeight="14.4" x14ac:dyDescent="0.3"/>
  <cols>
    <col min="2" max="2" width="16.6640625" customWidth="1"/>
    <col min="3" max="3" width="21.44140625" customWidth="1"/>
    <col min="4" max="4" width="25.88671875" customWidth="1"/>
    <col min="5" max="5" width="17.88671875" customWidth="1"/>
    <col min="6" max="6" width="18.5546875" customWidth="1"/>
    <col min="7" max="7" width="13.109375" customWidth="1"/>
    <col min="8" max="8" width="14.33203125" customWidth="1"/>
    <col min="11" max="11" width="30.109375" customWidth="1"/>
    <col min="12" max="12" width="15.77734375" customWidth="1"/>
    <col min="16" max="16" width="42.77734375" customWidth="1"/>
  </cols>
  <sheetData>
    <row r="1" spans="2:11" ht="21" x14ac:dyDescent="0.4">
      <c r="B1" s="219" t="s">
        <v>252</v>
      </c>
      <c r="C1" s="220"/>
      <c r="D1" s="220"/>
      <c r="E1" s="220"/>
      <c r="F1" s="220"/>
      <c r="G1" s="220"/>
      <c r="H1" s="220"/>
      <c r="I1" s="220"/>
    </row>
    <row r="2" spans="2:11" ht="18" x14ac:dyDescent="0.35">
      <c r="B2" s="205" t="s">
        <v>122</v>
      </c>
      <c r="C2" s="205"/>
      <c r="D2" s="205"/>
      <c r="E2" s="205"/>
      <c r="F2" s="205"/>
      <c r="G2" s="205"/>
      <c r="H2" s="205"/>
      <c r="I2" s="205"/>
    </row>
    <row r="3" spans="2:11" ht="18" x14ac:dyDescent="0.35">
      <c r="B3" s="65"/>
      <c r="C3" s="65"/>
      <c r="D3" s="65"/>
      <c r="E3" s="65"/>
      <c r="F3" s="65"/>
      <c r="G3" s="65"/>
      <c r="H3" s="65"/>
      <c r="I3" s="65"/>
    </row>
    <row r="4" spans="2:11" ht="29.4" customHeight="1" x14ac:dyDescent="0.35">
      <c r="B4" s="205" t="s">
        <v>118</v>
      </c>
      <c r="C4" s="205">
        <f>Inversion!H39</f>
        <v>797693.84288299992</v>
      </c>
      <c r="D4" s="68">
        <f>Inversion!H39</f>
        <v>797693.84288299992</v>
      </c>
    </row>
    <row r="5" spans="2:11" ht="20.399999999999999" customHeight="1" x14ac:dyDescent="0.35">
      <c r="B5" s="65"/>
      <c r="C5" s="65"/>
      <c r="K5" s="228"/>
    </row>
    <row r="6" spans="2:11" ht="18" x14ac:dyDescent="0.35">
      <c r="B6" s="205" t="s">
        <v>119</v>
      </c>
      <c r="C6" s="205"/>
      <c r="F6" s="67"/>
    </row>
    <row r="7" spans="2:11" ht="47.4" customHeight="1" x14ac:dyDescent="0.3">
      <c r="B7" s="217" t="s">
        <v>120</v>
      </c>
      <c r="C7" s="218"/>
      <c r="E7" s="127" t="s">
        <v>121</v>
      </c>
      <c r="F7" s="127" t="s">
        <v>133</v>
      </c>
      <c r="G7" s="127" t="s">
        <v>123</v>
      </c>
      <c r="H7" s="127" t="s">
        <v>124</v>
      </c>
      <c r="I7" s="4"/>
      <c r="J7" s="67"/>
    </row>
    <row r="8" spans="2:11" ht="46.8" x14ac:dyDescent="0.3">
      <c r="B8" s="176" t="s">
        <v>314</v>
      </c>
      <c r="C8" s="64">
        <v>40000</v>
      </c>
      <c r="E8" s="111" t="s">
        <v>338</v>
      </c>
      <c r="F8" s="30">
        <v>500000</v>
      </c>
      <c r="G8" s="70">
        <v>0.13</v>
      </c>
      <c r="H8" s="28" t="s">
        <v>325</v>
      </c>
    </row>
    <row r="9" spans="2:11" ht="15.6" x14ac:dyDescent="0.3">
      <c r="B9" s="176" t="s">
        <v>316</v>
      </c>
      <c r="C9" s="64">
        <v>40000</v>
      </c>
      <c r="E9" s="111" t="s">
        <v>342</v>
      </c>
      <c r="F9" s="30">
        <f>F8-C20</f>
        <v>52306.157117000083</v>
      </c>
      <c r="G9" s="69">
        <v>0.03</v>
      </c>
      <c r="H9" s="31" t="s">
        <v>343</v>
      </c>
    </row>
    <row r="10" spans="2:11" x14ac:dyDescent="0.3">
      <c r="B10" s="176" t="s">
        <v>317</v>
      </c>
      <c r="C10" s="64">
        <v>40000</v>
      </c>
      <c r="F10" s="179"/>
    </row>
    <row r="11" spans="2:11" x14ac:dyDescent="0.3">
      <c r="B11" s="176" t="s">
        <v>318</v>
      </c>
      <c r="C11" s="64">
        <v>40000</v>
      </c>
      <c r="G11" s="37"/>
      <c r="I11" s="37"/>
    </row>
    <row r="12" spans="2:11" x14ac:dyDescent="0.3">
      <c r="B12" s="176" t="s">
        <v>315</v>
      </c>
      <c r="C12" s="64">
        <v>40000</v>
      </c>
      <c r="G12" s="37"/>
      <c r="I12" s="37"/>
    </row>
    <row r="13" spans="2:11" x14ac:dyDescent="0.3">
      <c r="B13" s="176" t="s">
        <v>320</v>
      </c>
      <c r="C13" s="64">
        <v>30000</v>
      </c>
      <c r="G13" s="37"/>
      <c r="I13" s="37"/>
    </row>
    <row r="14" spans="2:11" x14ac:dyDescent="0.3">
      <c r="B14" s="176" t="s">
        <v>321</v>
      </c>
      <c r="C14" s="64">
        <v>30000</v>
      </c>
      <c r="G14" s="37"/>
      <c r="I14" s="37"/>
    </row>
    <row r="15" spans="2:11" x14ac:dyDescent="0.3">
      <c r="B15" s="176" t="s">
        <v>322</v>
      </c>
      <c r="C15" s="64">
        <v>30000</v>
      </c>
      <c r="G15" s="37"/>
      <c r="I15" s="37"/>
    </row>
    <row r="16" spans="2:11" x14ac:dyDescent="0.3">
      <c r="B16" s="176" t="s">
        <v>323</v>
      </c>
      <c r="C16" s="64">
        <v>30000</v>
      </c>
      <c r="G16" s="37"/>
      <c r="I16" s="37"/>
    </row>
    <row r="17" spans="2:9" x14ac:dyDescent="0.3">
      <c r="B17" s="176" t="s">
        <v>324</v>
      </c>
      <c r="C17" s="64">
        <v>30000</v>
      </c>
      <c r="G17" s="37"/>
      <c r="I17" s="37"/>
    </row>
    <row r="18" spans="2:9" ht="15.6" x14ac:dyDescent="0.3">
      <c r="B18" s="113" t="s">
        <v>57</v>
      </c>
      <c r="C18" s="116">
        <f>SUM(C8:C17)</f>
        <v>350000</v>
      </c>
    </row>
    <row r="20" spans="2:9" x14ac:dyDescent="0.3">
      <c r="C20" s="66">
        <f>D4-C18</f>
        <v>447693.84288299992</v>
      </c>
    </row>
  </sheetData>
  <mergeCells count="5">
    <mergeCell ref="B6:C6"/>
    <mergeCell ref="B7:C7"/>
    <mergeCell ref="B1:I1"/>
    <mergeCell ref="B2:I2"/>
    <mergeCell ref="B4:C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40" zoomScale="81" workbookViewId="0">
      <selection activeCell="F94" sqref="F94"/>
    </sheetView>
  </sheetViews>
  <sheetFormatPr baseColWidth="10" defaultRowHeight="14.4" x14ac:dyDescent="0.3"/>
  <cols>
    <col min="1" max="1" width="16.44140625" customWidth="1"/>
    <col min="2" max="2" width="14.88671875" customWidth="1"/>
    <col min="3" max="3" width="17.21875" customWidth="1"/>
    <col min="4" max="4" width="13.44140625" customWidth="1"/>
    <col min="5" max="5" width="14.88671875" customWidth="1"/>
    <col min="6" max="6" width="13.77734375" customWidth="1"/>
    <col min="7" max="7" width="12.77734375" customWidth="1"/>
    <col min="8" max="8" width="13.33203125" customWidth="1"/>
  </cols>
  <sheetData>
    <row r="1" spans="1:8" ht="21" x14ac:dyDescent="0.4">
      <c r="A1" s="219" t="s">
        <v>252</v>
      </c>
      <c r="B1" s="220"/>
      <c r="C1" s="220"/>
      <c r="D1" s="220"/>
      <c r="E1" s="220"/>
      <c r="F1" s="47"/>
      <c r="G1" s="47"/>
      <c r="H1" s="47"/>
    </row>
    <row r="3" spans="1:8" ht="18" x14ac:dyDescent="0.35">
      <c r="A3" s="205" t="s">
        <v>338</v>
      </c>
      <c r="B3" s="205"/>
      <c r="C3" s="205"/>
      <c r="D3" s="205"/>
      <c r="E3" s="205"/>
      <c r="F3" s="56"/>
      <c r="G3" s="56"/>
      <c r="H3" s="56"/>
    </row>
    <row r="4" spans="1:8" ht="31.2" x14ac:dyDescent="0.3">
      <c r="A4" s="50"/>
      <c r="B4" s="118" t="s">
        <v>134</v>
      </c>
      <c r="C4" s="32">
        <f>'Estructura de capital'!F8</f>
        <v>500000</v>
      </c>
      <c r="D4" s="11"/>
      <c r="E4" s="50"/>
      <c r="F4" s="50"/>
      <c r="G4" s="50"/>
      <c r="H4" s="50"/>
    </row>
    <row r="5" spans="1:8" ht="15.6" x14ac:dyDescent="0.3">
      <c r="A5" s="50"/>
      <c r="B5" s="118" t="s">
        <v>135</v>
      </c>
      <c r="C5" s="31" t="s">
        <v>344</v>
      </c>
      <c r="D5" s="11">
        <v>48</v>
      </c>
      <c r="E5" s="50"/>
      <c r="F5" s="50"/>
      <c r="G5" s="50"/>
      <c r="H5" s="50"/>
    </row>
    <row r="6" spans="1:8" ht="15.6" x14ac:dyDescent="0.3">
      <c r="A6" s="50"/>
      <c r="B6" s="118" t="s">
        <v>125</v>
      </c>
      <c r="C6" s="31" t="s">
        <v>136</v>
      </c>
      <c r="D6" s="11"/>
      <c r="E6" s="50"/>
      <c r="F6" s="50"/>
      <c r="G6" s="50"/>
      <c r="H6" s="50"/>
    </row>
    <row r="7" spans="1:8" ht="31.2" x14ac:dyDescent="0.3">
      <c r="A7" s="50"/>
      <c r="B7" s="118" t="s">
        <v>132</v>
      </c>
      <c r="C7" s="69">
        <f>'Estructura de capital'!G8</f>
        <v>0.13</v>
      </c>
      <c r="D7" s="11"/>
      <c r="E7" s="50"/>
      <c r="F7" s="50"/>
      <c r="G7" s="50"/>
      <c r="H7" s="50"/>
    </row>
    <row r="8" spans="1:8" ht="31.2" x14ac:dyDescent="0.3">
      <c r="A8" s="50"/>
      <c r="B8" s="118" t="s">
        <v>126</v>
      </c>
      <c r="C8" s="72">
        <f>H14</f>
        <v>13413.747946882448</v>
      </c>
      <c r="D8" s="11"/>
      <c r="E8" s="50"/>
      <c r="F8" s="50"/>
      <c r="G8" s="50"/>
      <c r="H8" s="50"/>
    </row>
    <row r="9" spans="1:8" x14ac:dyDescent="0.3">
      <c r="A9" s="50"/>
      <c r="B9" s="50"/>
      <c r="C9" s="50"/>
      <c r="D9" s="50"/>
      <c r="E9" s="50"/>
      <c r="F9" s="50"/>
      <c r="G9" s="50"/>
      <c r="H9" s="50"/>
    </row>
    <row r="10" spans="1:8" ht="31.2" x14ac:dyDescent="0.3">
      <c r="A10" s="104" t="s">
        <v>127</v>
      </c>
      <c r="B10" s="104" t="s">
        <v>128</v>
      </c>
      <c r="C10" s="104" t="s">
        <v>129</v>
      </c>
      <c r="D10" s="104" t="s">
        <v>130</v>
      </c>
      <c r="E10" s="104" t="s">
        <v>131</v>
      </c>
      <c r="F10" s="50"/>
      <c r="G10" s="221" t="s">
        <v>137</v>
      </c>
      <c r="H10" s="221"/>
    </row>
    <row r="11" spans="1:8" ht="15.6" x14ac:dyDescent="0.3">
      <c r="A11" s="31">
        <v>0</v>
      </c>
      <c r="B11" s="31"/>
      <c r="C11" s="31"/>
      <c r="D11" s="31"/>
      <c r="E11" s="32">
        <f>H11</f>
        <v>500000</v>
      </c>
      <c r="F11" s="11"/>
      <c r="G11" s="110" t="s">
        <v>138</v>
      </c>
      <c r="H11" s="32">
        <f>C4</f>
        <v>500000</v>
      </c>
    </row>
    <row r="12" spans="1:8" ht="15.6" x14ac:dyDescent="0.3">
      <c r="A12" s="31">
        <v>1</v>
      </c>
      <c r="B12" s="72">
        <f>D12-C12</f>
        <v>7997.0812802157807</v>
      </c>
      <c r="C12" s="32">
        <f>E11*$H$12</f>
        <v>5416.666666666667</v>
      </c>
      <c r="D12" s="72">
        <f>$H$14</f>
        <v>13413.747946882448</v>
      </c>
      <c r="E12" s="32">
        <f>E11-B12</f>
        <v>492002.91871978424</v>
      </c>
      <c r="F12" s="11"/>
      <c r="G12" s="110" t="s">
        <v>139</v>
      </c>
      <c r="H12" s="69">
        <f>C7/12</f>
        <v>1.0833333333333334E-2</v>
      </c>
    </row>
    <row r="13" spans="1:8" ht="15.6" x14ac:dyDescent="0.3">
      <c r="A13" s="31">
        <v>2</v>
      </c>
      <c r="B13" s="72">
        <f t="shared" ref="B13:B59" si="0">D13-C13</f>
        <v>8083.7163274181185</v>
      </c>
      <c r="C13" s="32">
        <f t="shared" ref="C13:C23" si="1">E12*$H$12</f>
        <v>5330.0316194643292</v>
      </c>
      <c r="D13" s="72">
        <f t="shared" ref="D13:D59" si="2">$H$14</f>
        <v>13413.747946882448</v>
      </c>
      <c r="E13" s="32">
        <f t="shared" ref="E13:E59" si="3">E12-B13</f>
        <v>483919.20239236613</v>
      </c>
      <c r="F13" s="11"/>
      <c r="G13" s="110" t="s">
        <v>140</v>
      </c>
      <c r="H13" s="31">
        <f>D5</f>
        <v>48</v>
      </c>
    </row>
    <row r="14" spans="1:8" ht="15.6" x14ac:dyDescent="0.3">
      <c r="A14" s="31">
        <v>3</v>
      </c>
      <c r="B14" s="72">
        <f t="shared" si="0"/>
        <v>8171.2899209651478</v>
      </c>
      <c r="C14" s="32">
        <f t="shared" si="1"/>
        <v>5242.4580259172999</v>
      </c>
      <c r="D14" s="72">
        <f t="shared" si="2"/>
        <v>13413.747946882448</v>
      </c>
      <c r="E14" s="32">
        <f t="shared" si="3"/>
        <v>475747.91247140098</v>
      </c>
      <c r="F14" s="11"/>
      <c r="G14" s="110" t="s">
        <v>141</v>
      </c>
      <c r="H14" s="72">
        <f>-PMT(H12,H13,H11)</f>
        <v>13413.747946882448</v>
      </c>
    </row>
    <row r="15" spans="1:8" ht="15.6" x14ac:dyDescent="0.3">
      <c r="A15" s="31">
        <v>4</v>
      </c>
      <c r="B15" s="72">
        <f t="shared" si="0"/>
        <v>8259.8122284422698</v>
      </c>
      <c r="C15" s="32">
        <f t="shared" si="1"/>
        <v>5153.9357184401779</v>
      </c>
      <c r="D15" s="72">
        <f t="shared" si="2"/>
        <v>13413.747946882448</v>
      </c>
      <c r="E15" s="32">
        <f t="shared" si="3"/>
        <v>467488.1002429587</v>
      </c>
      <c r="F15" s="11"/>
      <c r="G15" s="50"/>
      <c r="H15" s="50"/>
    </row>
    <row r="16" spans="1:8" ht="15.6" x14ac:dyDescent="0.3">
      <c r="A16" s="31">
        <v>5</v>
      </c>
      <c r="B16" s="72">
        <f t="shared" si="0"/>
        <v>8349.2935275837281</v>
      </c>
      <c r="C16" s="32">
        <f t="shared" si="1"/>
        <v>5064.4544192987196</v>
      </c>
      <c r="D16" s="72">
        <f t="shared" si="2"/>
        <v>13413.747946882448</v>
      </c>
      <c r="E16" s="32">
        <f t="shared" si="3"/>
        <v>459138.80671537499</v>
      </c>
      <c r="F16" s="11"/>
      <c r="G16" s="50"/>
      <c r="H16" s="50"/>
    </row>
    <row r="17" spans="1:8" ht="15.6" x14ac:dyDescent="0.3">
      <c r="A17" s="31">
        <v>6</v>
      </c>
      <c r="B17" s="72">
        <f t="shared" si="0"/>
        <v>8439.7442074658848</v>
      </c>
      <c r="C17" s="32">
        <f>E16*$H$12</f>
        <v>4974.0037394165629</v>
      </c>
      <c r="D17" s="72">
        <f t="shared" si="2"/>
        <v>13413.747946882448</v>
      </c>
      <c r="E17" s="32">
        <f t="shared" si="3"/>
        <v>450699.06250790908</v>
      </c>
      <c r="F17" s="11"/>
      <c r="G17" s="50"/>
      <c r="H17" s="50"/>
    </row>
    <row r="18" spans="1:8" ht="15.6" x14ac:dyDescent="0.3">
      <c r="A18" s="31">
        <v>7</v>
      </c>
      <c r="B18" s="72">
        <f t="shared" si="0"/>
        <v>8531.1747697134324</v>
      </c>
      <c r="C18" s="32">
        <f t="shared" si="1"/>
        <v>4882.5731771690153</v>
      </c>
      <c r="D18" s="72">
        <f t="shared" si="2"/>
        <v>13413.747946882448</v>
      </c>
      <c r="E18" s="32">
        <f t="shared" si="3"/>
        <v>442167.88773819566</v>
      </c>
      <c r="F18" s="11"/>
      <c r="G18" s="50"/>
      <c r="H18" s="50"/>
    </row>
    <row r="19" spans="1:8" ht="15.6" x14ac:dyDescent="0.3">
      <c r="A19" s="31">
        <v>8</v>
      </c>
      <c r="B19" s="72">
        <f t="shared" si="0"/>
        <v>8623.5958297186626</v>
      </c>
      <c r="C19" s="32">
        <f t="shared" si="1"/>
        <v>4790.152117163786</v>
      </c>
      <c r="D19" s="72">
        <f t="shared" si="2"/>
        <v>13413.747946882448</v>
      </c>
      <c r="E19" s="32">
        <f t="shared" si="3"/>
        <v>433544.29190847697</v>
      </c>
      <c r="F19" s="11"/>
      <c r="G19" s="50"/>
      <c r="H19" s="50"/>
    </row>
    <row r="20" spans="1:8" ht="15.6" x14ac:dyDescent="0.3">
      <c r="A20" s="31">
        <v>9</v>
      </c>
      <c r="B20" s="72">
        <f t="shared" si="0"/>
        <v>8717.0181178739476</v>
      </c>
      <c r="C20" s="32">
        <f t="shared" si="1"/>
        <v>4696.7298290085009</v>
      </c>
      <c r="D20" s="72">
        <f t="shared" si="2"/>
        <v>13413.747946882448</v>
      </c>
      <c r="E20" s="32">
        <f t="shared" si="3"/>
        <v>424827.27379060304</v>
      </c>
      <c r="F20" s="11"/>
      <c r="G20" s="50"/>
      <c r="H20" s="50"/>
    </row>
    <row r="21" spans="1:8" ht="15.6" x14ac:dyDescent="0.3">
      <c r="A21" s="31">
        <v>10</v>
      </c>
      <c r="B21" s="72">
        <f t="shared" si="0"/>
        <v>8811.4524808175811</v>
      </c>
      <c r="C21" s="32">
        <f t="shared" si="1"/>
        <v>4602.2954660648666</v>
      </c>
      <c r="D21" s="72">
        <f t="shared" si="2"/>
        <v>13413.747946882448</v>
      </c>
      <c r="E21" s="32">
        <f t="shared" si="3"/>
        <v>416015.82130978548</v>
      </c>
      <c r="F21" s="11"/>
      <c r="G21" s="50"/>
      <c r="H21" s="50"/>
    </row>
    <row r="22" spans="1:8" ht="15.6" x14ac:dyDescent="0.3">
      <c r="A22" s="31">
        <v>11</v>
      </c>
      <c r="B22" s="72">
        <f t="shared" si="0"/>
        <v>8906.909882693104</v>
      </c>
      <c r="C22" s="32">
        <f t="shared" si="1"/>
        <v>4506.8380641893427</v>
      </c>
      <c r="D22" s="72">
        <f t="shared" si="2"/>
        <v>13413.747946882448</v>
      </c>
      <c r="E22" s="32">
        <f t="shared" si="3"/>
        <v>407108.91142709239</v>
      </c>
      <c r="F22" s="11"/>
      <c r="G22" s="50"/>
      <c r="H22" s="50"/>
    </row>
    <row r="23" spans="1:8" ht="15.6" x14ac:dyDescent="0.3">
      <c r="A23" s="31">
        <v>12</v>
      </c>
      <c r="B23" s="72">
        <f t="shared" si="0"/>
        <v>9003.4014064222793</v>
      </c>
      <c r="C23" s="32">
        <f>E22*$H$12</f>
        <v>4410.3465404601675</v>
      </c>
      <c r="D23" s="72">
        <f t="shared" si="2"/>
        <v>13413.747946882448</v>
      </c>
      <c r="E23" s="32">
        <f t="shared" si="3"/>
        <v>398105.51002067013</v>
      </c>
      <c r="F23" s="73">
        <f>SUM(C12:C23)</f>
        <v>59070.485383259438</v>
      </c>
      <c r="G23" s="50"/>
      <c r="H23" s="50"/>
    </row>
    <row r="24" spans="1:8" ht="15.6" x14ac:dyDescent="0.3">
      <c r="A24" s="31">
        <v>13</v>
      </c>
      <c r="B24" s="72">
        <f t="shared" si="0"/>
        <v>9100.9382549918555</v>
      </c>
      <c r="C24" s="32">
        <f t="shared" ref="C24:C59" si="4">E23*$H$12</f>
        <v>4312.8096918905931</v>
      </c>
      <c r="D24" s="72">
        <f t="shared" si="2"/>
        <v>13413.747946882448</v>
      </c>
      <c r="E24" s="32">
        <f t="shared" si="3"/>
        <v>389004.57176567829</v>
      </c>
      <c r="F24" s="73"/>
      <c r="G24" s="50"/>
      <c r="H24" s="50"/>
    </row>
    <row r="25" spans="1:8" ht="15.6" x14ac:dyDescent="0.3">
      <c r="A25" s="31">
        <v>14</v>
      </c>
      <c r="B25" s="72">
        <f t="shared" si="0"/>
        <v>9199.5317527542647</v>
      </c>
      <c r="C25" s="32">
        <f t="shared" si="4"/>
        <v>4214.216194128182</v>
      </c>
      <c r="D25" s="72">
        <f t="shared" si="2"/>
        <v>13413.747946882448</v>
      </c>
      <c r="E25" s="32">
        <f t="shared" si="3"/>
        <v>379805.040012924</v>
      </c>
      <c r="F25" s="73"/>
      <c r="G25" s="50"/>
      <c r="H25" s="50"/>
    </row>
    <row r="26" spans="1:8" ht="15.6" x14ac:dyDescent="0.3">
      <c r="A26" s="31">
        <v>15</v>
      </c>
      <c r="B26" s="72">
        <f t="shared" si="0"/>
        <v>9299.1933467424387</v>
      </c>
      <c r="C26" s="32">
        <f t="shared" si="4"/>
        <v>4114.5546001400098</v>
      </c>
      <c r="D26" s="72">
        <f t="shared" si="2"/>
        <v>13413.747946882448</v>
      </c>
      <c r="E26" s="32">
        <f t="shared" si="3"/>
        <v>370505.84666618158</v>
      </c>
      <c r="F26" s="73"/>
      <c r="G26" s="50"/>
      <c r="H26" s="50"/>
    </row>
    <row r="27" spans="1:8" ht="15.6" x14ac:dyDescent="0.3">
      <c r="A27" s="31">
        <v>16</v>
      </c>
      <c r="B27" s="72">
        <f t="shared" si="0"/>
        <v>9399.9346079988136</v>
      </c>
      <c r="C27" s="32">
        <f t="shared" si="4"/>
        <v>4013.8133388836341</v>
      </c>
      <c r="D27" s="72">
        <f t="shared" si="2"/>
        <v>13413.747946882448</v>
      </c>
      <c r="E27" s="32">
        <f t="shared" si="3"/>
        <v>361105.91205818276</v>
      </c>
      <c r="F27" s="73"/>
      <c r="G27" s="50"/>
      <c r="H27" s="50"/>
    </row>
    <row r="28" spans="1:8" ht="15.6" x14ac:dyDescent="0.3">
      <c r="A28" s="31">
        <v>17</v>
      </c>
      <c r="B28" s="72">
        <f t="shared" si="0"/>
        <v>9501.7672329188008</v>
      </c>
      <c r="C28" s="32">
        <f t="shared" si="4"/>
        <v>3911.9807139636468</v>
      </c>
      <c r="D28" s="72">
        <f t="shared" si="2"/>
        <v>13413.747946882448</v>
      </c>
      <c r="E28" s="32">
        <f t="shared" si="3"/>
        <v>351604.14482526394</v>
      </c>
      <c r="F28" s="73"/>
      <c r="G28" s="50"/>
      <c r="H28" s="50"/>
    </row>
    <row r="29" spans="1:8" ht="15.6" x14ac:dyDescent="0.3">
      <c r="A29" s="31">
        <v>18</v>
      </c>
      <c r="B29" s="72">
        <f t="shared" si="0"/>
        <v>9604.7030446087556</v>
      </c>
      <c r="C29" s="32">
        <f t="shared" si="4"/>
        <v>3809.044902273693</v>
      </c>
      <c r="D29" s="72">
        <f t="shared" si="2"/>
        <v>13413.747946882448</v>
      </c>
      <c r="E29" s="32">
        <f t="shared" si="3"/>
        <v>341999.44178065518</v>
      </c>
      <c r="F29" s="73"/>
      <c r="G29" s="50"/>
      <c r="H29" s="50"/>
    </row>
    <row r="30" spans="1:8" ht="15.6" x14ac:dyDescent="0.3">
      <c r="A30" s="31">
        <v>19</v>
      </c>
      <c r="B30" s="72">
        <f t="shared" si="0"/>
        <v>9708.7539942586827</v>
      </c>
      <c r="C30" s="32">
        <f t="shared" si="4"/>
        <v>3704.9939526237645</v>
      </c>
      <c r="D30" s="72">
        <f t="shared" si="2"/>
        <v>13413.747946882448</v>
      </c>
      <c r="E30" s="32">
        <f t="shared" si="3"/>
        <v>332290.68778639648</v>
      </c>
      <c r="F30" s="73"/>
      <c r="G30" s="50"/>
      <c r="H30" s="50"/>
    </row>
    <row r="31" spans="1:8" ht="15.6" x14ac:dyDescent="0.3">
      <c r="A31" s="31">
        <v>20</v>
      </c>
      <c r="B31" s="72">
        <f t="shared" si="0"/>
        <v>9813.932162529818</v>
      </c>
      <c r="C31" s="32">
        <f t="shared" si="4"/>
        <v>3599.8157843526287</v>
      </c>
      <c r="D31" s="72">
        <f t="shared" si="2"/>
        <v>13413.747946882448</v>
      </c>
      <c r="E31" s="32">
        <f t="shared" si="3"/>
        <v>322476.75562386669</v>
      </c>
      <c r="F31" s="73"/>
      <c r="G31" s="50"/>
      <c r="H31" s="50"/>
    </row>
    <row r="32" spans="1:8" ht="15.6" x14ac:dyDescent="0.3">
      <c r="A32" s="31">
        <v>21</v>
      </c>
      <c r="B32" s="72">
        <f t="shared" si="0"/>
        <v>9920.2497609572256</v>
      </c>
      <c r="C32" s="32">
        <f t="shared" si="4"/>
        <v>3493.4981859252225</v>
      </c>
      <c r="D32" s="72">
        <f t="shared" si="2"/>
        <v>13413.747946882448</v>
      </c>
      <c r="E32" s="32">
        <f t="shared" si="3"/>
        <v>312556.50586290949</v>
      </c>
      <c r="F32" s="73"/>
      <c r="G32" s="50"/>
      <c r="H32" s="50"/>
    </row>
    <row r="33" spans="1:8" ht="15.6" x14ac:dyDescent="0.3">
      <c r="A33" s="31">
        <v>22</v>
      </c>
      <c r="B33" s="72">
        <f t="shared" si="0"/>
        <v>10027.719133367595</v>
      </c>
      <c r="C33" s="32">
        <f t="shared" si="4"/>
        <v>3386.028813514853</v>
      </c>
      <c r="D33" s="72">
        <f t="shared" si="2"/>
        <v>13413.747946882448</v>
      </c>
      <c r="E33" s="32">
        <f t="shared" si="3"/>
        <v>302528.7867295419</v>
      </c>
      <c r="F33" s="73"/>
      <c r="G33" s="50"/>
      <c r="H33" s="50"/>
    </row>
    <row r="34" spans="1:8" ht="15.6" x14ac:dyDescent="0.3">
      <c r="A34" s="31">
        <v>23</v>
      </c>
      <c r="B34" s="72">
        <f t="shared" si="0"/>
        <v>10136.35275731241</v>
      </c>
      <c r="C34" s="32">
        <f t="shared" si="4"/>
        <v>3277.3951895700375</v>
      </c>
      <c r="D34" s="72">
        <f t="shared" si="2"/>
        <v>13413.747946882448</v>
      </c>
      <c r="E34" s="32">
        <f t="shared" si="3"/>
        <v>292392.43397222948</v>
      </c>
      <c r="F34" s="73"/>
      <c r="G34" s="50"/>
      <c r="H34" s="50"/>
    </row>
    <row r="35" spans="1:8" ht="15.6" x14ac:dyDescent="0.3">
      <c r="A35" s="31">
        <v>24</v>
      </c>
      <c r="B35" s="72">
        <f t="shared" si="0"/>
        <v>10246.163245516629</v>
      </c>
      <c r="C35" s="32">
        <f t="shared" si="4"/>
        <v>3167.5847013658195</v>
      </c>
      <c r="D35" s="72">
        <f t="shared" si="2"/>
        <v>13413.747946882448</v>
      </c>
      <c r="E35" s="32">
        <f t="shared" si="3"/>
        <v>282146.27072671283</v>
      </c>
      <c r="F35" s="73">
        <f>SUM(C24:C35)</f>
        <v>45005.736068632083</v>
      </c>
      <c r="G35" s="50"/>
      <c r="H35" s="50"/>
    </row>
    <row r="36" spans="1:8" ht="15.6" x14ac:dyDescent="0.3">
      <c r="A36" s="31">
        <v>25</v>
      </c>
      <c r="B36" s="72">
        <f t="shared" si="0"/>
        <v>10357.163347343059</v>
      </c>
      <c r="C36" s="32">
        <f t="shared" si="4"/>
        <v>3056.5845995393893</v>
      </c>
      <c r="D36" s="72">
        <f t="shared" si="2"/>
        <v>13413.747946882448</v>
      </c>
      <c r="E36" s="32">
        <f t="shared" si="3"/>
        <v>271789.10737936979</v>
      </c>
      <c r="F36" s="73"/>
      <c r="G36" s="50"/>
      <c r="H36" s="50"/>
    </row>
    <row r="37" spans="1:8" ht="15.6" x14ac:dyDescent="0.3">
      <c r="A37" s="31">
        <v>26</v>
      </c>
      <c r="B37" s="72">
        <f t="shared" si="0"/>
        <v>10469.365950272608</v>
      </c>
      <c r="C37" s="32">
        <f t="shared" si="4"/>
        <v>2944.3819966098395</v>
      </c>
      <c r="D37" s="72">
        <f t="shared" si="2"/>
        <v>13413.747946882448</v>
      </c>
      <c r="E37" s="32">
        <f t="shared" si="3"/>
        <v>261319.74142909719</v>
      </c>
      <c r="F37" s="73"/>
      <c r="G37" s="50"/>
      <c r="H37" s="50"/>
    </row>
    <row r="38" spans="1:8" ht="15.6" x14ac:dyDescent="0.3">
      <c r="A38" s="31">
        <v>27</v>
      </c>
      <c r="B38" s="72">
        <f t="shared" si="0"/>
        <v>10582.784081400561</v>
      </c>
      <c r="C38" s="32">
        <f t="shared" si="4"/>
        <v>2830.9638654818864</v>
      </c>
      <c r="D38" s="72">
        <f t="shared" si="2"/>
        <v>13413.747946882448</v>
      </c>
      <c r="E38" s="32">
        <f t="shared" si="3"/>
        <v>250736.95734769665</v>
      </c>
      <c r="F38" s="73"/>
      <c r="G38" s="50"/>
      <c r="H38" s="50"/>
    </row>
    <row r="39" spans="1:8" ht="15.6" x14ac:dyDescent="0.3">
      <c r="A39" s="31">
        <v>28</v>
      </c>
      <c r="B39" s="72">
        <f t="shared" si="0"/>
        <v>10697.430908949067</v>
      </c>
      <c r="C39" s="32">
        <f t="shared" si="4"/>
        <v>2716.3170379333806</v>
      </c>
      <c r="D39" s="72">
        <f t="shared" si="2"/>
        <v>13413.747946882448</v>
      </c>
      <c r="E39" s="32">
        <f t="shared" si="3"/>
        <v>240039.52643874759</v>
      </c>
      <c r="F39" s="73"/>
      <c r="G39" s="50"/>
      <c r="H39" s="50"/>
    </row>
    <row r="40" spans="1:8" ht="15.6" x14ac:dyDescent="0.3">
      <c r="A40" s="31">
        <v>29</v>
      </c>
      <c r="B40" s="72">
        <f t="shared" si="0"/>
        <v>10813.319743796015</v>
      </c>
      <c r="C40" s="32">
        <f t="shared" si="4"/>
        <v>2600.4282030864324</v>
      </c>
      <c r="D40" s="72">
        <f t="shared" si="2"/>
        <v>13413.747946882448</v>
      </c>
      <c r="E40" s="32">
        <f t="shared" si="3"/>
        <v>229226.20669495157</v>
      </c>
      <c r="F40" s="73"/>
      <c r="G40" s="50"/>
      <c r="H40" s="50"/>
    </row>
    <row r="41" spans="1:8" ht="15.6" x14ac:dyDescent="0.3">
      <c r="A41" s="31">
        <v>30</v>
      </c>
      <c r="B41" s="72">
        <f t="shared" si="0"/>
        <v>10930.464041020472</v>
      </c>
      <c r="C41" s="32">
        <f t="shared" si="4"/>
        <v>2483.2839058619757</v>
      </c>
      <c r="D41" s="72">
        <f t="shared" si="2"/>
        <v>13413.747946882448</v>
      </c>
      <c r="E41" s="32">
        <f t="shared" si="3"/>
        <v>218295.74265393111</v>
      </c>
      <c r="F41" s="73"/>
      <c r="G41" s="50"/>
      <c r="H41" s="50"/>
    </row>
    <row r="42" spans="1:8" ht="15.6" x14ac:dyDescent="0.3">
      <c r="A42" s="31">
        <v>31</v>
      </c>
      <c r="B42" s="72">
        <f t="shared" si="0"/>
        <v>11048.877401464861</v>
      </c>
      <c r="C42" s="32">
        <f t="shared" si="4"/>
        <v>2364.870545417587</v>
      </c>
      <c r="D42" s="72">
        <f t="shared" si="2"/>
        <v>13413.747946882448</v>
      </c>
      <c r="E42" s="32">
        <f t="shared" si="3"/>
        <v>207246.86525246626</v>
      </c>
      <c r="F42" s="73"/>
      <c r="G42" s="50"/>
      <c r="H42" s="50"/>
    </row>
    <row r="43" spans="1:8" ht="15.6" x14ac:dyDescent="0.3">
      <c r="A43" s="31">
        <v>32</v>
      </c>
      <c r="B43" s="72">
        <f t="shared" si="0"/>
        <v>11168.573573314063</v>
      </c>
      <c r="C43" s="32">
        <f t="shared" si="4"/>
        <v>2245.1743735683845</v>
      </c>
      <c r="D43" s="72">
        <f t="shared" si="2"/>
        <v>13413.747946882448</v>
      </c>
      <c r="E43" s="32">
        <f t="shared" si="3"/>
        <v>196078.2916791522</v>
      </c>
      <c r="F43" s="73"/>
      <c r="G43" s="50"/>
      <c r="H43" s="50"/>
    </row>
    <row r="44" spans="1:8" ht="15.6" x14ac:dyDescent="0.3">
      <c r="A44" s="31">
        <v>33</v>
      </c>
      <c r="B44" s="72">
        <f t="shared" si="0"/>
        <v>11289.566453691632</v>
      </c>
      <c r="C44" s="32">
        <f t="shared" si="4"/>
        <v>2124.1814931908157</v>
      </c>
      <c r="D44" s="72">
        <f t="shared" si="2"/>
        <v>13413.747946882448</v>
      </c>
      <c r="E44" s="32">
        <f t="shared" si="3"/>
        <v>184788.72522546057</v>
      </c>
      <c r="F44" s="73"/>
      <c r="G44" s="50"/>
      <c r="H44" s="50"/>
    </row>
    <row r="45" spans="1:8" ht="15.6" x14ac:dyDescent="0.3">
      <c r="A45" s="31">
        <v>34</v>
      </c>
      <c r="B45" s="72">
        <f t="shared" si="0"/>
        <v>11411.870090273291</v>
      </c>
      <c r="C45" s="32">
        <f t="shared" si="4"/>
        <v>2001.8778566091562</v>
      </c>
      <c r="D45" s="72">
        <f t="shared" si="2"/>
        <v>13413.747946882448</v>
      </c>
      <c r="E45" s="32">
        <f t="shared" si="3"/>
        <v>173376.85513518727</v>
      </c>
      <c r="F45" s="73"/>
      <c r="G45" s="50"/>
      <c r="H45" s="50"/>
    </row>
    <row r="46" spans="1:8" ht="15.6" x14ac:dyDescent="0.3">
      <c r="A46" s="31">
        <v>35</v>
      </c>
      <c r="B46" s="72">
        <f t="shared" si="0"/>
        <v>11535.498682917918</v>
      </c>
      <c r="C46" s="32">
        <f t="shared" si="4"/>
        <v>1878.2492639645288</v>
      </c>
      <c r="D46" s="72">
        <f t="shared" si="2"/>
        <v>13413.747946882448</v>
      </c>
      <c r="E46" s="32">
        <f t="shared" si="3"/>
        <v>161841.35645226936</v>
      </c>
      <c r="F46" s="73"/>
      <c r="G46" s="50"/>
      <c r="H46" s="50"/>
    </row>
    <row r="47" spans="1:8" ht="15.6" x14ac:dyDescent="0.3">
      <c r="A47" s="31">
        <v>36</v>
      </c>
      <c r="B47" s="72">
        <f t="shared" si="0"/>
        <v>11660.466585316197</v>
      </c>
      <c r="C47" s="32">
        <f t="shared" si="4"/>
        <v>1753.2813615662515</v>
      </c>
      <c r="D47" s="72">
        <f t="shared" si="2"/>
        <v>13413.747946882448</v>
      </c>
      <c r="E47" s="32">
        <f t="shared" si="3"/>
        <v>150180.88986695316</v>
      </c>
      <c r="F47" s="73">
        <f>SUM(C36:C47)</f>
        <v>28999.594502829626</v>
      </c>
      <c r="G47" s="50"/>
      <c r="H47" s="50"/>
    </row>
    <row r="48" spans="1:8" ht="15.6" x14ac:dyDescent="0.3">
      <c r="A48" s="31">
        <v>37</v>
      </c>
      <c r="B48" s="72">
        <f t="shared" si="0"/>
        <v>11786.788306657121</v>
      </c>
      <c r="C48" s="32">
        <f t="shared" si="4"/>
        <v>1626.959640225326</v>
      </c>
      <c r="D48" s="72">
        <f t="shared" si="2"/>
        <v>13413.747946882448</v>
      </c>
      <c r="E48" s="32">
        <f t="shared" si="3"/>
        <v>138394.10156029605</v>
      </c>
      <c r="F48" s="73"/>
      <c r="G48" s="50"/>
      <c r="H48" s="50"/>
    </row>
    <row r="49" spans="1:8" ht="15.6" x14ac:dyDescent="0.3">
      <c r="A49" s="31">
        <v>38</v>
      </c>
      <c r="B49" s="72">
        <f t="shared" si="0"/>
        <v>11914.478513312573</v>
      </c>
      <c r="C49" s="32">
        <f t="shared" si="4"/>
        <v>1499.2694335698741</v>
      </c>
      <c r="D49" s="72">
        <f t="shared" si="2"/>
        <v>13413.747946882448</v>
      </c>
      <c r="E49" s="32">
        <f t="shared" si="3"/>
        <v>126479.62304698348</v>
      </c>
      <c r="F49" s="73"/>
      <c r="G49" s="50"/>
      <c r="H49" s="50"/>
    </row>
    <row r="50" spans="1:8" ht="15.6" x14ac:dyDescent="0.3">
      <c r="A50" s="31">
        <v>39</v>
      </c>
      <c r="B50" s="72">
        <f t="shared" si="0"/>
        <v>12043.552030540126</v>
      </c>
      <c r="C50" s="32">
        <f t="shared" si="4"/>
        <v>1370.1959163423212</v>
      </c>
      <c r="D50" s="72">
        <f t="shared" si="2"/>
        <v>13413.747946882448</v>
      </c>
      <c r="E50" s="32">
        <f t="shared" si="3"/>
        <v>114436.07101644335</v>
      </c>
      <c r="F50" s="73"/>
      <c r="G50" s="50"/>
      <c r="H50" s="50"/>
    </row>
    <row r="51" spans="1:8" ht="15.6" x14ac:dyDescent="0.3">
      <c r="A51" s="31">
        <v>40</v>
      </c>
      <c r="B51" s="72">
        <f t="shared" si="0"/>
        <v>12174.023844204312</v>
      </c>
      <c r="C51" s="32">
        <f t="shared" si="4"/>
        <v>1239.7241026781364</v>
      </c>
      <c r="D51" s="72">
        <f t="shared" si="2"/>
        <v>13413.747946882448</v>
      </c>
      <c r="E51" s="32">
        <f t="shared" si="3"/>
        <v>102262.04717223905</v>
      </c>
      <c r="F51" s="73"/>
      <c r="G51" s="50"/>
      <c r="H51" s="50"/>
    </row>
    <row r="52" spans="1:8" ht="15.6" x14ac:dyDescent="0.3">
      <c r="A52" s="31">
        <v>41</v>
      </c>
      <c r="B52" s="72">
        <f t="shared" si="0"/>
        <v>12305.909102516525</v>
      </c>
      <c r="C52" s="32">
        <f t="shared" si="4"/>
        <v>1107.838844365923</v>
      </c>
      <c r="D52" s="72">
        <f t="shared" si="2"/>
        <v>13413.747946882448</v>
      </c>
      <c r="E52" s="32">
        <f t="shared" si="3"/>
        <v>89956.138069722525</v>
      </c>
      <c r="F52" s="73"/>
      <c r="G52" s="50"/>
      <c r="H52" s="50"/>
    </row>
    <row r="53" spans="1:8" ht="15.6" x14ac:dyDescent="0.3">
      <c r="A53" s="31">
        <v>42</v>
      </c>
      <c r="B53" s="72">
        <f t="shared" si="0"/>
        <v>12439.223117793787</v>
      </c>
      <c r="C53" s="32">
        <f t="shared" si="4"/>
        <v>974.52482908866068</v>
      </c>
      <c r="D53" s="72">
        <f t="shared" si="2"/>
        <v>13413.747946882448</v>
      </c>
      <c r="E53" s="32">
        <f t="shared" si="3"/>
        <v>77516.914951928746</v>
      </c>
      <c r="F53" s="73"/>
      <c r="G53" s="50"/>
      <c r="H53" s="50"/>
    </row>
    <row r="54" spans="1:8" ht="15.6" x14ac:dyDescent="0.3">
      <c r="A54" s="31">
        <v>43</v>
      </c>
      <c r="B54" s="72">
        <f t="shared" si="0"/>
        <v>12573.981368236553</v>
      </c>
      <c r="C54" s="32">
        <f t="shared" si="4"/>
        <v>839.76657864589481</v>
      </c>
      <c r="D54" s="72">
        <f t="shared" si="2"/>
        <v>13413.747946882448</v>
      </c>
      <c r="E54" s="32">
        <f t="shared" si="3"/>
        <v>64942.933583692196</v>
      </c>
      <c r="F54" s="73"/>
      <c r="G54" s="50"/>
      <c r="H54" s="50"/>
    </row>
    <row r="55" spans="1:8" ht="15.6" x14ac:dyDescent="0.3">
      <c r="A55" s="31">
        <v>44</v>
      </c>
      <c r="B55" s="72">
        <f t="shared" si="0"/>
        <v>12710.199499725783</v>
      </c>
      <c r="C55" s="32">
        <f t="shared" si="4"/>
        <v>703.54844715666547</v>
      </c>
      <c r="D55" s="72">
        <f t="shared" si="2"/>
        <v>13413.747946882448</v>
      </c>
      <c r="E55" s="32">
        <f t="shared" si="3"/>
        <v>52232.73408396641</v>
      </c>
      <c r="F55" s="73"/>
      <c r="G55" s="50"/>
      <c r="H55" s="50"/>
    </row>
    <row r="56" spans="1:8" ht="15.6" x14ac:dyDescent="0.3">
      <c r="A56" s="31">
        <v>45</v>
      </c>
      <c r="B56" s="72">
        <f t="shared" si="0"/>
        <v>12847.893327639478</v>
      </c>
      <c r="C56" s="32">
        <f t="shared" si="4"/>
        <v>565.85461924296942</v>
      </c>
      <c r="D56" s="72">
        <f t="shared" si="2"/>
        <v>13413.747946882448</v>
      </c>
      <c r="E56" s="32">
        <f t="shared" si="3"/>
        <v>39384.840756326928</v>
      </c>
      <c r="F56" s="73"/>
      <c r="G56" s="50"/>
      <c r="H56" s="50"/>
    </row>
    <row r="57" spans="1:8" ht="15.6" x14ac:dyDescent="0.3">
      <c r="A57" s="31">
        <v>46</v>
      </c>
      <c r="B57" s="72">
        <f t="shared" si="0"/>
        <v>12987.078838688905</v>
      </c>
      <c r="C57" s="32">
        <f t="shared" si="4"/>
        <v>426.66910819354172</v>
      </c>
      <c r="D57" s="72">
        <f t="shared" si="2"/>
        <v>13413.747946882448</v>
      </c>
      <c r="E57" s="32">
        <f t="shared" si="3"/>
        <v>26397.761917638025</v>
      </c>
      <c r="F57" s="73"/>
      <c r="G57" s="50"/>
      <c r="H57" s="50"/>
    </row>
    <row r="58" spans="1:8" ht="15.6" x14ac:dyDescent="0.3">
      <c r="A58" s="31">
        <v>47</v>
      </c>
      <c r="B58" s="72">
        <f t="shared" si="0"/>
        <v>13127.772192774702</v>
      </c>
      <c r="C58" s="32">
        <f t="shared" si="4"/>
        <v>285.97575410774527</v>
      </c>
      <c r="D58" s="72">
        <f t="shared" si="2"/>
        <v>13413.747946882448</v>
      </c>
      <c r="E58" s="32">
        <f t="shared" si="3"/>
        <v>13269.989724863322</v>
      </c>
      <c r="F58" s="73"/>
      <c r="G58" s="50"/>
      <c r="H58" s="50"/>
    </row>
    <row r="59" spans="1:8" ht="15.6" x14ac:dyDescent="0.3">
      <c r="A59" s="31">
        <v>48</v>
      </c>
      <c r="B59" s="72">
        <f t="shared" si="0"/>
        <v>13269.989724863095</v>
      </c>
      <c r="C59" s="32">
        <f t="shared" si="4"/>
        <v>143.75822201935267</v>
      </c>
      <c r="D59" s="72">
        <f t="shared" si="2"/>
        <v>13413.747946882448</v>
      </c>
      <c r="E59" s="32">
        <f t="shared" si="3"/>
        <v>2.2737367544323206E-10</v>
      </c>
      <c r="F59" s="73">
        <f>SUM(C48:C59)</f>
        <v>10784.085495636411</v>
      </c>
      <c r="G59" s="50"/>
      <c r="H59" s="50"/>
    </row>
    <row r="61" spans="1:8" ht="18" x14ac:dyDescent="0.35">
      <c r="A61" s="205" t="s">
        <v>143</v>
      </c>
      <c r="B61" s="205"/>
      <c r="C61" s="205"/>
      <c r="D61" s="205"/>
      <c r="E61" s="205"/>
      <c r="F61" s="56"/>
      <c r="G61" s="56"/>
      <c r="H61" s="56"/>
    </row>
    <row r="62" spans="1:8" ht="31.2" x14ac:dyDescent="0.3">
      <c r="A62" s="50"/>
      <c r="B62" s="118" t="s">
        <v>134</v>
      </c>
      <c r="C62" s="32">
        <f>'Estructura de capital'!F9</f>
        <v>52306.157117000083</v>
      </c>
      <c r="D62" s="11"/>
      <c r="E62" s="50"/>
      <c r="F62" s="50"/>
      <c r="G62" s="50"/>
      <c r="H62" s="50"/>
    </row>
    <row r="63" spans="1:8" ht="15.6" x14ac:dyDescent="0.3">
      <c r="A63" s="50"/>
      <c r="B63" s="118" t="s">
        <v>135</v>
      </c>
      <c r="C63" s="31" t="s">
        <v>345</v>
      </c>
      <c r="D63" s="11">
        <v>36</v>
      </c>
      <c r="E63" s="50"/>
      <c r="F63" s="50"/>
      <c r="G63" s="50"/>
      <c r="H63" s="50"/>
    </row>
    <row r="64" spans="1:8" ht="15.6" x14ac:dyDescent="0.3">
      <c r="A64" s="50"/>
      <c r="B64" s="118" t="s">
        <v>125</v>
      </c>
      <c r="C64" s="31" t="s">
        <v>136</v>
      </c>
      <c r="D64" s="11"/>
      <c r="E64" s="50"/>
      <c r="F64" s="50"/>
      <c r="G64" s="50"/>
      <c r="H64" s="50"/>
    </row>
    <row r="65" spans="1:8" ht="31.2" x14ac:dyDescent="0.3">
      <c r="A65" s="50"/>
      <c r="B65" s="118" t="s">
        <v>132</v>
      </c>
      <c r="C65" s="69">
        <f>'Estructura de capital'!G9</f>
        <v>0.03</v>
      </c>
      <c r="D65" s="11"/>
      <c r="E65" s="50"/>
      <c r="F65" s="50"/>
      <c r="G65" s="50"/>
      <c r="H65" s="50"/>
    </row>
    <row r="66" spans="1:8" ht="31.2" x14ac:dyDescent="0.3">
      <c r="A66" s="50"/>
      <c r="B66" s="118" t="s">
        <v>126</v>
      </c>
      <c r="C66" s="72">
        <f>H72</f>
        <v>1521.1263200933167</v>
      </c>
      <c r="D66" s="11"/>
      <c r="E66" s="50"/>
      <c r="F66" s="50"/>
      <c r="G66" s="50"/>
      <c r="H66" s="50"/>
    </row>
    <row r="67" spans="1:8" x14ac:dyDescent="0.3">
      <c r="A67" s="50"/>
      <c r="B67" s="50"/>
      <c r="C67" s="50"/>
      <c r="D67" s="50"/>
      <c r="E67" s="50"/>
      <c r="F67" s="50"/>
      <c r="G67" s="50"/>
      <c r="H67" s="50"/>
    </row>
    <row r="68" spans="1:8" ht="31.2" x14ac:dyDescent="0.3">
      <c r="A68" s="104" t="s">
        <v>127</v>
      </c>
      <c r="B68" s="104" t="s">
        <v>128</v>
      </c>
      <c r="C68" s="104" t="s">
        <v>129</v>
      </c>
      <c r="D68" s="104" t="s">
        <v>130</v>
      </c>
      <c r="E68" s="104" t="s">
        <v>131</v>
      </c>
      <c r="F68" s="50"/>
      <c r="G68" s="217" t="s">
        <v>137</v>
      </c>
      <c r="H68" s="218"/>
    </row>
    <row r="69" spans="1:8" ht="15.6" x14ac:dyDescent="0.3">
      <c r="A69" s="31">
        <v>0</v>
      </c>
      <c r="B69" s="31"/>
      <c r="C69" s="31"/>
      <c r="D69" s="31"/>
      <c r="E69" s="32">
        <f>H69</f>
        <v>52306.157117000083</v>
      </c>
      <c r="F69" s="11"/>
      <c r="G69" s="110" t="s">
        <v>138</v>
      </c>
      <c r="H69" s="32">
        <f>C62</f>
        <v>52306.157117000083</v>
      </c>
    </row>
    <row r="70" spans="1:8" ht="15.6" x14ac:dyDescent="0.3">
      <c r="A70" s="31">
        <v>1</v>
      </c>
      <c r="B70" s="72">
        <f>D70-C70</f>
        <v>1390.3609273008165</v>
      </c>
      <c r="C70" s="32">
        <f>E69*$H$70</f>
        <v>130.76539279250022</v>
      </c>
      <c r="D70" s="72">
        <f>$H$72</f>
        <v>1521.1263200933167</v>
      </c>
      <c r="E70" s="32">
        <f>E69-B70</f>
        <v>50915.796189699264</v>
      </c>
      <c r="F70" s="11"/>
      <c r="G70" s="110" t="s">
        <v>139</v>
      </c>
      <c r="H70" s="69">
        <f>C65/12</f>
        <v>2.5000000000000001E-3</v>
      </c>
    </row>
    <row r="71" spans="1:8" ht="15.6" x14ac:dyDescent="0.3">
      <c r="A71" s="31">
        <v>2</v>
      </c>
      <c r="B71" s="72">
        <f t="shared" ref="B71:B81" si="5">D71-C71</f>
        <v>1393.8368296190686</v>
      </c>
      <c r="C71" s="32">
        <f t="shared" ref="C71:C81" si="6">E70*$H$70</f>
        <v>127.28949047424817</v>
      </c>
      <c r="D71" s="72">
        <f t="shared" ref="D71:D105" si="7">$H$72</f>
        <v>1521.1263200933167</v>
      </c>
      <c r="E71" s="32">
        <f t="shared" ref="E71:E81" si="8">E70-B71</f>
        <v>49521.959360080196</v>
      </c>
      <c r="F71" s="11"/>
      <c r="G71" s="110" t="s">
        <v>140</v>
      </c>
      <c r="H71" s="31">
        <f>D63</f>
        <v>36</v>
      </c>
    </row>
    <row r="72" spans="1:8" ht="15.6" x14ac:dyDescent="0.3">
      <c r="A72" s="31">
        <v>3</v>
      </c>
      <c r="B72" s="72">
        <f t="shared" si="5"/>
        <v>1397.3214216931162</v>
      </c>
      <c r="C72" s="32">
        <f t="shared" si="6"/>
        <v>123.8048984002005</v>
      </c>
      <c r="D72" s="72">
        <f t="shared" si="7"/>
        <v>1521.1263200933167</v>
      </c>
      <c r="E72" s="32">
        <f t="shared" si="8"/>
        <v>48124.637938387081</v>
      </c>
      <c r="F72" s="11"/>
      <c r="G72" s="110" t="s">
        <v>141</v>
      </c>
      <c r="H72" s="72">
        <f>-PMT(H70,H71,H69)</f>
        <v>1521.1263200933167</v>
      </c>
    </row>
    <row r="73" spans="1:8" ht="15.6" x14ac:dyDescent="0.3">
      <c r="A73" s="31">
        <v>4</v>
      </c>
      <c r="B73" s="72">
        <f t="shared" si="5"/>
        <v>1400.8147252473491</v>
      </c>
      <c r="C73" s="32">
        <f t="shared" si="6"/>
        <v>120.3115948459677</v>
      </c>
      <c r="D73" s="72">
        <f t="shared" si="7"/>
        <v>1521.1263200933167</v>
      </c>
      <c r="E73" s="32">
        <f t="shared" si="8"/>
        <v>46723.823213139731</v>
      </c>
      <c r="F73" s="11"/>
      <c r="G73" s="11"/>
      <c r="H73" s="11"/>
    </row>
    <row r="74" spans="1:8" ht="15.6" x14ac:dyDescent="0.3">
      <c r="A74" s="31">
        <v>5</v>
      </c>
      <c r="B74" s="72">
        <f t="shared" si="5"/>
        <v>1404.3167620604675</v>
      </c>
      <c r="C74" s="32">
        <f t="shared" si="6"/>
        <v>116.80955803284932</v>
      </c>
      <c r="D74" s="72">
        <f t="shared" si="7"/>
        <v>1521.1263200933167</v>
      </c>
      <c r="E74" s="32">
        <f t="shared" si="8"/>
        <v>45319.506451079265</v>
      </c>
      <c r="F74" s="11"/>
      <c r="G74" s="11"/>
      <c r="H74" s="11"/>
    </row>
    <row r="75" spans="1:8" ht="15.6" x14ac:dyDescent="0.3">
      <c r="A75" s="31">
        <v>6</v>
      </c>
      <c r="B75" s="72">
        <f t="shared" si="5"/>
        <v>1407.8275539656186</v>
      </c>
      <c r="C75" s="32">
        <f t="shared" si="6"/>
        <v>113.29876612769817</v>
      </c>
      <c r="D75" s="72">
        <f t="shared" si="7"/>
        <v>1521.1263200933167</v>
      </c>
      <c r="E75" s="32">
        <f t="shared" si="8"/>
        <v>43911.678897113648</v>
      </c>
      <c r="F75" s="11"/>
      <c r="G75" s="11"/>
      <c r="H75" s="11"/>
    </row>
    <row r="76" spans="1:8" ht="15.6" x14ac:dyDescent="0.3">
      <c r="A76" s="31">
        <v>7</v>
      </c>
      <c r="B76" s="72">
        <f t="shared" si="5"/>
        <v>1411.3471228505325</v>
      </c>
      <c r="C76" s="32">
        <f t="shared" si="6"/>
        <v>109.77919724278412</v>
      </c>
      <c r="D76" s="72">
        <f t="shared" si="7"/>
        <v>1521.1263200933167</v>
      </c>
      <c r="E76" s="32">
        <f t="shared" si="8"/>
        <v>42500.331774263119</v>
      </c>
      <c r="F76" s="11"/>
      <c r="G76" s="11"/>
      <c r="H76" s="11"/>
    </row>
    <row r="77" spans="1:8" ht="15.6" x14ac:dyDescent="0.3">
      <c r="A77" s="31">
        <v>8</v>
      </c>
      <c r="B77" s="72">
        <f t="shared" si="5"/>
        <v>1414.8754906576589</v>
      </c>
      <c r="C77" s="32">
        <f t="shared" si="6"/>
        <v>106.25082943565781</v>
      </c>
      <c r="D77" s="72">
        <f t="shared" si="7"/>
        <v>1521.1263200933167</v>
      </c>
      <c r="E77" s="32">
        <f t="shared" si="8"/>
        <v>41085.456283605461</v>
      </c>
      <c r="F77" s="11"/>
      <c r="G77" s="11"/>
      <c r="H77" s="11"/>
    </row>
    <row r="78" spans="1:8" ht="15.6" x14ac:dyDescent="0.3">
      <c r="A78" s="31">
        <v>9</v>
      </c>
      <c r="B78" s="72">
        <f t="shared" si="5"/>
        <v>1418.4126793843031</v>
      </c>
      <c r="C78" s="32">
        <f t="shared" si="6"/>
        <v>102.71364070901366</v>
      </c>
      <c r="D78" s="72">
        <f t="shared" si="7"/>
        <v>1521.1263200933167</v>
      </c>
      <c r="E78" s="32">
        <f t="shared" si="8"/>
        <v>39667.043604221159</v>
      </c>
      <c r="F78" s="11"/>
      <c r="G78" s="11"/>
      <c r="H78" s="11"/>
    </row>
    <row r="79" spans="1:8" ht="15.6" x14ac:dyDescent="0.3">
      <c r="A79" s="31">
        <v>10</v>
      </c>
      <c r="B79" s="72">
        <f t="shared" si="5"/>
        <v>1421.9587110827638</v>
      </c>
      <c r="C79" s="32">
        <f t="shared" si="6"/>
        <v>99.167609010552894</v>
      </c>
      <c r="D79" s="72">
        <f t="shared" si="7"/>
        <v>1521.1263200933167</v>
      </c>
      <c r="E79" s="32">
        <f t="shared" si="8"/>
        <v>38245.084893138395</v>
      </c>
      <c r="F79" s="11"/>
      <c r="G79" s="11"/>
      <c r="H79" s="11"/>
    </row>
    <row r="80" spans="1:8" ht="15.6" x14ac:dyDescent="0.3">
      <c r="A80" s="31">
        <v>11</v>
      </c>
      <c r="B80" s="72">
        <f t="shared" si="5"/>
        <v>1425.5136078604708</v>
      </c>
      <c r="C80" s="32">
        <f t="shared" si="6"/>
        <v>95.612712232845993</v>
      </c>
      <c r="D80" s="72">
        <f t="shared" si="7"/>
        <v>1521.1263200933167</v>
      </c>
      <c r="E80" s="32">
        <f t="shared" si="8"/>
        <v>36819.571285277925</v>
      </c>
      <c r="F80" s="11"/>
      <c r="G80" s="11"/>
      <c r="H80" s="11"/>
    </row>
    <row r="81" spans="1:8" ht="15.6" x14ac:dyDescent="0.3">
      <c r="A81" s="31">
        <v>12</v>
      </c>
      <c r="B81" s="72">
        <f t="shared" si="5"/>
        <v>1429.0773918801219</v>
      </c>
      <c r="C81" s="32">
        <f t="shared" si="6"/>
        <v>92.048928213194813</v>
      </c>
      <c r="D81" s="72">
        <f t="shared" si="7"/>
        <v>1521.1263200933167</v>
      </c>
      <c r="E81" s="32">
        <f t="shared" si="8"/>
        <v>35390.493893397805</v>
      </c>
      <c r="F81" s="37">
        <f>SUM(C70:C81)</f>
        <v>1337.8526175175134</v>
      </c>
      <c r="G81" s="11"/>
      <c r="H81" s="11"/>
    </row>
    <row r="82" spans="1:8" ht="15.6" x14ac:dyDescent="0.3">
      <c r="A82" s="31">
        <v>13</v>
      </c>
      <c r="B82" s="72">
        <f t="shared" ref="B82:B105" si="9">D82-C82</f>
        <v>1432.6500853598222</v>
      </c>
      <c r="C82" s="32">
        <f t="shared" ref="C82:C105" si="10">E81*$H$70</f>
        <v>88.476234733494508</v>
      </c>
      <c r="D82" s="72">
        <f t="shared" si="7"/>
        <v>1521.1263200933167</v>
      </c>
      <c r="E82" s="32">
        <f t="shared" ref="E82:E105" si="11">E81-B82</f>
        <v>33957.843808037986</v>
      </c>
      <c r="F82" s="27"/>
      <c r="G82" s="27"/>
      <c r="H82" s="27"/>
    </row>
    <row r="83" spans="1:8" ht="15.6" x14ac:dyDescent="0.3">
      <c r="A83" s="31">
        <v>14</v>
      </c>
      <c r="B83" s="72">
        <f t="shared" si="9"/>
        <v>1436.2317105732218</v>
      </c>
      <c r="C83" s="32">
        <f t="shared" si="10"/>
        <v>84.89460952009496</v>
      </c>
      <c r="D83" s="72">
        <f t="shared" si="7"/>
        <v>1521.1263200933167</v>
      </c>
      <c r="E83" s="32">
        <f t="shared" si="11"/>
        <v>32521.612097464764</v>
      </c>
    </row>
    <row r="84" spans="1:8" ht="15.6" x14ac:dyDescent="0.3">
      <c r="A84" s="31">
        <v>15</v>
      </c>
      <c r="B84" s="72">
        <f t="shared" si="9"/>
        <v>1439.8222898496549</v>
      </c>
      <c r="C84" s="32">
        <f t="shared" si="10"/>
        <v>81.304030243661913</v>
      </c>
      <c r="D84" s="72">
        <f t="shared" si="7"/>
        <v>1521.1263200933167</v>
      </c>
      <c r="E84" s="32">
        <f t="shared" si="11"/>
        <v>31081.78980761511</v>
      </c>
    </row>
    <row r="85" spans="1:8" ht="15.6" x14ac:dyDescent="0.3">
      <c r="A85" s="31">
        <v>16</v>
      </c>
      <c r="B85" s="72">
        <f t="shared" si="9"/>
        <v>1443.4218455742789</v>
      </c>
      <c r="C85" s="32">
        <f t="shared" si="10"/>
        <v>77.704474519037774</v>
      </c>
      <c r="D85" s="72">
        <f t="shared" si="7"/>
        <v>1521.1263200933167</v>
      </c>
      <c r="E85" s="32">
        <f t="shared" si="11"/>
        <v>29638.367962040833</v>
      </c>
    </row>
    <row r="86" spans="1:8" ht="15.6" x14ac:dyDescent="0.3">
      <c r="A86" s="31">
        <v>17</v>
      </c>
      <c r="B86" s="72">
        <f t="shared" si="9"/>
        <v>1447.0304001882146</v>
      </c>
      <c r="C86" s="32">
        <f t="shared" si="10"/>
        <v>74.095919905102079</v>
      </c>
      <c r="D86" s="72">
        <f t="shared" si="7"/>
        <v>1521.1263200933167</v>
      </c>
      <c r="E86" s="32">
        <f t="shared" si="11"/>
        <v>28191.337561852619</v>
      </c>
    </row>
    <row r="87" spans="1:8" ht="15.6" x14ac:dyDescent="0.3">
      <c r="A87" s="31">
        <v>18</v>
      </c>
      <c r="B87" s="72">
        <f t="shared" si="9"/>
        <v>1450.6479761886851</v>
      </c>
      <c r="C87" s="32">
        <f t="shared" si="10"/>
        <v>70.478343904631544</v>
      </c>
      <c r="D87" s="72">
        <f t="shared" si="7"/>
        <v>1521.1263200933167</v>
      </c>
      <c r="E87" s="32">
        <f t="shared" si="11"/>
        <v>26740.689585663935</v>
      </c>
    </row>
    <row r="88" spans="1:8" ht="15.6" x14ac:dyDescent="0.3">
      <c r="A88" s="31">
        <v>19</v>
      </c>
      <c r="B88" s="72">
        <f t="shared" si="9"/>
        <v>1454.2745961291569</v>
      </c>
      <c r="C88" s="32">
        <f t="shared" si="10"/>
        <v>66.851723964159845</v>
      </c>
      <c r="D88" s="72">
        <f t="shared" si="7"/>
        <v>1521.1263200933167</v>
      </c>
      <c r="E88" s="32">
        <f t="shared" si="11"/>
        <v>25286.414989534776</v>
      </c>
    </row>
    <row r="89" spans="1:8" ht="15.6" x14ac:dyDescent="0.3">
      <c r="A89" s="31">
        <v>20</v>
      </c>
      <c r="B89" s="72">
        <f t="shared" si="9"/>
        <v>1457.9102826194799</v>
      </c>
      <c r="C89" s="32">
        <f t="shared" si="10"/>
        <v>63.216037473836941</v>
      </c>
      <c r="D89" s="72">
        <f t="shared" si="7"/>
        <v>1521.1263200933167</v>
      </c>
      <c r="E89" s="32">
        <f t="shared" si="11"/>
        <v>23828.504706915297</v>
      </c>
    </row>
    <row r="90" spans="1:8" ht="15.6" x14ac:dyDescent="0.3">
      <c r="A90" s="31">
        <v>21</v>
      </c>
      <c r="B90" s="72">
        <f t="shared" si="9"/>
        <v>1461.5550583260285</v>
      </c>
      <c r="C90" s="32">
        <f t="shared" si="10"/>
        <v>59.571261767288242</v>
      </c>
      <c r="D90" s="72">
        <f t="shared" si="7"/>
        <v>1521.1263200933167</v>
      </c>
      <c r="E90" s="32">
        <f t="shared" si="11"/>
        <v>22366.949648589267</v>
      </c>
    </row>
    <row r="91" spans="1:8" ht="15.6" x14ac:dyDescent="0.3">
      <c r="A91" s="31">
        <v>22</v>
      </c>
      <c r="B91" s="72">
        <f t="shared" si="9"/>
        <v>1465.2089459718436</v>
      </c>
      <c r="C91" s="32">
        <f t="shared" si="10"/>
        <v>55.917374121473166</v>
      </c>
      <c r="D91" s="72">
        <f t="shared" si="7"/>
        <v>1521.1263200933167</v>
      </c>
      <c r="E91" s="32">
        <f t="shared" si="11"/>
        <v>20901.740702617422</v>
      </c>
    </row>
    <row r="92" spans="1:8" ht="15.6" x14ac:dyDescent="0.3">
      <c r="A92" s="31">
        <v>23</v>
      </c>
      <c r="B92" s="72">
        <f t="shared" si="9"/>
        <v>1468.8719683367731</v>
      </c>
      <c r="C92" s="32">
        <f t="shared" si="10"/>
        <v>52.254351756543556</v>
      </c>
      <c r="D92" s="72">
        <f t="shared" si="7"/>
        <v>1521.1263200933167</v>
      </c>
      <c r="E92" s="32">
        <f t="shared" si="11"/>
        <v>19432.868734280648</v>
      </c>
    </row>
    <row r="93" spans="1:8" ht="15.6" x14ac:dyDescent="0.3">
      <c r="A93" s="31">
        <v>24</v>
      </c>
      <c r="B93" s="72">
        <f t="shared" si="9"/>
        <v>1472.544148257615</v>
      </c>
      <c r="C93" s="32">
        <f t="shared" si="10"/>
        <v>48.582171835701622</v>
      </c>
      <c r="D93" s="72">
        <f t="shared" si="7"/>
        <v>1521.1263200933167</v>
      </c>
      <c r="E93" s="32">
        <f t="shared" si="11"/>
        <v>17960.324586023034</v>
      </c>
      <c r="F93" s="37">
        <f>SUM(C82:C93)</f>
        <v>823.34653374502614</v>
      </c>
    </row>
    <row r="94" spans="1:8" ht="15.6" x14ac:dyDescent="0.3">
      <c r="A94" s="31">
        <v>25</v>
      </c>
      <c r="B94" s="72">
        <f t="shared" si="9"/>
        <v>1476.2255086282591</v>
      </c>
      <c r="C94" s="32">
        <f t="shared" si="10"/>
        <v>44.900811465057586</v>
      </c>
      <c r="D94" s="72">
        <f t="shared" si="7"/>
        <v>1521.1263200933167</v>
      </c>
      <c r="E94" s="32">
        <f t="shared" si="11"/>
        <v>16484.099077394774</v>
      </c>
    </row>
    <row r="95" spans="1:8" ht="15.6" x14ac:dyDescent="0.3">
      <c r="A95" s="31">
        <v>26</v>
      </c>
      <c r="B95" s="72">
        <f t="shared" si="9"/>
        <v>1479.9160723998298</v>
      </c>
      <c r="C95" s="32">
        <f t="shared" si="10"/>
        <v>41.210247693486934</v>
      </c>
      <c r="D95" s="72">
        <f t="shared" si="7"/>
        <v>1521.1263200933167</v>
      </c>
      <c r="E95" s="32">
        <f t="shared" si="11"/>
        <v>15004.183004994944</v>
      </c>
    </row>
    <row r="96" spans="1:8" ht="15.6" x14ac:dyDescent="0.3">
      <c r="A96" s="31">
        <v>27</v>
      </c>
      <c r="B96" s="72">
        <f t="shared" si="9"/>
        <v>1483.6158625808293</v>
      </c>
      <c r="C96" s="32">
        <f t="shared" si="10"/>
        <v>37.510457512487363</v>
      </c>
      <c r="D96" s="72">
        <f t="shared" si="7"/>
        <v>1521.1263200933167</v>
      </c>
      <c r="E96" s="32">
        <f t="shared" si="11"/>
        <v>13520.567142414115</v>
      </c>
    </row>
    <row r="97" spans="1:6" ht="15.6" x14ac:dyDescent="0.3">
      <c r="A97" s="31">
        <v>28</v>
      </c>
      <c r="B97" s="72">
        <f t="shared" si="9"/>
        <v>1487.3249022372815</v>
      </c>
      <c r="C97" s="32">
        <f t="shared" si="10"/>
        <v>33.801417856035286</v>
      </c>
      <c r="D97" s="72">
        <f t="shared" si="7"/>
        <v>1521.1263200933167</v>
      </c>
      <c r="E97" s="32">
        <f t="shared" si="11"/>
        <v>12033.242240176833</v>
      </c>
    </row>
    <row r="98" spans="1:6" ht="15.6" x14ac:dyDescent="0.3">
      <c r="A98" s="31">
        <v>29</v>
      </c>
      <c r="B98" s="72">
        <f t="shared" si="9"/>
        <v>1491.0432144928745</v>
      </c>
      <c r="C98" s="32">
        <f t="shared" si="10"/>
        <v>30.083105600442082</v>
      </c>
      <c r="D98" s="72">
        <f t="shared" si="7"/>
        <v>1521.1263200933167</v>
      </c>
      <c r="E98" s="32">
        <f t="shared" si="11"/>
        <v>10542.199025683958</v>
      </c>
    </row>
    <row r="99" spans="1:6" ht="15.6" x14ac:dyDescent="0.3">
      <c r="A99" s="31">
        <v>30</v>
      </c>
      <c r="B99" s="72">
        <f t="shared" si="9"/>
        <v>1494.7708225291069</v>
      </c>
      <c r="C99" s="32">
        <f t="shared" si="10"/>
        <v>26.355497564209895</v>
      </c>
      <c r="D99" s="72">
        <f t="shared" si="7"/>
        <v>1521.1263200933167</v>
      </c>
      <c r="E99" s="32">
        <f t="shared" si="11"/>
        <v>9047.4282031548519</v>
      </c>
    </row>
    <row r="100" spans="1:6" ht="15.6" x14ac:dyDescent="0.3">
      <c r="A100" s="31">
        <v>31</v>
      </c>
      <c r="B100" s="72">
        <f t="shared" si="9"/>
        <v>1498.5077495854296</v>
      </c>
      <c r="C100" s="32">
        <f t="shared" si="10"/>
        <v>22.618570507887132</v>
      </c>
      <c r="D100" s="72">
        <f t="shared" si="7"/>
        <v>1521.1263200933167</v>
      </c>
      <c r="E100" s="32">
        <f t="shared" si="11"/>
        <v>7548.9204535694225</v>
      </c>
    </row>
    <row r="101" spans="1:6" ht="15.6" x14ac:dyDescent="0.3">
      <c r="A101" s="31">
        <v>32</v>
      </c>
      <c r="B101" s="72">
        <f t="shared" si="9"/>
        <v>1502.2540189593931</v>
      </c>
      <c r="C101" s="32">
        <f t="shared" si="10"/>
        <v>18.872301133923557</v>
      </c>
      <c r="D101" s="72">
        <f t="shared" si="7"/>
        <v>1521.1263200933167</v>
      </c>
      <c r="E101" s="32">
        <f t="shared" si="11"/>
        <v>6046.6664346100297</v>
      </c>
    </row>
    <row r="102" spans="1:6" ht="15.6" x14ac:dyDescent="0.3">
      <c r="A102" s="31">
        <v>33</v>
      </c>
      <c r="B102" s="72">
        <f t="shared" si="9"/>
        <v>1506.0096540067916</v>
      </c>
      <c r="C102" s="32">
        <f t="shared" si="10"/>
        <v>15.116666086525074</v>
      </c>
      <c r="D102" s="72">
        <f t="shared" si="7"/>
        <v>1521.1263200933167</v>
      </c>
      <c r="E102" s="32">
        <f t="shared" si="11"/>
        <v>4540.6567806032381</v>
      </c>
    </row>
    <row r="103" spans="1:6" ht="15.6" x14ac:dyDescent="0.3">
      <c r="A103" s="31">
        <v>34</v>
      </c>
      <c r="B103" s="72">
        <f t="shared" si="9"/>
        <v>1509.7746781418086</v>
      </c>
      <c r="C103" s="32">
        <f t="shared" si="10"/>
        <v>11.351641951508096</v>
      </c>
      <c r="D103" s="72">
        <f t="shared" si="7"/>
        <v>1521.1263200933167</v>
      </c>
      <c r="E103" s="32">
        <f t="shared" si="11"/>
        <v>3030.8821024614294</v>
      </c>
    </row>
    <row r="104" spans="1:6" ht="15.6" x14ac:dyDescent="0.3">
      <c r="A104" s="31">
        <v>35</v>
      </c>
      <c r="B104" s="72">
        <f t="shared" si="9"/>
        <v>1513.5491148371632</v>
      </c>
      <c r="C104" s="32">
        <f t="shared" si="10"/>
        <v>7.5772052561535741</v>
      </c>
      <c r="D104" s="72">
        <f t="shared" si="7"/>
        <v>1521.1263200933167</v>
      </c>
      <c r="E104" s="32">
        <f t="shared" si="11"/>
        <v>1517.3329876242663</v>
      </c>
    </row>
    <row r="105" spans="1:6" ht="15.6" x14ac:dyDescent="0.3">
      <c r="A105" s="31">
        <v>36</v>
      </c>
      <c r="B105" s="72">
        <f t="shared" si="9"/>
        <v>1517.332987624256</v>
      </c>
      <c r="C105" s="32">
        <f t="shared" si="10"/>
        <v>3.7933324690606658</v>
      </c>
      <c r="D105" s="72">
        <f t="shared" si="7"/>
        <v>1521.1263200933167</v>
      </c>
      <c r="E105" s="32">
        <f t="shared" si="11"/>
        <v>1.0231815394945443E-11</v>
      </c>
      <c r="F105" s="73">
        <f>SUM(C70:C105)</f>
        <v>2454.3904063593168</v>
      </c>
    </row>
  </sheetData>
  <mergeCells count="5">
    <mergeCell ref="A1:E1"/>
    <mergeCell ref="A3:E3"/>
    <mergeCell ref="G10:H10"/>
    <mergeCell ref="A61:E61"/>
    <mergeCell ref="G68:H6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5"/>
  <sheetViews>
    <sheetView zoomScale="90" workbookViewId="0">
      <selection activeCell="D24" sqref="D24"/>
    </sheetView>
  </sheetViews>
  <sheetFormatPr baseColWidth="10" defaultRowHeight="14.4" x14ac:dyDescent="0.3"/>
  <cols>
    <col min="2" max="2" width="21.109375" customWidth="1"/>
    <col min="3" max="3" width="21.6640625" customWidth="1"/>
  </cols>
  <sheetData>
    <row r="1" spans="2:6" ht="21" x14ac:dyDescent="0.4">
      <c r="B1" s="219" t="s">
        <v>252</v>
      </c>
      <c r="C1" s="220"/>
      <c r="D1" s="47"/>
      <c r="E1" s="47"/>
      <c r="F1" s="47"/>
    </row>
    <row r="2" spans="2:6" ht="18" x14ac:dyDescent="0.35">
      <c r="B2" s="205" t="s">
        <v>142</v>
      </c>
      <c r="C2" s="205"/>
      <c r="D2" s="56"/>
      <c r="E2" s="56"/>
      <c r="F2" s="56"/>
    </row>
    <row r="4" spans="2:6" ht="15.6" x14ac:dyDescent="0.3">
      <c r="B4" s="104" t="s">
        <v>144</v>
      </c>
      <c r="C4" s="104" t="s">
        <v>145</v>
      </c>
    </row>
    <row r="5" spans="2:6" ht="15.6" x14ac:dyDescent="0.3">
      <c r="B5" s="111" t="s">
        <v>146</v>
      </c>
      <c r="C5" s="32">
        <f>'Costos '!D40</f>
        <v>592844.4</v>
      </c>
    </row>
    <row r="6" spans="2:6" ht="15.6" x14ac:dyDescent="0.3">
      <c r="B6" s="111" t="s">
        <v>147</v>
      </c>
      <c r="C6" s="32">
        <f>SUM('Costos '!D31,'Costos '!D32,'Costos '!D33,'Costos '!D34+'Costos '!D30)</f>
        <v>40608</v>
      </c>
    </row>
    <row r="7" spans="2:6" ht="15.6" x14ac:dyDescent="0.3">
      <c r="B7" s="111" t="s">
        <v>148</v>
      </c>
      <c r="C7" s="32">
        <f>'Gastos '!D9</f>
        <v>56947.283499999998</v>
      </c>
    </row>
    <row r="8" spans="2:6" ht="15.6" x14ac:dyDescent="0.3">
      <c r="B8" s="111" t="s">
        <v>149</v>
      </c>
      <c r="C8" s="32">
        <f>'Gastos '!D22</f>
        <v>117351.57283200001</v>
      </c>
    </row>
    <row r="9" spans="2:6" ht="15.6" x14ac:dyDescent="0.3">
      <c r="B9" s="115" t="s">
        <v>150</v>
      </c>
      <c r="C9" s="115">
        <f>SUM(C5:C8)</f>
        <v>807751.25633200002</v>
      </c>
    </row>
    <row r="10" spans="2:6" x14ac:dyDescent="0.3">
      <c r="B10" s="49"/>
      <c r="C10" s="48"/>
    </row>
    <row r="11" spans="2:6" x14ac:dyDescent="0.3">
      <c r="B11" s="49"/>
      <c r="C11" s="48"/>
    </row>
    <row r="12" spans="2:6" ht="15.6" x14ac:dyDescent="0.3">
      <c r="B12" s="104" t="s">
        <v>151</v>
      </c>
      <c r="C12" s="104" t="s">
        <v>152</v>
      </c>
    </row>
    <row r="13" spans="2:6" ht="15.6" x14ac:dyDescent="0.3">
      <c r="B13" s="111" t="s">
        <v>153</v>
      </c>
      <c r="C13" s="32">
        <f>'Costos '!D39</f>
        <v>2133768.1151999999</v>
      </c>
    </row>
    <row r="14" spans="2:6" ht="15.6" x14ac:dyDescent="0.3">
      <c r="B14" s="111" t="s">
        <v>147</v>
      </c>
      <c r="C14" s="32">
        <f>'Costos '!D29</f>
        <v>12000</v>
      </c>
    </row>
    <row r="15" spans="2:6" ht="15.6" x14ac:dyDescent="0.3">
      <c r="B15" s="115" t="s">
        <v>150</v>
      </c>
      <c r="C15" s="115">
        <f>SUM(C13:C14)</f>
        <v>2145768.1151999999</v>
      </c>
    </row>
    <row r="16" spans="2:6" x14ac:dyDescent="0.3">
      <c r="B16" s="49"/>
      <c r="C16" s="48"/>
    </row>
    <row r="17" spans="2:3" ht="15.6" x14ac:dyDescent="0.3">
      <c r="B17" s="115" t="s">
        <v>154</v>
      </c>
      <c r="C17" s="115">
        <f>C9+C15</f>
        <v>2953519.3715319997</v>
      </c>
    </row>
    <row r="18" spans="2:3" x14ac:dyDescent="0.3">
      <c r="B18" s="49"/>
      <c r="C18" s="48"/>
    </row>
    <row r="19" spans="2:3" x14ac:dyDescent="0.3">
      <c r="B19" s="49"/>
      <c r="C19" s="48"/>
    </row>
    <row r="20" spans="2:3" ht="31.2" x14ac:dyDescent="0.3">
      <c r="B20" s="118" t="s">
        <v>155</v>
      </c>
      <c r="C20" s="32">
        <f>Ingresos!C4</f>
        <v>3326.1947655319145</v>
      </c>
    </row>
    <row r="21" spans="2:3" ht="15.6" x14ac:dyDescent="0.3">
      <c r="B21" s="118" t="s">
        <v>156</v>
      </c>
      <c r="C21" s="32">
        <f>C9</f>
        <v>807751.25633200002</v>
      </c>
    </row>
    <row r="22" spans="2:3" ht="31.2" x14ac:dyDescent="0.3">
      <c r="B22" s="118" t="s">
        <v>157</v>
      </c>
      <c r="C22" s="30">
        <f>C15/(Ingresos!B4*12)</f>
        <v>1902.2766978723403</v>
      </c>
    </row>
    <row r="23" spans="2:3" ht="31.2" x14ac:dyDescent="0.3">
      <c r="B23" s="118" t="s">
        <v>158</v>
      </c>
      <c r="C23" s="32">
        <f>C20-C22</f>
        <v>1423.9180676595743</v>
      </c>
    </row>
    <row r="24" spans="2:3" ht="15.6" x14ac:dyDescent="0.3">
      <c r="B24" s="118" t="s">
        <v>159</v>
      </c>
      <c r="C24" s="30">
        <f>C21/C23</f>
        <v>567.27368988277669</v>
      </c>
    </row>
    <row r="25" spans="2:3" ht="15.6" x14ac:dyDescent="0.3">
      <c r="B25" s="118" t="s">
        <v>160</v>
      </c>
      <c r="C25" s="30">
        <f>C24*C20</f>
        <v>1886862.7779120663</v>
      </c>
    </row>
  </sheetData>
  <mergeCells count="2">
    <mergeCell ref="B1:C1"/>
    <mergeCell ref="B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Presentacion</vt:lpstr>
      <vt:lpstr>Inversion</vt:lpstr>
      <vt:lpstr>Depreciaciones </vt:lpstr>
      <vt:lpstr>Costos </vt:lpstr>
      <vt:lpstr>Ingresos</vt:lpstr>
      <vt:lpstr>Gastos </vt:lpstr>
      <vt:lpstr>Estructura de capital</vt:lpstr>
      <vt:lpstr>Tabla de amortizacion </vt:lpstr>
      <vt:lpstr>Punto de equilibrio </vt:lpstr>
      <vt:lpstr>Estado de resultados </vt:lpstr>
      <vt:lpstr>Flujo de efectivo</vt:lpstr>
      <vt:lpstr>Balance general </vt:lpstr>
      <vt:lpstr>Indicadores financieros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Abril Valenzuela</dc:creator>
  <cp:lastModifiedBy>Abril Valenzuela</cp:lastModifiedBy>
  <dcterms:created xsi:type="dcterms:W3CDTF">2024-03-11T17:13:27Z</dcterms:created>
  <dcterms:modified xsi:type="dcterms:W3CDTF">2024-08-23T17:31:39Z</dcterms:modified>
</cp:coreProperties>
</file>