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8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.parisi\Downloads\Curso Execel\"/>
    </mc:Choice>
  </mc:AlternateContent>
  <xr:revisionPtr revIDLastSave="0" documentId="8_{E1D6199F-AB91-1845-833E-574B4C586A00}" xr6:coauthVersionLast="47" xr6:coauthVersionMax="47" xr10:uidLastSave="{00000000-0000-0000-0000-000000000000}"/>
  <bookViews>
    <workbookView xWindow="-108" yWindow="-108" windowWidth="23256" windowHeight="12456" firstSheet="10" xr2:uid="{00000000-000D-0000-FFFF-FFFF00000000}"/>
  </bookViews>
  <sheets>
    <sheet name="Menu" sheetId="1" r:id="rId1"/>
    <sheet name="Despesas Fixas" sheetId="2" r:id="rId2"/>
    <sheet name="Investimentos" sheetId="7" r:id="rId3"/>
    <sheet name="Resultados" sheetId="4" r:id="rId4"/>
    <sheet name="Controle Mercadorias" sheetId="6" r:id="rId5"/>
    <sheet name="Controle de Estoque" sheetId="8" r:id="rId6"/>
    <sheet name="Vendas" sheetId="3" r:id="rId7"/>
    <sheet name="Vendas Semana 1 " sheetId="10" r:id="rId8"/>
    <sheet name="Análise Semana_1" sheetId="14" r:id="rId9"/>
    <sheet name="Vendas Semana 2" sheetId="12" r:id="rId10"/>
    <sheet name="Análise Semana_2" sheetId="23" r:id="rId11"/>
    <sheet name="Vendas Semana 3" sheetId="11" r:id="rId12"/>
    <sheet name="Análise Semana_3" sheetId="22" r:id="rId13"/>
    <sheet name="Vendas Semana 4 " sheetId="13" r:id="rId14"/>
    <sheet name="Análise Semana_4" sheetId="24" r:id="rId15"/>
    <sheet name="cálculos" sheetId="5" r:id="rId16"/>
  </sheets>
  <definedNames>
    <definedName name="_xlnm._FilterDatabase" localSheetId="15" hidden="1">cálculos!$O$3:$R$27</definedName>
  </definedNames>
  <calcPr calcId="191028"/>
  <pivotCaches>
    <pivotCache cacheId="4" r:id="rId17"/>
    <pivotCache cacheId="5" r:id="rId18"/>
    <pivotCache cacheId="6" r:id="rId19"/>
    <pivotCache cacheId="7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1" l="1"/>
  <c r="K7" i="12"/>
  <c r="E7" i="12"/>
  <c r="G7" i="12"/>
  <c r="H7" i="12"/>
  <c r="E9" i="12"/>
  <c r="G9" i="12"/>
  <c r="H9" i="12"/>
  <c r="K9" i="12"/>
  <c r="B10" i="12"/>
  <c r="C10" i="12"/>
  <c r="E10" i="12"/>
  <c r="G10" i="12"/>
  <c r="H10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6" i="8"/>
  <c r="E7" i="6"/>
  <c r="G7" i="6"/>
  <c r="I7" i="6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6" i="8"/>
  <c r="F6" i="8"/>
  <c r="F7" i="8"/>
  <c r="F8" i="8"/>
  <c r="F9" i="8"/>
  <c r="G9" i="8"/>
  <c r="H9" i="8"/>
  <c r="F10" i="8"/>
  <c r="F11" i="8"/>
  <c r="F12" i="8"/>
  <c r="F13" i="8"/>
  <c r="F14" i="8"/>
  <c r="F15" i="8"/>
  <c r="F16" i="8"/>
  <c r="F17" i="8"/>
  <c r="F18" i="8"/>
  <c r="F19" i="8"/>
  <c r="F20" i="8"/>
  <c r="F21" i="8"/>
  <c r="G21" i="8"/>
  <c r="H21" i="8"/>
  <c r="F22" i="8"/>
  <c r="G22" i="8"/>
  <c r="H22" i="8"/>
  <c r="F23" i="8"/>
  <c r="F24" i="8"/>
  <c r="F25" i="8"/>
  <c r="F26" i="8"/>
  <c r="F27" i="8"/>
  <c r="F28" i="8"/>
  <c r="F29" i="8"/>
  <c r="E8" i="12"/>
  <c r="G8" i="12"/>
  <c r="H8" i="12"/>
  <c r="K8" i="12"/>
  <c r="E7" i="10"/>
  <c r="G7" i="10"/>
  <c r="H7" i="10"/>
  <c r="K7" i="10"/>
  <c r="M7" i="10"/>
  <c r="E8" i="10"/>
  <c r="G8" i="10"/>
  <c r="H8" i="10"/>
  <c r="K8" i="10"/>
  <c r="M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G31" i="10"/>
  <c r="H31" i="10"/>
  <c r="G32" i="10"/>
  <c r="H32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G8" i="6"/>
  <c r="I8" i="6"/>
  <c r="G9" i="6"/>
  <c r="I9" i="6"/>
  <c r="G10" i="6"/>
  <c r="I10" i="6"/>
  <c r="G11" i="6"/>
  <c r="I11" i="6"/>
  <c r="G12" i="6"/>
  <c r="I12" i="6"/>
  <c r="G13" i="6"/>
  <c r="I13" i="6"/>
  <c r="G14" i="6"/>
  <c r="I14" i="6"/>
  <c r="G15" i="6"/>
  <c r="I15" i="6"/>
  <c r="G16" i="6"/>
  <c r="I16" i="6"/>
  <c r="G17" i="6"/>
  <c r="I17" i="6"/>
  <c r="G18" i="6"/>
  <c r="I18" i="6"/>
  <c r="G19" i="6"/>
  <c r="I19" i="6"/>
  <c r="G20" i="6"/>
  <c r="I20" i="6"/>
  <c r="G21" i="6"/>
  <c r="I21" i="6"/>
  <c r="G22" i="6"/>
  <c r="I22" i="6"/>
  <c r="G23" i="6"/>
  <c r="I23" i="6"/>
  <c r="G24" i="6"/>
  <c r="I24" i="6"/>
  <c r="G25" i="6"/>
  <c r="I25" i="6"/>
  <c r="G26" i="6"/>
  <c r="I26" i="6"/>
  <c r="G27" i="6"/>
  <c r="I27" i="6"/>
  <c r="G28" i="6"/>
  <c r="I28" i="6"/>
  <c r="G29" i="6"/>
  <c r="I29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2" i="6"/>
  <c r="G32" i="6"/>
  <c r="I32" i="6"/>
  <c r="H17" i="4"/>
  <c r="H13" i="4"/>
  <c r="E14" i="10"/>
  <c r="D53" i="3"/>
  <c r="K7" i="11"/>
  <c r="M35" i="13" a="1"/>
  <c r="M35" i="13"/>
  <c r="M35" i="11" a="1"/>
  <c r="M35" i="11"/>
  <c r="M34" i="11"/>
  <c r="C20" i="3"/>
  <c r="K31" i="13"/>
  <c r="G31" i="13"/>
  <c r="H31" i="13"/>
  <c r="L31" i="13"/>
  <c r="E31" i="13"/>
  <c r="K30" i="13"/>
  <c r="H30" i="13"/>
  <c r="G30" i="13"/>
  <c r="E30" i="13"/>
  <c r="K29" i="13"/>
  <c r="G29" i="13"/>
  <c r="H29" i="13"/>
  <c r="L29" i="13"/>
  <c r="M31" i="13"/>
  <c r="E29" i="13"/>
  <c r="K28" i="13"/>
  <c r="H28" i="13"/>
  <c r="G28" i="13"/>
  <c r="E28" i="13"/>
  <c r="K27" i="13"/>
  <c r="G27" i="13"/>
  <c r="H27" i="13"/>
  <c r="L27" i="13"/>
  <c r="M27" i="13"/>
  <c r="E27" i="13"/>
  <c r="K26" i="13"/>
  <c r="H26" i="13"/>
  <c r="L26" i="13"/>
  <c r="G26" i="13"/>
  <c r="E26" i="13"/>
  <c r="K25" i="13"/>
  <c r="G25" i="13"/>
  <c r="H25" i="13"/>
  <c r="L25" i="13"/>
  <c r="E25" i="13"/>
  <c r="K24" i="13"/>
  <c r="H24" i="13"/>
  <c r="L24" i="13"/>
  <c r="M24" i="13"/>
  <c r="G24" i="13"/>
  <c r="E24" i="13"/>
  <c r="K23" i="13"/>
  <c r="G23" i="13"/>
  <c r="H23" i="13"/>
  <c r="L23" i="13"/>
  <c r="E23" i="13"/>
  <c r="M22" i="13"/>
  <c r="K22" i="13"/>
  <c r="H22" i="13"/>
  <c r="L22" i="13"/>
  <c r="G22" i="13"/>
  <c r="E22" i="13"/>
  <c r="M21" i="13"/>
  <c r="K21" i="13"/>
  <c r="G21" i="13"/>
  <c r="H21" i="13"/>
  <c r="L21" i="13"/>
  <c r="E21" i="13"/>
  <c r="K20" i="13"/>
  <c r="H20" i="13"/>
  <c r="L20" i="13"/>
  <c r="M20" i="13"/>
  <c r="G20" i="13"/>
  <c r="E20" i="13"/>
  <c r="K19" i="13"/>
  <c r="G19" i="13"/>
  <c r="H19" i="13"/>
  <c r="L19" i="13"/>
  <c r="M19" i="13"/>
  <c r="E19" i="13"/>
  <c r="K18" i="13"/>
  <c r="H18" i="13"/>
  <c r="G18" i="13"/>
  <c r="E18" i="13"/>
  <c r="M17" i="13"/>
  <c r="K17" i="13"/>
  <c r="G17" i="13"/>
  <c r="H17" i="13"/>
  <c r="L17" i="13"/>
  <c r="E17" i="13"/>
  <c r="M16" i="13"/>
  <c r="K16" i="13"/>
  <c r="H16" i="13"/>
  <c r="G16" i="13"/>
  <c r="E16" i="13"/>
  <c r="M15" i="13"/>
  <c r="K15" i="13"/>
  <c r="G15" i="13"/>
  <c r="H15" i="13"/>
  <c r="L15" i="13"/>
  <c r="E15" i="13"/>
  <c r="K14" i="13"/>
  <c r="H14" i="13"/>
  <c r="L14" i="13"/>
  <c r="G14" i="13"/>
  <c r="E14" i="13"/>
  <c r="M13" i="13"/>
  <c r="K13" i="13"/>
  <c r="G13" i="13"/>
  <c r="H13" i="13"/>
  <c r="L13" i="13"/>
  <c r="E13" i="13"/>
  <c r="K12" i="13"/>
  <c r="H12" i="13"/>
  <c r="L12" i="13"/>
  <c r="M12" i="13"/>
  <c r="G12" i="13"/>
  <c r="E12" i="13"/>
  <c r="K11" i="13"/>
  <c r="G11" i="13"/>
  <c r="H11" i="13"/>
  <c r="L11" i="13"/>
  <c r="M11" i="13"/>
  <c r="E11" i="13"/>
  <c r="K10" i="13"/>
  <c r="H10" i="13"/>
  <c r="L10" i="13"/>
  <c r="G10" i="13"/>
  <c r="E10" i="13"/>
  <c r="M9" i="13"/>
  <c r="K9" i="13"/>
  <c r="G9" i="13"/>
  <c r="H9" i="13"/>
  <c r="L9" i="13"/>
  <c r="E9" i="13"/>
  <c r="M8" i="13"/>
  <c r="K8" i="13"/>
  <c r="H8" i="13"/>
  <c r="L8" i="13"/>
  <c r="G8" i="13"/>
  <c r="E8" i="13"/>
  <c r="M7" i="13"/>
  <c r="K7" i="13"/>
  <c r="G7" i="13"/>
  <c r="H7" i="13"/>
  <c r="L7" i="13"/>
  <c r="E7" i="13"/>
  <c r="E30" i="11"/>
  <c r="E31" i="11"/>
  <c r="E26" i="11"/>
  <c r="E27" i="11"/>
  <c r="E28" i="11"/>
  <c r="K29" i="11"/>
  <c r="G29" i="11"/>
  <c r="H29" i="11"/>
  <c r="E29" i="11"/>
  <c r="K25" i="11"/>
  <c r="H25" i="11"/>
  <c r="L25" i="11"/>
  <c r="M25" i="11"/>
  <c r="G25" i="11"/>
  <c r="E25" i="11"/>
  <c r="K24" i="11"/>
  <c r="G24" i="11"/>
  <c r="H24" i="11"/>
  <c r="L24" i="11"/>
  <c r="M24" i="11"/>
  <c r="E24" i="11"/>
  <c r="K23" i="11"/>
  <c r="H23" i="11"/>
  <c r="L23" i="11"/>
  <c r="G23" i="11"/>
  <c r="E23" i="11"/>
  <c r="M22" i="11"/>
  <c r="K22" i="11"/>
  <c r="G22" i="11"/>
  <c r="H22" i="11"/>
  <c r="L22" i="11"/>
  <c r="E22" i="11"/>
  <c r="M21" i="11"/>
  <c r="K21" i="11"/>
  <c r="H21" i="11"/>
  <c r="L21" i="11"/>
  <c r="M23" i="11"/>
  <c r="G21" i="11"/>
  <c r="E21" i="11"/>
  <c r="K20" i="11"/>
  <c r="G20" i="11"/>
  <c r="H20" i="11"/>
  <c r="L20" i="11"/>
  <c r="M20" i="11"/>
  <c r="E20" i="11"/>
  <c r="K19" i="11"/>
  <c r="H19" i="11"/>
  <c r="L19" i="11"/>
  <c r="M19" i="11"/>
  <c r="G19" i="11"/>
  <c r="K18" i="11"/>
  <c r="G18" i="11"/>
  <c r="H18" i="11"/>
  <c r="L18" i="11"/>
  <c r="E18" i="11"/>
  <c r="M17" i="11"/>
  <c r="K17" i="11"/>
  <c r="H17" i="11"/>
  <c r="L17" i="11"/>
  <c r="G17" i="11"/>
  <c r="E17" i="11"/>
  <c r="M16" i="11"/>
  <c r="K16" i="11"/>
  <c r="G16" i="11"/>
  <c r="H16" i="11"/>
  <c r="L16" i="11"/>
  <c r="E16" i="11"/>
  <c r="M15" i="11"/>
  <c r="K15" i="11"/>
  <c r="H15" i="11"/>
  <c r="L15" i="11"/>
  <c r="M18" i="11"/>
  <c r="G15" i="11"/>
  <c r="E15" i="11"/>
  <c r="K14" i="11"/>
  <c r="G14" i="11"/>
  <c r="H14" i="11"/>
  <c r="L14" i="11"/>
  <c r="E14" i="11"/>
  <c r="M13" i="11"/>
  <c r="K13" i="11"/>
  <c r="H13" i="11"/>
  <c r="L13" i="11"/>
  <c r="M14" i="11"/>
  <c r="G13" i="11"/>
  <c r="E13" i="11"/>
  <c r="K12" i="11"/>
  <c r="G12" i="11"/>
  <c r="H12" i="11"/>
  <c r="L12" i="11"/>
  <c r="M12" i="11"/>
  <c r="E12" i="11"/>
  <c r="K11" i="11"/>
  <c r="H11" i="11"/>
  <c r="L11" i="11"/>
  <c r="M11" i="11"/>
  <c r="G11" i="11"/>
  <c r="E11" i="11"/>
  <c r="K10" i="11"/>
  <c r="G10" i="11"/>
  <c r="H10" i="11"/>
  <c r="L10" i="11"/>
  <c r="E10" i="11"/>
  <c r="M9" i="11"/>
  <c r="K9" i="11"/>
  <c r="H9" i="11"/>
  <c r="L9" i="11"/>
  <c r="G9" i="11"/>
  <c r="E9" i="11"/>
  <c r="M8" i="11"/>
  <c r="K8" i="11"/>
  <c r="G8" i="11"/>
  <c r="H8" i="11"/>
  <c r="L8" i="11"/>
  <c r="E8" i="11"/>
  <c r="M7" i="11"/>
  <c r="H7" i="11"/>
  <c r="L7" i="11"/>
  <c r="G7" i="11"/>
  <c r="E7" i="11"/>
  <c r="E27" i="10"/>
  <c r="E28" i="10"/>
  <c r="E29" i="10"/>
  <c r="E30" i="10"/>
  <c r="E31" i="10"/>
  <c r="E32" i="10"/>
  <c r="M30" i="10"/>
  <c r="M31" i="10"/>
  <c r="E11" i="10"/>
  <c r="M14" i="10"/>
  <c r="M16" i="10"/>
  <c r="M17" i="10"/>
  <c r="M18" i="10"/>
  <c r="M22" i="10"/>
  <c r="M23" i="10"/>
  <c r="L7" i="12"/>
  <c r="L8" i="12"/>
  <c r="L9" i="12"/>
  <c r="M9" i="12"/>
  <c r="K10" i="12"/>
  <c r="L10" i="12"/>
  <c r="G12" i="8"/>
  <c r="H12" i="8"/>
  <c r="G28" i="8"/>
  <c r="H28" i="8"/>
  <c r="G16" i="8"/>
  <c r="H16" i="8"/>
  <c r="G27" i="8"/>
  <c r="H27" i="8"/>
  <c r="G15" i="8"/>
  <c r="H15" i="8"/>
  <c r="G26" i="8"/>
  <c r="H26" i="8"/>
  <c r="G14" i="8"/>
  <c r="H14" i="8"/>
  <c r="G25" i="8"/>
  <c r="H25" i="8"/>
  <c r="G13" i="8"/>
  <c r="H13" i="8"/>
  <c r="G18" i="8"/>
  <c r="H18" i="8"/>
  <c r="G24" i="8"/>
  <c r="H24" i="8"/>
  <c r="G23" i="8"/>
  <c r="H23" i="8"/>
  <c r="G11" i="8"/>
  <c r="H11" i="8"/>
  <c r="G10" i="8"/>
  <c r="H10" i="8"/>
  <c r="G20" i="8"/>
  <c r="H20" i="8"/>
  <c r="G8" i="8"/>
  <c r="H8" i="8"/>
  <c r="G19" i="8"/>
  <c r="H19" i="8"/>
  <c r="G7" i="8"/>
  <c r="H7" i="8"/>
  <c r="G29" i="8"/>
  <c r="H29" i="8"/>
  <c r="G17" i="8"/>
  <c r="H17" i="8"/>
  <c r="M8" i="12"/>
  <c r="L7" i="10"/>
  <c r="L8" i="10"/>
  <c r="M36" i="10" a="1"/>
  <c r="M36" i="10"/>
  <c r="M14" i="12" a="1"/>
  <c r="M14" i="12"/>
  <c r="L27" i="10"/>
  <c r="L26" i="10"/>
  <c r="L11" i="10"/>
  <c r="L30" i="10"/>
  <c r="L18" i="10"/>
  <c r="L16" i="10"/>
  <c r="L29" i="10"/>
  <c r="M29" i="10"/>
  <c r="L17" i="10"/>
  <c r="L15" i="10"/>
  <c r="L13" i="10"/>
  <c r="M13" i="10"/>
  <c r="L14" i="10"/>
  <c r="L24" i="10"/>
  <c r="L23" i="10"/>
  <c r="L22" i="10"/>
  <c r="L28" i="10"/>
  <c r="M28" i="10"/>
  <c r="L12" i="10"/>
  <c r="M12" i="10"/>
  <c r="L10" i="10"/>
  <c r="L25" i="10"/>
  <c r="M25" i="10"/>
  <c r="L32" i="10"/>
  <c r="L20" i="10"/>
  <c r="M20" i="10"/>
  <c r="L31" i="10"/>
  <c r="L19" i="10"/>
  <c r="L21" i="10"/>
  <c r="M21" i="10"/>
  <c r="L9" i="10"/>
  <c r="L29" i="11"/>
  <c r="M29" i="11"/>
  <c r="L18" i="13"/>
  <c r="M29" i="13"/>
  <c r="M34" i="13"/>
  <c r="L30" i="13"/>
  <c r="M30" i="13"/>
  <c r="L28" i="13"/>
  <c r="M28" i="13"/>
  <c r="L16" i="13"/>
  <c r="M18" i="13"/>
  <c r="M23" i="13"/>
  <c r="M10" i="13"/>
  <c r="M14" i="13"/>
  <c r="M26" i="13"/>
  <c r="M25" i="13"/>
  <c r="M10" i="11"/>
  <c r="M33" i="11"/>
  <c r="M10" i="10"/>
  <c r="M35" i="10"/>
  <c r="E9" i="10"/>
  <c r="E10" i="10"/>
  <c r="E12" i="10"/>
  <c r="E13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G6" i="8"/>
  <c r="H6" i="8"/>
  <c r="E18" i="7"/>
  <c r="G30" i="6"/>
  <c r="I30" i="6"/>
  <c r="G31" i="6"/>
  <c r="I31" i="6"/>
  <c r="E30" i="6"/>
  <c r="E31" i="6"/>
  <c r="G23" i="2"/>
  <c r="G33" i="2"/>
  <c r="G16" i="2"/>
  <c r="G8" i="2"/>
  <c r="M10" i="12"/>
  <c r="M7" i="12"/>
  <c r="M13" i="12"/>
  <c r="D32" i="3"/>
  <c r="H7" i="4"/>
  <c r="D30" i="3"/>
  <c r="D48" i="3"/>
  <c r="G34" i="2"/>
  <c r="G35" i="2"/>
  <c r="M32" i="10"/>
  <c r="M33" i="13"/>
  <c r="D16" i="3"/>
  <c r="D15" i="3"/>
  <c r="M24" i="10"/>
  <c r="M15" i="10"/>
  <c r="D51" i="3"/>
  <c r="M26" i="10"/>
  <c r="M27" i="10"/>
  <c r="M9" i="10"/>
  <c r="M11" i="10"/>
  <c r="M19" i="10"/>
  <c r="I34" i="6"/>
  <c r="H12" i="4"/>
  <c r="H11" i="4"/>
  <c r="M12" i="12"/>
  <c r="D14" i="3"/>
  <c r="D50" i="3"/>
  <c r="D49" i="3"/>
  <c r="D52" i="3"/>
  <c r="D31" i="3"/>
  <c r="M34" i="10"/>
  <c r="D13" i="3"/>
  <c r="D20" i="3"/>
  <c r="H6" i="4"/>
  <c r="H5" i="4"/>
  <c r="D36" i="3"/>
  <c r="H8" i="4"/>
  <c r="H9" i="4"/>
  <c r="H15" i="4"/>
  <c r="H21" i="4"/>
  <c r="H23" i="4"/>
  <c r="H2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tc={906E29AF-AC0B-494D-93A4-80963182D1F8}</author>
    <author>tc={0BA9D63B-4F3B-4519-AA8B-EBD71E481B26}</author>
  </authors>
  <commentList>
    <comment ref="C13" authorId="0" shapeId="0" xr:uid="{906E29AF-AC0B-494D-93A4-80963182D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Inserir Descrição da despesa na observação
</t>
      </text>
    </comment>
    <comment ref="B31" authorId="1" shapeId="0" xr:uid="{0BA9D63B-4F3B-4519-AA8B-EBD71E481B26}">
      <text>
        <t>[Threaded comment]
Your version of Excel allows you to read this threaded comment; however, any edits to it will get removed if the file is opened in a newer version of Excel. Learn more: https://go.microsoft.com/fwlink/?linkid=870924
Comment:
    Inserir a descrição na observação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tc={8AA213FA-3F6E-4436-9B28-F0B87C4F9C25}</author>
    <author>tc={2F2D040F-E4B6-4579-83D1-E875C1383D78}</author>
    <author>tc={F1899C32-3870-4D97-9725-99BAF43C461C}</author>
  </authors>
  <commentList>
    <comment ref="D5" authorId="0" shapeId="0" xr:uid="{8AA213FA-3F6E-4436-9B28-F0B87C4F9C2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Quantidade Inicial é a quantidade que você esta iniciando a semana, ou mês, de acordo com a forma que o usuário vai trabalhar 
</t>
      </text>
    </comment>
    <comment ref="E5" authorId="1" shapeId="0" xr:uid="{2F2D040F-E4B6-4579-83D1-E875C1383D78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Quantidade Comprada já puxa direto da planilha controle de mercadorias.</t>
      </text>
    </comment>
    <comment ref="H5" authorId="2" shapeId="0" xr:uid="{F1899C32-3870-4D97-9725-99BAF43C461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Estoque aceitavel acima de 200, atenção acima de 100 e menos de 200 e comprar abaixo de 100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<sst xmlns="http://schemas.openxmlformats.org/spreadsheetml/2006/main" count="557" uniqueCount="168">
  <si>
    <t>Manutenção de Equipamentos</t>
  </si>
  <si>
    <t>Impostos</t>
  </si>
  <si>
    <t>Limpeza</t>
  </si>
  <si>
    <t>Aluguel Loja</t>
  </si>
  <si>
    <t>Seguros</t>
  </si>
  <si>
    <t>Outros</t>
  </si>
  <si>
    <t>Receita Líquida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</si>
  <si>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</si>
  <si>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</si>
  <si>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</si>
  <si>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</si>
  <si>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</si>
  <si>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</si>
  <si>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</si>
  <si>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</si>
  <si>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</si>
  <si>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</si>
  <si>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</si>
  <si>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</si>
  <si>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</si>
  <si>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</si>
  <si>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</si>
  <si>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</si>
  <si>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</si>
  <si>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</si>
  <si>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</si>
  <si>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</si>
  <si>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</si>
  <si>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</si>
  <si>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</si>
  <si>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</si>
  <si>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</si>
  <si>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</si>
  <si>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</si>
  <si>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</si>
  <si>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</si>
  <si>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</si>
  <si>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</t>
  </si>
  <si>
    <t xml:space="preserve">Despesa de Funcionamento </t>
  </si>
  <si>
    <t>Itens despesa</t>
  </si>
  <si>
    <t>Data</t>
  </si>
  <si>
    <t>Observação</t>
  </si>
  <si>
    <t>Valor Intermediário</t>
  </si>
  <si>
    <t>Valor final</t>
  </si>
  <si>
    <t>Funcionários</t>
  </si>
  <si>
    <t xml:space="preserve">Água </t>
  </si>
  <si>
    <t>Gás</t>
  </si>
  <si>
    <t>Luz</t>
  </si>
  <si>
    <t>Telefone</t>
  </si>
  <si>
    <t>Despesas Funcionamento</t>
  </si>
  <si>
    <t>Férias, Licenças, Atestados</t>
  </si>
  <si>
    <t>Peças, equipamentos</t>
  </si>
  <si>
    <t>Internet</t>
  </si>
  <si>
    <t>Mercadoria</t>
  </si>
  <si>
    <t>Fornecedor</t>
  </si>
  <si>
    <t>Medida</t>
  </si>
  <si>
    <t>Quantidade</t>
  </si>
  <si>
    <t>Valor Unitario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</si>
  <si>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</si>
  <si>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</si>
  <si>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</si>
  <si>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</si>
  <si>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</si>
  <si>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</si>
  <si>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</si>
  <si>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</si>
  <si>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</si>
  <si>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</si>
  <si>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</si>
  <si>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</si>
  <si>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</si>
  <si>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</si>
  <si>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</si>
  <si>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</si>
  <si>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</si>
  <si>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</si>
  <si>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</si>
  <si>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</si>
  <si>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</si>
  <si>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</si>
  <si>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</si>
  <si>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</si>
  <si>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</si>
  <si>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</si>
  <si>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</t>
  </si>
  <si>
    <t xml:space="preserve">CONTROLE MERCADORIAS </t>
  </si>
  <si>
    <t>TOTAL DE DESPESA FUNCIONAMENTO</t>
  </si>
  <si>
    <t>TOTAL DE DESPESA GERAL</t>
  </si>
  <si>
    <t>Investimento</t>
  </si>
  <si>
    <t>Descrição</t>
  </si>
  <si>
    <t>Valor</t>
  </si>
  <si>
    <t>investimento inicial</t>
  </si>
  <si>
    <t>Informatica</t>
  </si>
  <si>
    <t>Equipamentos (Carrinhos, Balança, Cortador de Queijo, etc)</t>
  </si>
  <si>
    <t>Estrutura(Estantes, Paletes, etc)</t>
  </si>
  <si>
    <t>Documentação inicial, Estrutura, Sistema de Refrigeração, Sistema Administração, Sistema da Informação</t>
  </si>
  <si>
    <t xml:space="preserve">Investimentos </t>
  </si>
  <si>
    <t>Produto</t>
  </si>
  <si>
    <t>Quantidade Comprada</t>
  </si>
  <si>
    <t xml:space="preserve">Data da Última Compra </t>
  </si>
  <si>
    <t>Quantidade Inicial</t>
  </si>
  <si>
    <t>Quantidade Vendida</t>
  </si>
  <si>
    <t>Quantidade Atual</t>
  </si>
  <si>
    <t>Situação</t>
  </si>
  <si>
    <t>Id da venda</t>
  </si>
  <si>
    <t>Subtotal</t>
  </si>
  <si>
    <t>Entrega</t>
  </si>
  <si>
    <t>Valor de Entrega</t>
  </si>
  <si>
    <t>Total</t>
  </si>
  <si>
    <t>Total Por Cliente</t>
  </si>
  <si>
    <t>Preço Unitário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</si>
  <si>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</si>
  <si>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</si>
  <si>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</si>
  <si>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</si>
  <si>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</si>
  <si>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</si>
  <si>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</si>
  <si>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 de Vendas da Semana</t>
  </si>
  <si>
    <t>Receitas de Entrega da Semana</t>
  </si>
  <si>
    <t>Vendas Semana 2</t>
  </si>
  <si>
    <t>Vendas Semana 3</t>
  </si>
  <si>
    <t>Vendas Semana 4</t>
  </si>
  <si>
    <t>Vendas Semana 1</t>
  </si>
  <si>
    <t>Ticket Médio</t>
  </si>
  <si>
    <t>Abril</t>
  </si>
  <si>
    <t>Toral de vendas Semana 1</t>
  </si>
  <si>
    <t>Toral de vendas Semana 2</t>
  </si>
  <si>
    <t>Toral de vendas Semana 3</t>
  </si>
  <si>
    <t>Toral de vendas Semana 4</t>
  </si>
  <si>
    <t>Vendas Por Entrega(%)</t>
  </si>
  <si>
    <t>Receita Entregas(R$)</t>
  </si>
  <si>
    <t>Número de vendas</t>
  </si>
  <si>
    <t>Vendas com Entrega(R$)</t>
  </si>
  <si>
    <t>Quantidade de Venda por região</t>
  </si>
  <si>
    <t>Numero de cliente</t>
  </si>
  <si>
    <t xml:space="preserve">Total de receitas </t>
  </si>
  <si>
    <t xml:space="preserve">Imposto Sobre Receitas </t>
  </si>
  <si>
    <t>Total de Despesa</t>
  </si>
  <si>
    <t xml:space="preserve">Resultado Bruto </t>
  </si>
  <si>
    <t xml:space="preserve">Receita Mercadoria </t>
  </si>
  <si>
    <t>Receita Entrega</t>
  </si>
  <si>
    <t>Investimentos</t>
  </si>
  <si>
    <t xml:space="preserve">Depreciação e Amortização </t>
  </si>
  <si>
    <t>Resultado Antes do Imposto</t>
  </si>
  <si>
    <t xml:space="preserve">Imposto </t>
  </si>
  <si>
    <t>Resultado Liquido</t>
  </si>
  <si>
    <t xml:space="preserve">Despesa Mercadoria </t>
  </si>
  <si>
    <t xml:space="preserve">Despesa Funcionamento </t>
  </si>
  <si>
    <t>Resultados</t>
  </si>
  <si>
    <t xml:space="preserve">Total Investimento </t>
  </si>
  <si>
    <t xml:space="preserve">Vendas </t>
  </si>
  <si>
    <t xml:space="preserve">Controle Estoque </t>
  </si>
  <si>
    <t>Data Compra</t>
  </si>
  <si>
    <t>Seu Zé</t>
  </si>
  <si>
    <t>(vazio)</t>
  </si>
  <si>
    <t>Total Geral</t>
  </si>
  <si>
    <t>Rótulos de Linha</t>
  </si>
  <si>
    <t>Soma de Quantidade</t>
  </si>
  <si>
    <t>Soma de Total</t>
  </si>
  <si>
    <t xml:space="preserve">Relatório de Itens vendidos na semana </t>
  </si>
  <si>
    <t>Soma de Valor de Entrega</t>
  </si>
  <si>
    <t>Média de Preço Unitário</t>
  </si>
  <si>
    <t xml:space="preserve">Relatório de entregas  semana </t>
  </si>
  <si>
    <t>Analise  Semana 1</t>
  </si>
  <si>
    <t>Analise  Semana 4</t>
  </si>
  <si>
    <t>Analise  Semana 3</t>
  </si>
  <si>
    <t>Analise  Semana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</si>
</sst>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4" x14ac:knownFonts="1"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4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4" tint="0.79998168889431442"/>
      </patternFill>
    </fill>
  </fills>
  <borders count="3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-0.2499465926084170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 tint="-0.249977111117893"/>
      </left>
      <right style="thin">
        <color theme="0"/>
      </right>
      <top style="thin">
        <color theme="4" tint="-0.249977111117893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4" tint="-0.249977111117893"/>
      </top>
      <bottom style="medium">
        <color theme="4" tint="-0.249977111117893"/>
      </bottom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  <border>
      <left style="thin">
        <color indexed="64"/>
      </left>
      <right/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0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0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2">
    <xf numFmtId="0" fontId="0" fillId="0" borderId="0" xfId="0"/>
    <xf numFmtId="44" fontId="0" fillId="0" borderId="0" xfId="0" applyNumberFormat="1"/>
    <xf numFmtId="0" fontId="0" fillId="4" borderId="0" xfId="0" applyFill="1"/>
    <xf numFmtId="10" fontId="0" fillId="0" borderId="0" xfId="0" applyNumberFormat="1"/>
    <xf numFmtId="2" fontId="0" fillId="0" borderId="0" xfId="0" applyNumberFormat="1"/>
    <xf numFmtId="44" fontId="0" fillId="0" borderId="0" xfId="1" applyFont="1"/>
    <xf numFmtId="0" fontId="3" fillId="0" borderId="0" xfId="0" applyFont="1"/>
    <xf numFmtId="14" fontId="0" fillId="0" borderId="0" xfId="0" applyNumberFormat="1"/>
    <xf numFmtId="2" fontId="0" fillId="4" borderId="0" xfId="0" applyNumberFormat="1" applyFill="1"/>
    <xf numFmtId="0" fontId="5" fillId="3" borderId="0" xfId="0" applyFont="1" applyFill="1"/>
    <xf numFmtId="14" fontId="5" fillId="3" borderId="0" xfId="0" applyNumberFormat="1" applyFont="1" applyFill="1"/>
    <xf numFmtId="2" fontId="5" fillId="3" borderId="0" xfId="0" applyNumberFormat="1" applyFont="1" applyFill="1"/>
    <xf numFmtId="44" fontId="5" fillId="3" borderId="0" xfId="0" applyNumberFormat="1" applyFont="1" applyFill="1"/>
    <xf numFmtId="10" fontId="5" fillId="3" borderId="0" xfId="0" applyNumberFormat="1" applyFont="1" applyFill="1"/>
    <xf numFmtId="0" fontId="6" fillId="3" borderId="0" xfId="0" applyFont="1" applyFill="1"/>
    <xf numFmtId="44" fontId="6" fillId="3" borderId="0" xfId="0" applyNumberFormat="1" applyFont="1" applyFill="1"/>
    <xf numFmtId="0" fontId="5" fillId="5" borderId="0" xfId="0" applyFont="1" applyFill="1"/>
    <xf numFmtId="14" fontId="5" fillId="5" borderId="0" xfId="0" applyNumberFormat="1" applyFont="1" applyFill="1"/>
    <xf numFmtId="2" fontId="5" fillId="5" borderId="0" xfId="0" applyNumberFormat="1" applyFont="1" applyFill="1"/>
    <xf numFmtId="44" fontId="5" fillId="5" borderId="0" xfId="0" applyNumberFormat="1" applyFont="1" applyFill="1"/>
    <xf numFmtId="0" fontId="0" fillId="0" borderId="0" xfId="0" applyAlignment="1">
      <alignment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4" borderId="0" xfId="0" applyNumberFormat="1" applyFill="1"/>
    <xf numFmtId="1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4" borderId="0" xfId="0" applyNumberFormat="1" applyFill="1"/>
    <xf numFmtId="44" fontId="0" fillId="0" borderId="0" xfId="3" applyFont="1"/>
    <xf numFmtId="14" fontId="0" fillId="4" borderId="0" xfId="0" applyNumberFormat="1" applyFill="1"/>
    <xf numFmtId="0" fontId="8" fillId="6" borderId="3" xfId="0" applyFont="1" applyFill="1" applyBorder="1"/>
    <xf numFmtId="0" fontId="8" fillId="6" borderId="4" xfId="0" applyFont="1" applyFill="1" applyBorder="1"/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/>
    <xf numFmtId="44" fontId="0" fillId="0" borderId="6" xfId="0" applyNumberFormat="1" applyBorder="1" applyAlignment="1">
      <alignment horizontal="center" vertical="center"/>
    </xf>
    <xf numFmtId="10" fontId="0" fillId="0" borderId="6" xfId="0" applyNumberFormat="1" applyBorder="1" applyAlignment="1">
      <alignment horizontal="center" vertical="center"/>
    </xf>
    <xf numFmtId="0" fontId="0" fillId="0" borderId="7" xfId="0" applyBorder="1"/>
    <xf numFmtId="0" fontId="10" fillId="8" borderId="8" xfId="0" applyFont="1" applyFill="1" applyBorder="1"/>
    <xf numFmtId="0" fontId="0" fillId="6" borderId="0" xfId="0" applyFill="1"/>
    <xf numFmtId="0" fontId="9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9" fillId="6" borderId="14" xfId="0" applyFont="1" applyFill="1" applyBorder="1"/>
    <xf numFmtId="0" fontId="9" fillId="6" borderId="13" xfId="0" applyFont="1" applyFill="1" applyBorder="1"/>
    <xf numFmtId="0" fontId="0" fillId="0" borderId="16" xfId="0" applyBorder="1"/>
    <xf numFmtId="0" fontId="0" fillId="0" borderId="14" xfId="0" applyBorder="1"/>
    <xf numFmtId="0" fontId="0" fillId="0" borderId="13" xfId="0" applyBorder="1"/>
    <xf numFmtId="0" fontId="9" fillId="6" borderId="22" xfId="0" applyFont="1" applyFill="1" applyBorder="1"/>
    <xf numFmtId="0" fontId="9" fillId="6" borderId="23" xfId="0" applyFont="1" applyFill="1" applyBorder="1"/>
    <xf numFmtId="0" fontId="0" fillId="0" borderId="15" xfId="0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44" fontId="9" fillId="6" borderId="9" xfId="0" applyNumberFormat="1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0" fillId="0" borderId="24" xfId="0" applyBorder="1"/>
    <xf numFmtId="0" fontId="0" fillId="0" borderId="25" xfId="0" applyBorder="1"/>
    <xf numFmtId="44" fontId="0" fillId="0" borderId="25" xfId="0" applyNumberFormat="1" applyBorder="1"/>
    <xf numFmtId="10" fontId="0" fillId="0" borderId="25" xfId="0" applyNumberFormat="1" applyBorder="1"/>
    <xf numFmtId="44" fontId="7" fillId="7" borderId="25" xfId="0" applyNumberFormat="1" applyFont="1" applyFill="1" applyBorder="1"/>
    <xf numFmtId="0" fontId="0" fillId="0" borderId="26" xfId="0" applyBorder="1"/>
    <xf numFmtId="0" fontId="0" fillId="0" borderId="27" xfId="0" applyBorder="1"/>
    <xf numFmtId="44" fontId="0" fillId="0" borderId="27" xfId="0" applyNumberFormat="1" applyBorder="1"/>
    <xf numFmtId="10" fontId="0" fillId="0" borderId="27" xfId="0" applyNumberFormat="1" applyBorder="1"/>
    <xf numFmtId="44" fontId="7" fillId="7" borderId="27" xfId="0" applyNumberFormat="1" applyFont="1" applyFill="1" applyBorder="1"/>
    <xf numFmtId="14" fontId="0" fillId="0" borderId="28" xfId="0" applyNumberFormat="1" applyBorder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44" fontId="9" fillId="6" borderId="17" xfId="0" applyNumberFormat="1" applyFont="1" applyFill="1" applyBorder="1" applyAlignment="1">
      <alignment horizontal="center" vertical="center"/>
    </xf>
    <xf numFmtId="0" fontId="9" fillId="6" borderId="29" xfId="0" applyFont="1" applyFill="1" applyBorder="1" applyAlignment="1">
      <alignment horizontal="center" vertical="center"/>
    </xf>
    <xf numFmtId="0" fontId="9" fillId="6" borderId="30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0" xfId="0" applyBorder="1"/>
    <xf numFmtId="0" fontId="0" fillId="0" borderId="19" xfId="0" applyBorder="1"/>
    <xf numFmtId="0" fontId="0" fillId="0" borderId="33" xfId="0" applyBorder="1"/>
    <xf numFmtId="0" fontId="9" fillId="6" borderId="31" xfId="0" applyFont="1" applyFill="1" applyBorder="1" applyAlignment="1">
      <alignment horizontal="center" vertical="center"/>
    </xf>
    <xf numFmtId="0" fontId="0" fillId="0" borderId="32" xfId="0" applyBorder="1"/>
    <xf numFmtId="0" fontId="9" fillId="0" borderId="9" xfId="0" applyFont="1" applyBorder="1" applyAlignment="1">
      <alignment horizontal="center" vertical="center"/>
    </xf>
    <xf numFmtId="0" fontId="9" fillId="6" borderId="0" xfId="0" applyFont="1" applyFill="1"/>
    <xf numFmtId="0" fontId="9" fillId="6" borderId="18" xfId="0" applyFont="1" applyFill="1" applyBorder="1"/>
    <xf numFmtId="0" fontId="9" fillId="6" borderId="21" xfId="0" applyFont="1" applyFill="1" applyBorder="1"/>
    <xf numFmtId="0" fontId="9" fillId="6" borderId="17" xfId="0" applyFont="1" applyFill="1" applyBorder="1"/>
    <xf numFmtId="0" fontId="9" fillId="6" borderId="19" xfId="0" applyFont="1" applyFill="1" applyBorder="1"/>
    <xf numFmtId="44" fontId="9" fillId="6" borderId="0" xfId="0" applyNumberFormat="1" applyFont="1" applyFill="1" applyAlignment="1">
      <alignment horizontal="center" vertical="center"/>
    </xf>
    <xf numFmtId="0" fontId="7" fillId="0" borderId="34" xfId="0" applyFont="1" applyBorder="1"/>
    <xf numFmtId="44" fontId="7" fillId="0" borderId="34" xfId="0" applyNumberFormat="1" applyFont="1" applyBorder="1"/>
    <xf numFmtId="0" fontId="7" fillId="0" borderId="0" xfId="0" applyFont="1"/>
    <xf numFmtId="44" fontId="7" fillId="0" borderId="0" xfId="0" applyNumberFormat="1" applyFont="1"/>
    <xf numFmtId="44" fontId="7" fillId="0" borderId="34" xfId="0" applyNumberFormat="1" applyFont="1" applyBorder="1" applyAlignment="1">
      <alignment horizontal="center" vertical="center"/>
    </xf>
    <xf numFmtId="0" fontId="7" fillId="0" borderId="35" xfId="0" applyFont="1" applyBorder="1"/>
    <xf numFmtId="44" fontId="7" fillId="0" borderId="35" xfId="0" applyNumberFormat="1" applyFont="1" applyBorder="1"/>
    <xf numFmtId="0" fontId="11" fillId="0" borderId="0" xfId="0" applyFont="1"/>
    <xf numFmtId="0" fontId="12" fillId="9" borderId="34" xfId="0" applyFont="1" applyFill="1" applyBorder="1"/>
    <xf numFmtId="44" fontId="12" fillId="9" borderId="34" xfId="0" applyNumberFormat="1" applyFont="1" applyFill="1" applyBorder="1"/>
    <xf numFmtId="0" fontId="0" fillId="0" borderId="36" xfId="0" applyBorder="1"/>
    <xf numFmtId="2" fontId="0" fillId="6" borderId="0" xfId="0" applyNumberFormat="1" applyFill="1"/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3" fillId="8" borderId="37" xfId="0" applyFont="1" applyFill="1" applyBorder="1" applyAlignment="1">
      <alignment horizontal="center" vertical="center"/>
    </xf>
    <xf numFmtId="0" fontId="13" fillId="8" borderId="35" xfId="0" applyFont="1" applyFill="1" applyBorder="1" applyAlignment="1">
      <alignment horizontal="center" vertical="center"/>
    </xf>
    <xf numFmtId="0" fontId="13" fillId="8" borderId="38" xfId="0" applyFont="1" applyFill="1" applyBorder="1" applyAlignment="1">
      <alignment horizontal="center" vertical="center"/>
    </xf>
  </cellXfs>
  <cellStyles count="5">
    <cellStyle name="Moeda 2" xfId="1" xr:uid="{78CF6775-9C37-4FD4-8EC0-F5B55B2769DE}"/>
    <cellStyle name="Moeda 3" xfId="2" xr:uid="{D7599B88-348D-4672-B617-76142BBD2823}"/>
    <cellStyle name="Moeda 4" xfId="3" xr:uid="{D72794EF-6689-4F43-8D78-2950975960C4}"/>
    <cellStyle name="Moeda 5" xfId="4" xr:uid="{2367E10B-53CB-4845-9E72-45E8852F4C42}"/>
    <cellStyle name="Normal" xfId="0" builtinId="0"/>
  </cellStyles>
  <dxfs count="103">
    <dxf>
      <numFmt numFmtId="34" formatCode="_-&quot;R$&quot;\ * #,##0.00_-;\-&quot;R$&quot;\ * #,##0.00_-;_-&quot;R$&quot;\ * &quot;-&quot;??_-;_-@_-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  <fill>
        <patternFill>
          <bgColor rgb="FFFA9A9A"/>
        </patternFill>
      </fill>
    </dxf>
    <dxf>
      <font>
        <color theme="7" tint="-0.499984740745262"/>
      </font>
      <fill>
        <patternFill>
          <bgColor theme="7" tint="0.39994506668294322"/>
        </patternFill>
      </fill>
    </dxf>
    <dxf>
      <font>
        <color theme="9" tint="-0.499984740745262"/>
      </font>
      <fill>
        <patternFill>
          <bgColor rgb="FF00B050"/>
        </patternFill>
      </fill>
    </dxf>
    <dxf>
      <numFmt numFmtId="34" formatCode="_-&quot;R$&quot;\ * #,##0.00_-;\-&quot;R$&quot;\ * #,##0.00_-;_-&quot;R$&quot;\ * &quot;-&quot;??_-;_-@_-"/>
    </dxf>
    <dxf>
      <numFmt numFmtId="14" formatCode="0.00%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4" formatCode="_-&quot;R$&quot;\ * #,##0.00_-;\-&quot;R$&quot;\ * #,##0.00_-;_-&quot;R$&quot;\ * &quot;-&quot;??_-;_-@_-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FA9A9A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Vendas!$C$31:$C$32</c:f>
              <c:strCache>
                <c:ptCount val="2"/>
                <c:pt idx="0">
                  <c:v>Vendas com Entrega(R$)</c:v>
                </c:pt>
                <c:pt idx="1">
                  <c:v>Receita Entregas(R$)</c:v>
                </c:pt>
              </c:strCache>
            </c:strRef>
          </c:cat>
          <c:val>
            <c:numRef>
              <c:f>Vendas!$D$31:$D$32</c:f>
              <c:numCache>
                <c:formatCode>_("R$"* #,##0.00_);_("R$"* \(#,##0.00\);_("R$"* "-"??_);_(@_)</c:formatCode>
                <c:ptCount val="2"/>
                <c:pt idx="0">
                  <c:v>1301.2180000000003</c:v>
                </c:pt>
                <c:pt idx="1">
                  <c:v>156.5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62-40BD-AA7E-96AF85F68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03980911"/>
        <c:axId val="103979471"/>
      </c:barChart>
      <c:catAx>
        <c:axId val="103980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979471"/>
        <c:crosses val="autoZero"/>
        <c:auto val="1"/>
        <c:lblAlgn val="ctr"/>
        <c:lblOffset val="100"/>
        <c:noMultiLvlLbl val="0"/>
      </c:catAx>
      <c:valAx>
        <c:axId val="103979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980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Vendas!$D$47</c:f>
              <c:strCache>
                <c:ptCount val="1"/>
                <c:pt idx="0">
                  <c:v>Numero de cliente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Vendas!$C$48:$C$52</c:f>
              <c:strCache>
                <c:ptCount val="5"/>
                <c:pt idx="0">
                  <c:v>Centro</c:v>
                </c:pt>
                <c:pt idx="1">
                  <c:v>Loja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Vendas!$D$48:$D$52</c:f>
              <c:numCache>
                <c:formatCode>General</c:formatCode>
                <c:ptCount val="5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2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A-40F7-A68D-56D7CAB42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53063904"/>
        <c:axId val="1953062944"/>
        <c:axId val="0"/>
      </c:bar3DChart>
      <c:catAx>
        <c:axId val="195306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53062944"/>
        <c:crosses val="autoZero"/>
        <c:auto val="1"/>
        <c:lblAlgn val="ctr"/>
        <c:lblOffset val="100"/>
        <c:noMultiLvlLbl val="0"/>
      </c:catAx>
      <c:valAx>
        <c:axId val="195306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5306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Faturamento  Mes de Abril</a:t>
            </a:r>
          </a:p>
          <a:p>
            <a:pPr>
              <a:defRPr/>
            </a:pPr>
            <a:endParaRPr lang="pt-BR"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Vendas!$C$13:$C$20</c:f>
              <c:strCache>
                <c:ptCount val="8"/>
                <c:pt idx="0">
                  <c:v>Toral de vendas Semana 1</c:v>
                </c:pt>
                <c:pt idx="1">
                  <c:v>Toral de vendas Semana 2</c:v>
                </c:pt>
                <c:pt idx="2">
                  <c:v>Toral de vendas Semana 3</c:v>
                </c:pt>
                <c:pt idx="3">
                  <c:v>Toral de vendas Semana 4</c:v>
                </c:pt>
                <c:pt idx="7">
                  <c:v>Total de Vendas Abril</c:v>
                </c:pt>
              </c:strCache>
            </c:strRef>
          </c:cat>
          <c:val>
            <c:numRef>
              <c:f>Vendas!$D$13:$D$20</c:f>
              <c:numCache>
                <c:formatCode>_("R$"* #,##0.00_);_("R$"* \(#,##0.00\);_("R$"* "-"??_);_(@_)</c:formatCode>
                <c:ptCount val="8"/>
                <c:pt idx="0">
                  <c:v>614.60599999999988</c:v>
                </c:pt>
                <c:pt idx="1">
                  <c:v>669.7</c:v>
                </c:pt>
                <c:pt idx="2">
                  <c:v>502.8060000000001</c:v>
                </c:pt>
                <c:pt idx="3">
                  <c:v>599.18600000000015</c:v>
                </c:pt>
                <c:pt idx="7">
                  <c:v>2386.2980000000002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C-46FD-8A3B-CFBA73DE0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14219952"/>
        <c:axId val="1014221392"/>
        <c:axId val="0"/>
      </c:bar3DChart>
      <c:catAx>
        <c:axId val="101421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4221392"/>
        <c:crosses val="autoZero"/>
        <c:auto val="1"/>
        <c:lblAlgn val="ctr"/>
        <c:lblOffset val="100"/>
        <c:noMultiLvlLbl val="0"/>
      </c:catAx>
      <c:valAx>
        <c:axId val="101422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421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Vendas!A1"/><Relationship Id="rId2" Type="http://schemas.openxmlformats.org/officeDocument/2006/relationships/hyperlink" Target="#'Despesas Fixas'!A1"/><Relationship Id="rId1" Type="http://schemas.openxmlformats.org/officeDocument/2006/relationships/image" Target="../media/image1.jpe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Controle Mercadorias'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Vendas Semana 4 '!A1"/><Relationship Id="rId13" Type="http://schemas.openxmlformats.org/officeDocument/2006/relationships/hyperlink" Target="#'An&#225;lise Semana_4'!A1"/><Relationship Id="rId3" Type="http://schemas.openxmlformats.org/officeDocument/2006/relationships/chart" Target="../charts/chart3.xml"/><Relationship Id="rId7" Type="http://schemas.openxmlformats.org/officeDocument/2006/relationships/hyperlink" Target="#'Vendas Semana 3'!A1"/><Relationship Id="rId12" Type="http://schemas.openxmlformats.org/officeDocument/2006/relationships/hyperlink" Target="#'An&#225;lise Semana_3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Vendas Semana 1 '!A1"/><Relationship Id="rId11" Type="http://schemas.openxmlformats.org/officeDocument/2006/relationships/hyperlink" Target="#'An&#225;lise Semana_2'!A1"/><Relationship Id="rId5" Type="http://schemas.openxmlformats.org/officeDocument/2006/relationships/hyperlink" Target="#'Vendas Semana 2'!A1"/><Relationship Id="rId10" Type="http://schemas.openxmlformats.org/officeDocument/2006/relationships/hyperlink" Target="#'An&#225;lise Semana_1'!A1"/><Relationship Id="rId4" Type="http://schemas.openxmlformats.org/officeDocument/2006/relationships/hyperlink" Target="#Menu!A1"/><Relationship Id="rId9" Type="http://schemas.openxmlformats.org/officeDocument/2006/relationships/hyperlink" Target="#Vendas!C62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hyperlink" Target="#'Vendas Semana 1 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hyperlink" Target="#'Vendas Semana 2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hyperlink" Target="#'Vendas Semana 3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hyperlink" Target="#'Vendas Semana 4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352777</xdr:colOff>
      <xdr:row>0</xdr:row>
      <xdr:rowOff>0</xdr:rowOff>
    </xdr:from>
    <xdr:to>
      <xdr:col>25</xdr:col>
      <xdr:colOff>520418</xdr:colOff>
      <xdr:row>30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09AF091-4162-40B6-BC10-AD09193E97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959555" y="0"/>
          <a:ext cx="14730307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5</xdr:col>
      <xdr:colOff>38100</xdr:colOff>
      <xdr:row>19</xdr:row>
      <xdr:rowOff>160020</xdr:rowOff>
    </xdr:from>
    <xdr:to>
      <xdr:col>6</xdr:col>
      <xdr:colOff>502920</xdr:colOff>
      <xdr:row>22</xdr:row>
      <xdr:rowOff>144780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7D4BD7B-5503-8C92-348C-03B6B1868F3D}"/>
            </a:ext>
          </a:extLst>
        </xdr:cNvPr>
        <xdr:cNvSpPr/>
      </xdr:nvSpPr>
      <xdr:spPr>
        <a:xfrm>
          <a:off x="3086100" y="3634740"/>
          <a:ext cx="1074420" cy="5334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4000">
              <a:schemeClr val="accent1">
                <a:lumMod val="45000"/>
                <a:lumOff val="55000"/>
              </a:schemeClr>
            </a:gs>
            <a:gs pos="53000">
              <a:schemeClr val="accent1">
                <a:lumMod val="45000"/>
                <a:lumOff val="55000"/>
              </a:schemeClr>
            </a:gs>
            <a:gs pos="77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8575">
          <a:solidFill>
            <a:schemeClr val="tx1">
              <a:lumMod val="95000"/>
              <a:lumOff val="5000"/>
            </a:schemeClr>
          </a:solidFill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Despesas</a:t>
          </a:r>
        </a:p>
      </xdr:txBody>
    </xdr:sp>
    <xdr:clientData/>
  </xdr:twoCellAnchor>
  <xdr:twoCellAnchor>
    <xdr:from>
      <xdr:col>7</xdr:col>
      <xdr:colOff>182880</xdr:colOff>
      <xdr:row>19</xdr:row>
      <xdr:rowOff>144780</xdr:rowOff>
    </xdr:from>
    <xdr:to>
      <xdr:col>9</xdr:col>
      <xdr:colOff>38100</xdr:colOff>
      <xdr:row>22</xdr:row>
      <xdr:rowOff>129540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AA514E-8D9D-4798-861A-B867ED71B044}"/>
            </a:ext>
          </a:extLst>
        </xdr:cNvPr>
        <xdr:cNvSpPr/>
      </xdr:nvSpPr>
      <xdr:spPr>
        <a:xfrm>
          <a:off x="4450080" y="3619500"/>
          <a:ext cx="1074420" cy="5334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4000">
              <a:schemeClr val="accent1">
                <a:lumMod val="45000"/>
                <a:lumOff val="55000"/>
              </a:schemeClr>
            </a:gs>
            <a:gs pos="53000">
              <a:schemeClr val="accent1">
                <a:lumMod val="45000"/>
                <a:lumOff val="55000"/>
              </a:schemeClr>
            </a:gs>
            <a:gs pos="77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8575">
          <a:solidFill>
            <a:schemeClr val="tx1">
              <a:lumMod val="95000"/>
              <a:lumOff val="5000"/>
            </a:schemeClr>
          </a:solidFill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Controle Mercadorias</a:t>
          </a:r>
        </a:p>
      </xdr:txBody>
    </xdr:sp>
    <xdr:clientData/>
  </xdr:twoCellAnchor>
  <xdr:twoCellAnchor>
    <xdr:from>
      <xdr:col>9</xdr:col>
      <xdr:colOff>350520</xdr:colOff>
      <xdr:row>19</xdr:row>
      <xdr:rowOff>137160</xdr:rowOff>
    </xdr:from>
    <xdr:to>
      <xdr:col>11</xdr:col>
      <xdr:colOff>205740</xdr:colOff>
      <xdr:row>22</xdr:row>
      <xdr:rowOff>121920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C32ED4-E4E7-44EE-BE19-6420F3E956A8}"/>
            </a:ext>
          </a:extLst>
        </xdr:cNvPr>
        <xdr:cNvSpPr/>
      </xdr:nvSpPr>
      <xdr:spPr>
        <a:xfrm>
          <a:off x="5836920" y="3611880"/>
          <a:ext cx="1074420" cy="5334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4000">
              <a:schemeClr val="accent1">
                <a:lumMod val="45000"/>
                <a:lumOff val="55000"/>
              </a:schemeClr>
            </a:gs>
            <a:gs pos="53000">
              <a:schemeClr val="accent1">
                <a:lumMod val="45000"/>
                <a:lumOff val="55000"/>
              </a:schemeClr>
            </a:gs>
            <a:gs pos="77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8575">
          <a:solidFill>
            <a:schemeClr val="tx1">
              <a:lumMod val="95000"/>
              <a:lumOff val="5000"/>
            </a:schemeClr>
          </a:solidFill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Investimentos </a:t>
          </a:r>
        </a:p>
      </xdr:txBody>
    </xdr:sp>
    <xdr:clientData/>
  </xdr:twoCellAnchor>
  <xdr:twoCellAnchor>
    <xdr:from>
      <xdr:col>11</xdr:col>
      <xdr:colOff>510540</xdr:colOff>
      <xdr:row>19</xdr:row>
      <xdr:rowOff>137160</xdr:rowOff>
    </xdr:from>
    <xdr:to>
      <xdr:col>13</xdr:col>
      <xdr:colOff>365760</xdr:colOff>
      <xdr:row>22</xdr:row>
      <xdr:rowOff>121920</xdr:rowOff>
    </xdr:to>
    <xdr:sp macro="" textlink="">
      <xdr:nvSpPr>
        <xdr:cNvPr id="10" name="Retângulo: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1691091-31AE-468E-A48F-94C4DF98526C}"/>
            </a:ext>
          </a:extLst>
        </xdr:cNvPr>
        <xdr:cNvSpPr/>
      </xdr:nvSpPr>
      <xdr:spPr>
        <a:xfrm>
          <a:off x="7216140" y="3611880"/>
          <a:ext cx="1074420" cy="5334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4000">
              <a:schemeClr val="accent1">
                <a:lumMod val="45000"/>
                <a:lumOff val="55000"/>
              </a:schemeClr>
            </a:gs>
            <a:gs pos="53000">
              <a:schemeClr val="accent1">
                <a:lumMod val="45000"/>
                <a:lumOff val="55000"/>
              </a:schemeClr>
            </a:gs>
            <a:gs pos="77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8575">
          <a:solidFill>
            <a:schemeClr val="tx1">
              <a:lumMod val="95000"/>
              <a:lumOff val="5000"/>
            </a:schemeClr>
          </a:solidFill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Estoque</a:t>
          </a:r>
        </a:p>
      </xdr:txBody>
    </xdr:sp>
    <xdr:clientData/>
  </xdr:twoCellAnchor>
  <xdr:twoCellAnchor>
    <xdr:from>
      <xdr:col>14</xdr:col>
      <xdr:colOff>137160</xdr:colOff>
      <xdr:row>19</xdr:row>
      <xdr:rowOff>129540</xdr:rowOff>
    </xdr:from>
    <xdr:to>
      <xdr:col>15</xdr:col>
      <xdr:colOff>601980</xdr:colOff>
      <xdr:row>22</xdr:row>
      <xdr:rowOff>114300</xdr:rowOff>
    </xdr:to>
    <xdr:sp macro="" textlink="">
      <xdr:nvSpPr>
        <xdr:cNvPr id="11" name="Retângulo: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EB5E4F-6EA4-462E-B29A-C3689A4925C1}"/>
            </a:ext>
          </a:extLst>
        </xdr:cNvPr>
        <xdr:cNvSpPr/>
      </xdr:nvSpPr>
      <xdr:spPr>
        <a:xfrm>
          <a:off x="8671560" y="3604260"/>
          <a:ext cx="1074420" cy="5334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4000">
              <a:schemeClr val="accent1">
                <a:lumMod val="45000"/>
                <a:lumOff val="55000"/>
              </a:schemeClr>
            </a:gs>
            <a:gs pos="53000">
              <a:schemeClr val="accent1">
                <a:lumMod val="45000"/>
                <a:lumOff val="55000"/>
              </a:schemeClr>
            </a:gs>
            <a:gs pos="77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8575">
          <a:solidFill>
            <a:schemeClr val="tx1">
              <a:lumMod val="95000"/>
              <a:lumOff val="5000"/>
            </a:schemeClr>
          </a:solidFill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Resultados</a:t>
          </a:r>
          <a:r>
            <a:rPr lang="pt-BR" sz="1100" b="0" cap="none" spc="0" baseline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 </a:t>
          </a:r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16</xdr:col>
      <xdr:colOff>358140</xdr:colOff>
      <xdr:row>19</xdr:row>
      <xdr:rowOff>121920</xdr:rowOff>
    </xdr:from>
    <xdr:to>
      <xdr:col>18</xdr:col>
      <xdr:colOff>213360</xdr:colOff>
      <xdr:row>22</xdr:row>
      <xdr:rowOff>106680</xdr:rowOff>
    </xdr:to>
    <xdr:sp macro="" textlink="">
      <xdr:nvSpPr>
        <xdr:cNvPr id="12" name="Retângulo: Cantos Arredondados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F6A7899-534B-40FB-8171-F895E1E27338}"/>
            </a:ext>
          </a:extLst>
        </xdr:cNvPr>
        <xdr:cNvSpPr/>
      </xdr:nvSpPr>
      <xdr:spPr>
        <a:xfrm>
          <a:off x="10111740" y="3596640"/>
          <a:ext cx="1074420" cy="533400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4000">
              <a:schemeClr val="accent1">
                <a:lumMod val="45000"/>
                <a:lumOff val="55000"/>
              </a:schemeClr>
            </a:gs>
            <a:gs pos="53000">
              <a:schemeClr val="accent1">
                <a:lumMod val="45000"/>
                <a:lumOff val="55000"/>
              </a:schemeClr>
            </a:gs>
            <a:gs pos="77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8575">
          <a:solidFill>
            <a:schemeClr val="tx1">
              <a:lumMod val="95000"/>
              <a:lumOff val="5000"/>
            </a:schemeClr>
          </a:solidFill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286871</xdr:colOff>
      <xdr:row>1</xdr:row>
      <xdr:rowOff>17930</xdr:rowOff>
    </xdr:from>
    <xdr:to>
      <xdr:col>12</xdr:col>
      <xdr:colOff>591671</xdr:colOff>
      <xdr:row>1</xdr:row>
      <xdr:rowOff>394447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806354-8A18-4719-B2F8-A336B7B8FE84}"/>
            </a:ext>
          </a:extLst>
        </xdr:cNvPr>
        <xdr:cNvSpPr/>
      </xdr:nvSpPr>
      <xdr:spPr>
        <a:xfrm>
          <a:off x="12873318" y="80683"/>
          <a:ext cx="914400" cy="3765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1</xdr:row>
      <xdr:rowOff>45720</xdr:rowOff>
    </xdr:from>
    <xdr:to>
      <xdr:col>13</xdr:col>
      <xdr:colOff>533400</xdr:colOff>
      <xdr:row>1</xdr:row>
      <xdr:rowOff>422237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F908F1-5F31-4B00-B478-6919316276FE}"/>
            </a:ext>
          </a:extLst>
        </xdr:cNvPr>
        <xdr:cNvSpPr/>
      </xdr:nvSpPr>
      <xdr:spPr>
        <a:xfrm>
          <a:off x="13136880" y="106680"/>
          <a:ext cx="914400" cy="3765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441960</xdr:colOff>
      <xdr:row>1</xdr:row>
      <xdr:rowOff>53340</xdr:rowOff>
    </xdr:from>
    <xdr:to>
      <xdr:col>12</xdr:col>
      <xdr:colOff>137160</xdr:colOff>
      <xdr:row>1</xdr:row>
      <xdr:rowOff>429857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9AE0F8-6641-4594-9F70-A48F649A8A22}"/>
            </a:ext>
          </a:extLst>
        </xdr:cNvPr>
        <xdr:cNvSpPr/>
      </xdr:nvSpPr>
      <xdr:spPr>
        <a:xfrm>
          <a:off x="12131040" y="114300"/>
          <a:ext cx="914400" cy="3765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Resultados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286870</xdr:colOff>
      <xdr:row>1</xdr:row>
      <xdr:rowOff>44824</xdr:rowOff>
    </xdr:from>
    <xdr:to>
      <xdr:col>13</xdr:col>
      <xdr:colOff>591670</xdr:colOff>
      <xdr:row>1</xdr:row>
      <xdr:rowOff>421341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9478A1-7CD8-4DCC-B16C-9FC36C4A9D58}"/>
            </a:ext>
          </a:extLst>
        </xdr:cNvPr>
        <xdr:cNvSpPr/>
      </xdr:nvSpPr>
      <xdr:spPr>
        <a:xfrm>
          <a:off x="14711082" y="107577"/>
          <a:ext cx="914400" cy="3765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182880</xdr:colOff>
      <xdr:row>1</xdr:row>
      <xdr:rowOff>22861</xdr:rowOff>
    </xdr:from>
    <xdr:to>
      <xdr:col>13</xdr:col>
      <xdr:colOff>381000</xdr:colOff>
      <xdr:row>1</xdr:row>
      <xdr:rowOff>373381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842188-1CC6-460D-9650-D9B78CAE1630}"/>
            </a:ext>
          </a:extLst>
        </xdr:cNvPr>
        <xdr:cNvSpPr/>
      </xdr:nvSpPr>
      <xdr:spPr>
        <a:xfrm>
          <a:off x="13327380" y="83821"/>
          <a:ext cx="807720" cy="350520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60960</xdr:colOff>
      <xdr:row>1</xdr:row>
      <xdr:rowOff>15240</xdr:rowOff>
    </xdr:from>
    <xdr:to>
      <xdr:col>12</xdr:col>
      <xdr:colOff>106680</xdr:colOff>
      <xdr:row>1</xdr:row>
      <xdr:rowOff>373380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2769E63-A731-40F2-AAAF-77D821FBB075}"/>
            </a:ext>
          </a:extLst>
        </xdr:cNvPr>
        <xdr:cNvSpPr/>
      </xdr:nvSpPr>
      <xdr:spPr>
        <a:xfrm>
          <a:off x="11864340" y="76200"/>
          <a:ext cx="1386840" cy="358140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Controle</a:t>
          </a:r>
          <a:r>
            <a:rPr lang="pt-BR" sz="1100" b="0" cap="none" spc="0" baseline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 de Estoque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9</xdr:col>
      <xdr:colOff>1051560</xdr:colOff>
      <xdr:row>1</xdr:row>
      <xdr:rowOff>7621</xdr:rowOff>
    </xdr:from>
    <xdr:to>
      <xdr:col>11</xdr:col>
      <xdr:colOff>15240</xdr:colOff>
      <xdr:row>1</xdr:row>
      <xdr:rowOff>381001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987D96-1021-45F5-99D6-09141F0F52CE}"/>
            </a:ext>
          </a:extLst>
        </xdr:cNvPr>
        <xdr:cNvSpPr/>
      </xdr:nvSpPr>
      <xdr:spPr>
        <a:xfrm>
          <a:off x="10904220" y="68581"/>
          <a:ext cx="914400" cy="373380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9</xdr:col>
      <xdr:colOff>160020</xdr:colOff>
      <xdr:row>4</xdr:row>
      <xdr:rowOff>198120</xdr:rowOff>
    </xdr:from>
    <xdr:to>
      <xdr:col>9</xdr:col>
      <xdr:colOff>1249680</xdr:colOff>
      <xdr:row>5</xdr:row>
      <xdr:rowOff>220980</xdr:rowOff>
    </xdr:to>
    <xdr:sp macro="[0]!InserirCompra" textlink="">
      <xdr:nvSpPr>
        <xdr:cNvPr id="6" name="Retângulo 5">
          <a:extLst>
            <a:ext uri="{FF2B5EF4-FFF2-40B4-BE49-F238E27FC236}">
              <a16:creationId xmlns:a16="http://schemas.microsoft.com/office/drawing/2014/main" id="{539E9FFF-CF99-6573-8D10-0232D3674DB2}"/>
            </a:ext>
          </a:extLst>
        </xdr:cNvPr>
        <xdr:cNvSpPr/>
      </xdr:nvSpPr>
      <xdr:spPr>
        <a:xfrm>
          <a:off x="10012680" y="952500"/>
          <a:ext cx="1089660" cy="228600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Nova Compra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1</xdr:row>
      <xdr:rowOff>38100</xdr:rowOff>
    </xdr:from>
    <xdr:to>
      <xdr:col>14</xdr:col>
      <xdr:colOff>0</xdr:colOff>
      <xdr:row>1</xdr:row>
      <xdr:rowOff>414617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560937-A9C2-4408-A541-DDEA321E29C2}"/>
            </a:ext>
          </a:extLst>
        </xdr:cNvPr>
        <xdr:cNvSpPr/>
      </xdr:nvSpPr>
      <xdr:spPr>
        <a:xfrm>
          <a:off x="11803380" y="99060"/>
          <a:ext cx="914400" cy="3765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9</xdr:col>
      <xdr:colOff>502920</xdr:colOff>
      <xdr:row>1</xdr:row>
      <xdr:rowOff>38100</xdr:rowOff>
    </xdr:from>
    <xdr:to>
      <xdr:col>12</xdr:col>
      <xdr:colOff>228600</xdr:colOff>
      <xdr:row>1</xdr:row>
      <xdr:rowOff>426720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2880B8-544F-48D6-B2D7-A87FE07807D2}"/>
            </a:ext>
          </a:extLst>
        </xdr:cNvPr>
        <xdr:cNvSpPr/>
      </xdr:nvSpPr>
      <xdr:spPr>
        <a:xfrm>
          <a:off x="10172700" y="99060"/>
          <a:ext cx="1554480" cy="388620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Controle</a:t>
          </a:r>
          <a:r>
            <a:rPr lang="pt-BR" sz="1100" b="0" cap="none" spc="0" baseline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 Mercadorias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8</xdr:col>
      <xdr:colOff>129540</xdr:colOff>
      <xdr:row>1</xdr:row>
      <xdr:rowOff>22860</xdr:rowOff>
    </xdr:from>
    <xdr:to>
      <xdr:col>9</xdr:col>
      <xdr:colOff>434340</xdr:colOff>
      <xdr:row>1</xdr:row>
      <xdr:rowOff>437477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ECD2CE-59AF-4E46-A721-26DF137CCE09}"/>
            </a:ext>
          </a:extLst>
        </xdr:cNvPr>
        <xdr:cNvSpPr/>
      </xdr:nvSpPr>
      <xdr:spPr>
        <a:xfrm>
          <a:off x="9189720" y="83820"/>
          <a:ext cx="914400" cy="4146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548640</xdr:colOff>
      <xdr:row>27</xdr:row>
      <xdr:rowOff>0</xdr:rowOff>
    </xdr:from>
    <xdr:to>
      <xdr:col>12</xdr:col>
      <xdr:colOff>419100</xdr:colOff>
      <xdr:row>40</xdr:row>
      <xdr:rowOff>30480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2995038-BF5D-BD69-3628-03F470A6F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563880</xdr:colOff>
      <xdr:row>43</xdr:row>
      <xdr:rowOff>156210</xdr:rowOff>
    </xdr:from>
    <xdr:to>
      <xdr:col>12</xdr:col>
      <xdr:colOff>502920</xdr:colOff>
      <xdr:row>56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82F154-379C-DD6D-04BA-9EBD1A1D5D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579120</xdr:colOff>
      <xdr:row>7</xdr:row>
      <xdr:rowOff>125730</xdr:rowOff>
    </xdr:from>
    <xdr:to>
      <xdr:col>12</xdr:col>
      <xdr:colOff>449580</xdr:colOff>
      <xdr:row>23</xdr:row>
      <xdr:rowOff>121920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6C2C9F-D1E1-BC2F-236C-B6F092353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441960</xdr:colOff>
      <xdr:row>1</xdr:row>
      <xdr:rowOff>53340</xdr:rowOff>
    </xdr:from>
    <xdr:to>
      <xdr:col>18</xdr:col>
      <xdr:colOff>137160</xdr:colOff>
      <xdr:row>1</xdr:row>
      <xdr:rowOff>429857</xdr:rowOff>
    </xdr:to>
    <xdr:sp macro="" textlink="">
      <xdr:nvSpPr>
        <xdr:cNvPr id="2" name="Retângulo: Cantos Arredondados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46EE91-C18D-401B-836E-B1C187A6D1DD}"/>
            </a:ext>
          </a:extLst>
        </xdr:cNvPr>
        <xdr:cNvSpPr/>
      </xdr:nvSpPr>
      <xdr:spPr>
        <a:xfrm>
          <a:off x="13251180" y="114300"/>
          <a:ext cx="914400" cy="3765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853440</xdr:colOff>
      <xdr:row>58</xdr:row>
      <xdr:rowOff>129540</xdr:rowOff>
    </xdr:from>
    <xdr:to>
      <xdr:col>4</xdr:col>
      <xdr:colOff>1005840</xdr:colOff>
      <xdr:row>60</xdr:row>
      <xdr:rowOff>160020</xdr:rowOff>
    </xdr:to>
    <xdr:sp macro="" textlink="">
      <xdr:nvSpPr>
        <xdr:cNvPr id="3" name="Retângulo: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EAF9267-750C-BACC-4646-BB3021AFFB9F}"/>
            </a:ext>
          </a:extLst>
        </xdr:cNvPr>
        <xdr:cNvSpPr/>
      </xdr:nvSpPr>
      <xdr:spPr>
        <a:xfrm>
          <a:off x="3970020" y="1083564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2</a:t>
          </a:r>
        </a:p>
      </xdr:txBody>
    </xdr:sp>
    <xdr:clientData/>
  </xdr:twoCellAnchor>
  <xdr:twoCellAnchor>
    <xdr:from>
      <xdr:col>2</xdr:col>
      <xdr:colOff>1280160</xdr:colOff>
      <xdr:row>58</xdr:row>
      <xdr:rowOff>121920</xdr:rowOff>
    </xdr:from>
    <xdr:to>
      <xdr:col>3</xdr:col>
      <xdr:colOff>640080</xdr:colOff>
      <xdr:row>60</xdr:row>
      <xdr:rowOff>152400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561D3A-3A16-4D1E-A826-6CAE24400715}"/>
            </a:ext>
          </a:extLst>
        </xdr:cNvPr>
        <xdr:cNvSpPr/>
      </xdr:nvSpPr>
      <xdr:spPr>
        <a:xfrm>
          <a:off x="2499360" y="1082802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1</a:t>
          </a:r>
        </a:p>
      </xdr:txBody>
    </xdr:sp>
    <xdr:clientData/>
  </xdr:twoCellAnchor>
  <xdr:twoCellAnchor>
    <xdr:from>
      <xdr:col>4</xdr:col>
      <xdr:colOff>1211580</xdr:colOff>
      <xdr:row>58</xdr:row>
      <xdr:rowOff>137160</xdr:rowOff>
    </xdr:from>
    <xdr:to>
      <xdr:col>6</xdr:col>
      <xdr:colOff>502920</xdr:colOff>
      <xdr:row>60</xdr:row>
      <xdr:rowOff>167640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217174D-7C6F-49CB-A7A6-1C5AA31117BC}"/>
            </a:ext>
          </a:extLst>
        </xdr:cNvPr>
        <xdr:cNvSpPr/>
      </xdr:nvSpPr>
      <xdr:spPr>
        <a:xfrm>
          <a:off x="5433060" y="1084326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3</a:t>
          </a:r>
        </a:p>
        <a:p>
          <a:pPr algn="l"/>
          <a:endParaRPr lang="pt-BR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152400</xdr:colOff>
      <xdr:row>58</xdr:row>
      <xdr:rowOff>129540</xdr:rowOff>
    </xdr:from>
    <xdr:to>
      <xdr:col>9</xdr:col>
      <xdr:colOff>190500</xdr:colOff>
      <xdr:row>60</xdr:row>
      <xdr:rowOff>160020</xdr:rowOff>
    </xdr:to>
    <xdr:sp macro="" textlink="">
      <xdr:nvSpPr>
        <xdr:cNvPr id="9" name="Retângulo: Cantos Arredondado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3DBFF7A-FA9B-42BD-AC11-963B8802912F}"/>
            </a:ext>
          </a:extLst>
        </xdr:cNvPr>
        <xdr:cNvSpPr/>
      </xdr:nvSpPr>
      <xdr:spPr>
        <a:xfrm>
          <a:off x="6949440" y="1083564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4</a:t>
          </a:r>
        </a:p>
        <a:p>
          <a:pPr algn="l"/>
          <a:endParaRPr lang="pt-BR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594360</xdr:colOff>
      <xdr:row>1</xdr:row>
      <xdr:rowOff>30480</xdr:rowOff>
    </xdr:from>
    <xdr:to>
      <xdr:col>16</xdr:col>
      <xdr:colOff>289560</xdr:colOff>
      <xdr:row>1</xdr:row>
      <xdr:rowOff>445097</xdr:rowOff>
    </xdr:to>
    <xdr:sp macro="" textlink="">
      <xdr:nvSpPr>
        <xdr:cNvPr id="11" name="Retângulo: Cantos Arredondado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6ECD22F-5492-4523-9805-3197BA11207A}"/>
            </a:ext>
          </a:extLst>
        </xdr:cNvPr>
        <xdr:cNvSpPr/>
      </xdr:nvSpPr>
      <xdr:spPr>
        <a:xfrm>
          <a:off x="12184380" y="91440"/>
          <a:ext cx="914400" cy="414617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1280160</xdr:colOff>
      <xdr:row>61</xdr:row>
      <xdr:rowOff>76200</xdr:rowOff>
    </xdr:from>
    <xdr:to>
      <xdr:col>3</xdr:col>
      <xdr:colOff>640080</xdr:colOff>
      <xdr:row>63</xdr:row>
      <xdr:rowOff>106680</xdr:rowOff>
    </xdr:to>
    <xdr:sp macro="" textlink="">
      <xdr:nvSpPr>
        <xdr:cNvPr id="10" name="Retângulo: Cantos Arredondados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C879B4A-DFFD-4C6B-898A-57E820B1706A}"/>
            </a:ext>
          </a:extLst>
        </xdr:cNvPr>
        <xdr:cNvSpPr/>
      </xdr:nvSpPr>
      <xdr:spPr>
        <a:xfrm>
          <a:off x="2499360" y="1133094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Analise Semana 1</a:t>
          </a:r>
        </a:p>
      </xdr:txBody>
    </xdr:sp>
    <xdr:clientData/>
  </xdr:twoCellAnchor>
  <xdr:twoCellAnchor>
    <xdr:from>
      <xdr:col>3</xdr:col>
      <xdr:colOff>861060</xdr:colOff>
      <xdr:row>61</xdr:row>
      <xdr:rowOff>76200</xdr:rowOff>
    </xdr:from>
    <xdr:to>
      <xdr:col>4</xdr:col>
      <xdr:colOff>1013460</xdr:colOff>
      <xdr:row>63</xdr:row>
      <xdr:rowOff>106680</xdr:rowOff>
    </xdr:to>
    <xdr:sp macro="" textlink="">
      <xdr:nvSpPr>
        <xdr:cNvPr id="12" name="Retângulo: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E44D55F-A2A5-43CB-B4C8-6FA6F6D74F6D}"/>
            </a:ext>
          </a:extLst>
        </xdr:cNvPr>
        <xdr:cNvSpPr/>
      </xdr:nvSpPr>
      <xdr:spPr>
        <a:xfrm>
          <a:off x="3977640" y="1133094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Analise Semana 2</a:t>
          </a:r>
        </a:p>
      </xdr:txBody>
    </xdr:sp>
    <xdr:clientData/>
  </xdr:twoCellAnchor>
  <xdr:twoCellAnchor>
    <xdr:from>
      <xdr:col>4</xdr:col>
      <xdr:colOff>1219200</xdr:colOff>
      <xdr:row>61</xdr:row>
      <xdr:rowOff>91440</xdr:rowOff>
    </xdr:from>
    <xdr:to>
      <xdr:col>6</xdr:col>
      <xdr:colOff>510540</xdr:colOff>
      <xdr:row>63</xdr:row>
      <xdr:rowOff>121920</xdr:rowOff>
    </xdr:to>
    <xdr:sp macro="" textlink="">
      <xdr:nvSpPr>
        <xdr:cNvPr id="13" name="Retângulo: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253F818-8BEA-404A-8918-BD8A4F9512BE}"/>
            </a:ext>
          </a:extLst>
        </xdr:cNvPr>
        <xdr:cNvSpPr/>
      </xdr:nvSpPr>
      <xdr:spPr>
        <a:xfrm>
          <a:off x="5440680" y="1134618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Analise Semana 3</a:t>
          </a:r>
        </a:p>
      </xdr:txBody>
    </xdr:sp>
    <xdr:clientData/>
  </xdr:twoCellAnchor>
  <xdr:twoCellAnchor>
    <xdr:from>
      <xdr:col>7</xdr:col>
      <xdr:colOff>137160</xdr:colOff>
      <xdr:row>61</xdr:row>
      <xdr:rowOff>83820</xdr:rowOff>
    </xdr:from>
    <xdr:to>
      <xdr:col>9</xdr:col>
      <xdr:colOff>175260</xdr:colOff>
      <xdr:row>63</xdr:row>
      <xdr:rowOff>114300</xdr:rowOff>
    </xdr:to>
    <xdr:sp macro="" textlink="">
      <xdr:nvSpPr>
        <xdr:cNvPr id="14" name="Retângulo: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669C093-1056-43E5-B419-00B120422222}"/>
            </a:ext>
          </a:extLst>
        </xdr:cNvPr>
        <xdr:cNvSpPr/>
      </xdr:nvSpPr>
      <xdr:spPr>
        <a:xfrm>
          <a:off x="6934200" y="11338560"/>
          <a:ext cx="1257300" cy="39624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Analise Semana 4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391886</xdr:colOff>
      <xdr:row>1</xdr:row>
      <xdr:rowOff>22860</xdr:rowOff>
    </xdr:from>
    <xdr:to>
      <xdr:col>13</xdr:col>
      <xdr:colOff>1306286</xdr:colOff>
      <xdr:row>1</xdr:row>
      <xdr:rowOff>435428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4CCA17-2DFA-4322-ADD2-822DDF8A9907}"/>
            </a:ext>
          </a:extLst>
        </xdr:cNvPr>
        <xdr:cNvSpPr/>
      </xdr:nvSpPr>
      <xdr:spPr>
        <a:xfrm>
          <a:off x="14750143" y="109946"/>
          <a:ext cx="91440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12</xdr:col>
      <xdr:colOff>653143</xdr:colOff>
      <xdr:row>1</xdr:row>
      <xdr:rowOff>21772</xdr:rowOff>
    </xdr:from>
    <xdr:to>
      <xdr:col>13</xdr:col>
      <xdr:colOff>239486</xdr:colOff>
      <xdr:row>1</xdr:row>
      <xdr:rowOff>440126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6B7573-5FEA-47C4-8E02-51FA32CF4CB0}"/>
            </a:ext>
          </a:extLst>
        </xdr:cNvPr>
        <xdr:cNvSpPr/>
      </xdr:nvSpPr>
      <xdr:spPr>
        <a:xfrm>
          <a:off x="13683343" y="108858"/>
          <a:ext cx="914400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116541</xdr:colOff>
      <xdr:row>4</xdr:row>
      <xdr:rowOff>170330</xdr:rowOff>
    </xdr:from>
    <xdr:to>
      <xdr:col>13</xdr:col>
      <xdr:colOff>1362635</xdr:colOff>
      <xdr:row>6</xdr:row>
      <xdr:rowOff>152399</xdr:rowOff>
    </xdr:to>
    <xdr:sp macro="[0]!ExcluirLinha" textlink="">
      <xdr:nvSpPr>
        <xdr:cNvPr id="2" name="Retângulo 1">
          <a:extLst>
            <a:ext uri="{FF2B5EF4-FFF2-40B4-BE49-F238E27FC236}">
              <a16:creationId xmlns:a16="http://schemas.microsoft.com/office/drawing/2014/main" id="{95E72CB8-BDE6-4D44-8903-84214B497695}"/>
            </a:ext>
          </a:extLst>
        </xdr:cNvPr>
        <xdr:cNvSpPr/>
      </xdr:nvSpPr>
      <xdr:spPr>
        <a:xfrm>
          <a:off x="14469035" y="959224"/>
          <a:ext cx="1246094" cy="340657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Excluir Linha </a:t>
          </a:r>
        </a:p>
        <a:p>
          <a:pPr algn="ctr"/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13</xdr:col>
      <xdr:colOff>143435</xdr:colOff>
      <xdr:row>7</xdr:row>
      <xdr:rowOff>80682</xdr:rowOff>
    </xdr:from>
    <xdr:to>
      <xdr:col>13</xdr:col>
      <xdr:colOff>1371600</xdr:colOff>
      <xdr:row>9</xdr:row>
      <xdr:rowOff>62752</xdr:rowOff>
    </xdr:to>
    <xdr:sp macro="[0]!InserirVenda" textlink="">
      <xdr:nvSpPr>
        <xdr:cNvPr id="6" name="Retângulo 5">
          <a:extLst>
            <a:ext uri="{FF2B5EF4-FFF2-40B4-BE49-F238E27FC236}">
              <a16:creationId xmlns:a16="http://schemas.microsoft.com/office/drawing/2014/main" id="{CB8D3C68-86D4-4C7D-B3BE-FA017B1F39E9}"/>
            </a:ext>
          </a:extLst>
        </xdr:cNvPr>
        <xdr:cNvSpPr/>
      </xdr:nvSpPr>
      <xdr:spPr>
        <a:xfrm>
          <a:off x="14495929" y="1407458"/>
          <a:ext cx="1228165" cy="340659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Nova Venda</a:t>
          </a:r>
        </a:p>
      </xdr:txBody>
    </xdr:sp>
    <xdr:clientData/>
  </xdr:twoCellAnchor>
  <xdr:twoCellAnchor>
    <xdr:from>
      <xdr:col>13</xdr:col>
      <xdr:colOff>134471</xdr:colOff>
      <xdr:row>10</xdr:row>
      <xdr:rowOff>8964</xdr:rowOff>
    </xdr:from>
    <xdr:to>
      <xdr:col>13</xdr:col>
      <xdr:colOff>1362636</xdr:colOff>
      <xdr:row>11</xdr:row>
      <xdr:rowOff>170329</xdr:rowOff>
    </xdr:to>
    <xdr:sp macro="[0]!InserirProdutoNaVenda" textlink="">
      <xdr:nvSpPr>
        <xdr:cNvPr id="7" name="Retângulo 6">
          <a:extLst>
            <a:ext uri="{FF2B5EF4-FFF2-40B4-BE49-F238E27FC236}">
              <a16:creationId xmlns:a16="http://schemas.microsoft.com/office/drawing/2014/main" id="{473E4188-E546-4457-A288-7C763B62D20A}"/>
            </a:ext>
          </a:extLst>
        </xdr:cNvPr>
        <xdr:cNvSpPr/>
      </xdr:nvSpPr>
      <xdr:spPr>
        <a:xfrm>
          <a:off x="14486965" y="1873623"/>
          <a:ext cx="1228165" cy="340659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Inserir</a:t>
          </a:r>
          <a:r>
            <a:rPr lang="pt-BR" sz="1200" b="1" baseline="0">
              <a:solidFill>
                <a:schemeClr val="bg1"/>
              </a:solidFill>
              <a:latin typeface="+mj-lt"/>
            </a:rPr>
            <a:t> Produto</a:t>
          </a:r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167640</xdr:colOff>
      <xdr:row>5</xdr:row>
      <xdr:rowOff>30480</xdr:rowOff>
    </xdr:from>
    <xdr:to>
      <xdr:col>11</xdr:col>
      <xdr:colOff>205740</xdr:colOff>
      <xdr:row>7</xdr:row>
      <xdr:rowOff>15240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9EB5AE-915D-4959-B9EC-7C96FDBE08EF}"/>
            </a:ext>
          </a:extLst>
        </xdr:cNvPr>
        <xdr:cNvSpPr/>
      </xdr:nvSpPr>
      <xdr:spPr>
        <a:xfrm>
          <a:off x="10805160" y="952500"/>
          <a:ext cx="1257300" cy="37338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1</a:t>
          </a:r>
        </a:p>
      </xdr:txBody>
    </xdr:sp>
    <xdr:clientData/>
  </xdr:twoCellAnchor>
  <xdr:twoCellAnchor>
    <xdr:from>
      <xdr:col>12</xdr:col>
      <xdr:colOff>795746</xdr:colOff>
      <xdr:row>1</xdr:row>
      <xdr:rowOff>22860</xdr:rowOff>
    </xdr:from>
    <xdr:to>
      <xdr:col>13</xdr:col>
      <xdr:colOff>437606</xdr:colOff>
      <xdr:row>1</xdr:row>
      <xdr:rowOff>435428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934552-190F-43CD-BF08-C186B4DCE9B6}"/>
            </a:ext>
          </a:extLst>
        </xdr:cNvPr>
        <xdr:cNvSpPr/>
      </xdr:nvSpPr>
      <xdr:spPr>
        <a:xfrm>
          <a:off x="13033466" y="83820"/>
          <a:ext cx="76962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264523</xdr:colOff>
      <xdr:row>1</xdr:row>
      <xdr:rowOff>21772</xdr:rowOff>
    </xdr:from>
    <xdr:to>
      <xdr:col>12</xdr:col>
      <xdr:colOff>643346</xdr:colOff>
      <xdr:row>1</xdr:row>
      <xdr:rowOff>440126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3452E0-4184-4A3E-BEC4-BAE911376D04}"/>
            </a:ext>
          </a:extLst>
        </xdr:cNvPr>
        <xdr:cNvSpPr/>
      </xdr:nvSpPr>
      <xdr:spPr>
        <a:xfrm>
          <a:off x="12121243" y="82732"/>
          <a:ext cx="759823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402771</xdr:colOff>
      <xdr:row>1</xdr:row>
      <xdr:rowOff>22860</xdr:rowOff>
    </xdr:from>
    <xdr:to>
      <xdr:col>13</xdr:col>
      <xdr:colOff>1317171</xdr:colOff>
      <xdr:row>1</xdr:row>
      <xdr:rowOff>435428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D6607C-C5A5-42BE-A152-56B0704D25C7}"/>
            </a:ext>
          </a:extLst>
        </xdr:cNvPr>
        <xdr:cNvSpPr/>
      </xdr:nvSpPr>
      <xdr:spPr>
        <a:xfrm>
          <a:off x="14761028" y="109946"/>
          <a:ext cx="91440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12</xdr:col>
      <xdr:colOff>664028</xdr:colOff>
      <xdr:row>1</xdr:row>
      <xdr:rowOff>21772</xdr:rowOff>
    </xdr:from>
    <xdr:to>
      <xdr:col>13</xdr:col>
      <xdr:colOff>250371</xdr:colOff>
      <xdr:row>1</xdr:row>
      <xdr:rowOff>440126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3724DA-1621-447B-B293-3395DA092A09}"/>
            </a:ext>
          </a:extLst>
        </xdr:cNvPr>
        <xdr:cNvSpPr/>
      </xdr:nvSpPr>
      <xdr:spPr>
        <a:xfrm>
          <a:off x="13694228" y="108858"/>
          <a:ext cx="914400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125506</xdr:colOff>
      <xdr:row>5</xdr:row>
      <xdr:rowOff>26894</xdr:rowOff>
    </xdr:from>
    <xdr:to>
      <xdr:col>13</xdr:col>
      <xdr:colOff>1371600</xdr:colOff>
      <xdr:row>7</xdr:row>
      <xdr:rowOff>3200</xdr:rowOff>
    </xdr:to>
    <xdr:sp macro="[0]!ExcluirLinha" textlink="">
      <xdr:nvSpPr>
        <xdr:cNvPr id="2" name="Retângulo 1">
          <a:extLst>
            <a:ext uri="{FF2B5EF4-FFF2-40B4-BE49-F238E27FC236}">
              <a16:creationId xmlns:a16="http://schemas.microsoft.com/office/drawing/2014/main" id="{7ACD501C-2FE2-4614-998D-09AE5561B0ED}"/>
            </a:ext>
          </a:extLst>
        </xdr:cNvPr>
        <xdr:cNvSpPr/>
      </xdr:nvSpPr>
      <xdr:spPr>
        <a:xfrm>
          <a:off x="14478000" y="995082"/>
          <a:ext cx="1246094" cy="334894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Excluir Linha </a:t>
          </a:r>
        </a:p>
        <a:p>
          <a:pPr algn="ctr"/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13</xdr:col>
      <xdr:colOff>125506</xdr:colOff>
      <xdr:row>7</xdr:row>
      <xdr:rowOff>105014</xdr:rowOff>
    </xdr:from>
    <xdr:to>
      <xdr:col>13</xdr:col>
      <xdr:colOff>1353671</xdr:colOff>
      <xdr:row>9</xdr:row>
      <xdr:rowOff>75558</xdr:rowOff>
    </xdr:to>
    <xdr:sp macro="[0]!InserirVenda" textlink="">
      <xdr:nvSpPr>
        <xdr:cNvPr id="5" name="Retângulo 4">
          <a:extLst>
            <a:ext uri="{FF2B5EF4-FFF2-40B4-BE49-F238E27FC236}">
              <a16:creationId xmlns:a16="http://schemas.microsoft.com/office/drawing/2014/main" id="{FB62FDA4-C120-4A26-8EB0-A83BC751D3F0}"/>
            </a:ext>
          </a:extLst>
        </xdr:cNvPr>
        <xdr:cNvSpPr/>
      </xdr:nvSpPr>
      <xdr:spPr>
        <a:xfrm>
          <a:off x="14478000" y="1431790"/>
          <a:ext cx="1228165" cy="329133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Nova Venda</a:t>
          </a:r>
        </a:p>
      </xdr:txBody>
    </xdr:sp>
    <xdr:clientData/>
  </xdr:twoCellAnchor>
  <xdr:twoCellAnchor>
    <xdr:from>
      <xdr:col>13</xdr:col>
      <xdr:colOff>125507</xdr:colOff>
      <xdr:row>10</xdr:row>
      <xdr:rowOff>3841</xdr:rowOff>
    </xdr:from>
    <xdr:to>
      <xdr:col>13</xdr:col>
      <xdr:colOff>1353672</xdr:colOff>
      <xdr:row>11</xdr:row>
      <xdr:rowOff>153680</xdr:rowOff>
    </xdr:to>
    <xdr:sp macro="[0]!InserirProdutoNaVenda" textlink="">
      <xdr:nvSpPr>
        <xdr:cNvPr id="6" name="Retângulo 5">
          <a:extLst>
            <a:ext uri="{FF2B5EF4-FFF2-40B4-BE49-F238E27FC236}">
              <a16:creationId xmlns:a16="http://schemas.microsoft.com/office/drawing/2014/main" id="{BB497CBA-AC72-4CA6-9952-8ECC9838B387}"/>
            </a:ext>
          </a:extLst>
        </xdr:cNvPr>
        <xdr:cNvSpPr/>
      </xdr:nvSpPr>
      <xdr:spPr>
        <a:xfrm>
          <a:off x="14478001" y="1868500"/>
          <a:ext cx="1228165" cy="329133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Inserir</a:t>
          </a:r>
          <a:r>
            <a:rPr lang="pt-BR" sz="1200" b="1" baseline="0">
              <a:solidFill>
                <a:schemeClr val="bg1"/>
              </a:solidFill>
              <a:latin typeface="+mj-lt"/>
            </a:rPr>
            <a:t> Produto</a:t>
          </a:r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167640</xdr:colOff>
      <xdr:row>5</xdr:row>
      <xdr:rowOff>30480</xdr:rowOff>
    </xdr:from>
    <xdr:to>
      <xdr:col>11</xdr:col>
      <xdr:colOff>205740</xdr:colOff>
      <xdr:row>7</xdr:row>
      <xdr:rowOff>15240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29A708-EE76-46EB-A74D-3B6F2BA3C42F}"/>
            </a:ext>
          </a:extLst>
        </xdr:cNvPr>
        <xdr:cNvSpPr/>
      </xdr:nvSpPr>
      <xdr:spPr>
        <a:xfrm>
          <a:off x="10805160" y="990600"/>
          <a:ext cx="1257300" cy="37338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2</a:t>
          </a:r>
        </a:p>
        <a:p>
          <a:pPr algn="l"/>
          <a:endParaRPr lang="pt-BR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795746</xdr:colOff>
      <xdr:row>1</xdr:row>
      <xdr:rowOff>22860</xdr:rowOff>
    </xdr:from>
    <xdr:to>
      <xdr:col>13</xdr:col>
      <xdr:colOff>437606</xdr:colOff>
      <xdr:row>1</xdr:row>
      <xdr:rowOff>435428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7A4B8F-4DEE-4CC8-A0B4-1E6AEB63D98C}"/>
            </a:ext>
          </a:extLst>
        </xdr:cNvPr>
        <xdr:cNvSpPr/>
      </xdr:nvSpPr>
      <xdr:spPr>
        <a:xfrm>
          <a:off x="13033466" y="83820"/>
          <a:ext cx="76962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264523</xdr:colOff>
      <xdr:row>1</xdr:row>
      <xdr:rowOff>21772</xdr:rowOff>
    </xdr:from>
    <xdr:to>
      <xdr:col>12</xdr:col>
      <xdr:colOff>643346</xdr:colOff>
      <xdr:row>1</xdr:row>
      <xdr:rowOff>440126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97EA36-82E7-44C2-99C6-F8D291474743}"/>
            </a:ext>
          </a:extLst>
        </xdr:cNvPr>
        <xdr:cNvSpPr/>
      </xdr:nvSpPr>
      <xdr:spPr>
        <a:xfrm>
          <a:off x="12121243" y="82732"/>
          <a:ext cx="759823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413657</xdr:colOff>
      <xdr:row>1</xdr:row>
      <xdr:rowOff>22859</xdr:rowOff>
    </xdr:from>
    <xdr:to>
      <xdr:col>13</xdr:col>
      <xdr:colOff>1328057</xdr:colOff>
      <xdr:row>1</xdr:row>
      <xdr:rowOff>435427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348A1-826C-45DA-8C8E-95ED6A16BCF5}"/>
            </a:ext>
          </a:extLst>
        </xdr:cNvPr>
        <xdr:cNvSpPr/>
      </xdr:nvSpPr>
      <xdr:spPr>
        <a:xfrm>
          <a:off x="14771914" y="109945"/>
          <a:ext cx="91440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12</xdr:col>
      <xdr:colOff>674914</xdr:colOff>
      <xdr:row>1</xdr:row>
      <xdr:rowOff>21771</xdr:rowOff>
    </xdr:from>
    <xdr:to>
      <xdr:col>13</xdr:col>
      <xdr:colOff>261257</xdr:colOff>
      <xdr:row>1</xdr:row>
      <xdr:rowOff>440125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61808E-255F-4789-AAFD-09DD98EB0D69}"/>
            </a:ext>
          </a:extLst>
        </xdr:cNvPr>
        <xdr:cNvSpPr/>
      </xdr:nvSpPr>
      <xdr:spPr>
        <a:xfrm>
          <a:off x="13705114" y="108857"/>
          <a:ext cx="914400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163286</xdr:colOff>
      <xdr:row>5</xdr:row>
      <xdr:rowOff>54428</xdr:rowOff>
    </xdr:from>
    <xdr:to>
      <xdr:col>14</xdr:col>
      <xdr:colOff>26894</xdr:colOff>
      <xdr:row>7</xdr:row>
      <xdr:rowOff>19208</xdr:rowOff>
    </xdr:to>
    <xdr:sp macro="[0]!ExcluirLinha" textlink="">
      <xdr:nvSpPr>
        <xdr:cNvPr id="2" name="Retângulo 1">
          <a:extLst>
            <a:ext uri="{FF2B5EF4-FFF2-40B4-BE49-F238E27FC236}">
              <a16:creationId xmlns:a16="http://schemas.microsoft.com/office/drawing/2014/main" id="{20797EEE-72E6-4818-AC1A-C5D4602A2482}"/>
            </a:ext>
          </a:extLst>
        </xdr:cNvPr>
        <xdr:cNvSpPr/>
      </xdr:nvSpPr>
      <xdr:spPr>
        <a:xfrm>
          <a:off x="14521543" y="1045028"/>
          <a:ext cx="1246094" cy="334894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Excluir Linha </a:t>
          </a:r>
        </a:p>
        <a:p>
          <a:pPr algn="ctr"/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13</xdr:col>
      <xdr:colOff>163286</xdr:colOff>
      <xdr:row>7</xdr:row>
      <xdr:rowOff>121022</xdr:rowOff>
    </xdr:from>
    <xdr:to>
      <xdr:col>14</xdr:col>
      <xdr:colOff>8965</xdr:colOff>
      <xdr:row>9</xdr:row>
      <xdr:rowOff>80040</xdr:rowOff>
    </xdr:to>
    <xdr:sp macro="[0]!InserirVenda" textlink="">
      <xdr:nvSpPr>
        <xdr:cNvPr id="5" name="Retângulo 4">
          <a:extLst>
            <a:ext uri="{FF2B5EF4-FFF2-40B4-BE49-F238E27FC236}">
              <a16:creationId xmlns:a16="http://schemas.microsoft.com/office/drawing/2014/main" id="{7602DEA4-9FCA-4AFD-96F0-CE9309A5F26C}"/>
            </a:ext>
          </a:extLst>
        </xdr:cNvPr>
        <xdr:cNvSpPr/>
      </xdr:nvSpPr>
      <xdr:spPr>
        <a:xfrm>
          <a:off x="14521543" y="1481736"/>
          <a:ext cx="1228165" cy="329133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Nova Venda</a:t>
          </a:r>
        </a:p>
      </xdr:txBody>
    </xdr:sp>
    <xdr:clientData/>
  </xdr:twoCellAnchor>
  <xdr:twoCellAnchor>
    <xdr:from>
      <xdr:col>13</xdr:col>
      <xdr:colOff>163287</xdr:colOff>
      <xdr:row>10</xdr:row>
      <xdr:rowOff>2560</xdr:rowOff>
    </xdr:from>
    <xdr:to>
      <xdr:col>14</xdr:col>
      <xdr:colOff>8966</xdr:colOff>
      <xdr:row>11</xdr:row>
      <xdr:rowOff>146636</xdr:rowOff>
    </xdr:to>
    <xdr:sp macro="[0]!InserirProdutoNaVenda" textlink="">
      <xdr:nvSpPr>
        <xdr:cNvPr id="6" name="Retângulo 5">
          <a:extLst>
            <a:ext uri="{FF2B5EF4-FFF2-40B4-BE49-F238E27FC236}">
              <a16:creationId xmlns:a16="http://schemas.microsoft.com/office/drawing/2014/main" id="{C5A5CAB9-3A1B-4D11-965C-44922658488E}"/>
            </a:ext>
          </a:extLst>
        </xdr:cNvPr>
        <xdr:cNvSpPr/>
      </xdr:nvSpPr>
      <xdr:spPr>
        <a:xfrm>
          <a:off x="14521544" y="1918446"/>
          <a:ext cx="1228165" cy="329133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Inserir</a:t>
          </a:r>
          <a:r>
            <a:rPr lang="pt-BR" sz="1200" b="1" baseline="0">
              <a:solidFill>
                <a:schemeClr val="bg1"/>
              </a:solidFill>
              <a:latin typeface="+mj-lt"/>
            </a:rPr>
            <a:t> Produto</a:t>
          </a:r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167640</xdr:colOff>
      <xdr:row>5</xdr:row>
      <xdr:rowOff>30480</xdr:rowOff>
    </xdr:from>
    <xdr:to>
      <xdr:col>11</xdr:col>
      <xdr:colOff>205740</xdr:colOff>
      <xdr:row>7</xdr:row>
      <xdr:rowOff>15240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350F0A-D2AB-4B5B-B990-FA2FEA78D91F}"/>
            </a:ext>
          </a:extLst>
        </xdr:cNvPr>
        <xdr:cNvSpPr/>
      </xdr:nvSpPr>
      <xdr:spPr>
        <a:xfrm>
          <a:off x="10805160" y="990600"/>
          <a:ext cx="1257300" cy="37338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3</a:t>
          </a:r>
        </a:p>
      </xdr:txBody>
    </xdr:sp>
    <xdr:clientData/>
  </xdr:twoCellAnchor>
  <xdr:twoCellAnchor>
    <xdr:from>
      <xdr:col>12</xdr:col>
      <xdr:colOff>795746</xdr:colOff>
      <xdr:row>1</xdr:row>
      <xdr:rowOff>22860</xdr:rowOff>
    </xdr:from>
    <xdr:to>
      <xdr:col>13</xdr:col>
      <xdr:colOff>437606</xdr:colOff>
      <xdr:row>1</xdr:row>
      <xdr:rowOff>435428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ECA9FB-7E62-43FF-B016-3E171C725AF4}"/>
            </a:ext>
          </a:extLst>
        </xdr:cNvPr>
        <xdr:cNvSpPr/>
      </xdr:nvSpPr>
      <xdr:spPr>
        <a:xfrm>
          <a:off x="13033466" y="83820"/>
          <a:ext cx="76962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264523</xdr:colOff>
      <xdr:row>1</xdr:row>
      <xdr:rowOff>21772</xdr:rowOff>
    </xdr:from>
    <xdr:to>
      <xdr:col>12</xdr:col>
      <xdr:colOff>643346</xdr:colOff>
      <xdr:row>1</xdr:row>
      <xdr:rowOff>440126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0F9234-757D-4C95-9F65-F59DF94DC7CF}"/>
            </a:ext>
          </a:extLst>
        </xdr:cNvPr>
        <xdr:cNvSpPr/>
      </xdr:nvSpPr>
      <xdr:spPr>
        <a:xfrm>
          <a:off x="12121243" y="82732"/>
          <a:ext cx="759823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446315</xdr:colOff>
      <xdr:row>1</xdr:row>
      <xdr:rowOff>22860</xdr:rowOff>
    </xdr:from>
    <xdr:to>
      <xdr:col>13</xdr:col>
      <xdr:colOff>1360715</xdr:colOff>
      <xdr:row>1</xdr:row>
      <xdr:rowOff>435428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4DED55-506D-4627-976E-EDC42803F521}"/>
            </a:ext>
          </a:extLst>
        </xdr:cNvPr>
        <xdr:cNvSpPr/>
      </xdr:nvSpPr>
      <xdr:spPr>
        <a:xfrm>
          <a:off x="14804572" y="109946"/>
          <a:ext cx="91440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12</xdr:col>
      <xdr:colOff>707572</xdr:colOff>
      <xdr:row>1</xdr:row>
      <xdr:rowOff>21772</xdr:rowOff>
    </xdr:from>
    <xdr:to>
      <xdr:col>13</xdr:col>
      <xdr:colOff>293915</xdr:colOff>
      <xdr:row>1</xdr:row>
      <xdr:rowOff>440126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85B86-AB57-474D-BACC-543DDD6A22F7}"/>
            </a:ext>
          </a:extLst>
        </xdr:cNvPr>
        <xdr:cNvSpPr/>
      </xdr:nvSpPr>
      <xdr:spPr>
        <a:xfrm>
          <a:off x="13737772" y="108858"/>
          <a:ext cx="914400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141514</xdr:colOff>
      <xdr:row>5</xdr:row>
      <xdr:rowOff>65315</xdr:rowOff>
    </xdr:from>
    <xdr:to>
      <xdr:col>14</xdr:col>
      <xdr:colOff>5122</xdr:colOff>
      <xdr:row>7</xdr:row>
      <xdr:rowOff>30095</xdr:rowOff>
    </xdr:to>
    <xdr:sp macro="[0]!ExcluirLinha" textlink="">
      <xdr:nvSpPr>
        <xdr:cNvPr id="2" name="Retângulo 1">
          <a:extLst>
            <a:ext uri="{FF2B5EF4-FFF2-40B4-BE49-F238E27FC236}">
              <a16:creationId xmlns:a16="http://schemas.microsoft.com/office/drawing/2014/main" id="{F0CF890C-78DF-465D-A50A-CFFC0EDF6C52}"/>
            </a:ext>
          </a:extLst>
        </xdr:cNvPr>
        <xdr:cNvSpPr/>
      </xdr:nvSpPr>
      <xdr:spPr>
        <a:xfrm>
          <a:off x="14499771" y="1055915"/>
          <a:ext cx="1246094" cy="334894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Excluir Linha </a:t>
          </a:r>
        </a:p>
        <a:p>
          <a:pPr algn="ctr"/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13</xdr:col>
      <xdr:colOff>141514</xdr:colOff>
      <xdr:row>7</xdr:row>
      <xdr:rowOff>131909</xdr:rowOff>
    </xdr:from>
    <xdr:to>
      <xdr:col>13</xdr:col>
      <xdr:colOff>1369679</xdr:colOff>
      <xdr:row>9</xdr:row>
      <xdr:rowOff>90927</xdr:rowOff>
    </xdr:to>
    <xdr:sp macro="[0]!InserirVenda" textlink="">
      <xdr:nvSpPr>
        <xdr:cNvPr id="5" name="Retângulo 4">
          <a:extLst>
            <a:ext uri="{FF2B5EF4-FFF2-40B4-BE49-F238E27FC236}">
              <a16:creationId xmlns:a16="http://schemas.microsoft.com/office/drawing/2014/main" id="{C888BB4A-7346-46EC-BED9-8E38D897B8BA}"/>
            </a:ext>
          </a:extLst>
        </xdr:cNvPr>
        <xdr:cNvSpPr/>
      </xdr:nvSpPr>
      <xdr:spPr>
        <a:xfrm>
          <a:off x="14499771" y="1492623"/>
          <a:ext cx="1228165" cy="329133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Nova Venda</a:t>
          </a:r>
        </a:p>
      </xdr:txBody>
    </xdr:sp>
    <xdr:clientData/>
  </xdr:twoCellAnchor>
  <xdr:twoCellAnchor>
    <xdr:from>
      <xdr:col>13</xdr:col>
      <xdr:colOff>141515</xdr:colOff>
      <xdr:row>10</xdr:row>
      <xdr:rowOff>13447</xdr:rowOff>
    </xdr:from>
    <xdr:to>
      <xdr:col>13</xdr:col>
      <xdr:colOff>1369680</xdr:colOff>
      <xdr:row>11</xdr:row>
      <xdr:rowOff>157523</xdr:rowOff>
    </xdr:to>
    <xdr:sp macro="[0]!InserirProdutoNaVenda" textlink="">
      <xdr:nvSpPr>
        <xdr:cNvPr id="6" name="Retângulo 5">
          <a:extLst>
            <a:ext uri="{FF2B5EF4-FFF2-40B4-BE49-F238E27FC236}">
              <a16:creationId xmlns:a16="http://schemas.microsoft.com/office/drawing/2014/main" id="{39D6CAE6-787D-411B-8EF0-AAE8ECDB392F}"/>
            </a:ext>
          </a:extLst>
        </xdr:cNvPr>
        <xdr:cNvSpPr/>
      </xdr:nvSpPr>
      <xdr:spPr>
        <a:xfrm>
          <a:off x="14499772" y="1929333"/>
          <a:ext cx="1228165" cy="329133"/>
        </a:xfrm>
        <a:prstGeom prst="rect">
          <a:avLst/>
        </a:prstGeom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+mj-lt"/>
            </a:rPr>
            <a:t>Inserir</a:t>
          </a:r>
          <a:r>
            <a:rPr lang="pt-BR" sz="1200" b="1" baseline="0">
              <a:solidFill>
                <a:schemeClr val="bg1"/>
              </a:solidFill>
              <a:latin typeface="+mj-lt"/>
            </a:rPr>
            <a:t> Produto</a:t>
          </a:r>
          <a:endParaRPr lang="pt-BR" sz="1200" b="1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167640</xdr:colOff>
      <xdr:row>5</xdr:row>
      <xdr:rowOff>30480</xdr:rowOff>
    </xdr:from>
    <xdr:to>
      <xdr:col>11</xdr:col>
      <xdr:colOff>205740</xdr:colOff>
      <xdr:row>7</xdr:row>
      <xdr:rowOff>15240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4DCCBE-ADDE-4F91-ACCE-B2CF783012F3}"/>
            </a:ext>
          </a:extLst>
        </xdr:cNvPr>
        <xdr:cNvSpPr/>
      </xdr:nvSpPr>
      <xdr:spPr>
        <a:xfrm>
          <a:off x="10805160" y="990600"/>
          <a:ext cx="1257300" cy="373380"/>
        </a:xfrm>
        <a:prstGeom prst="round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50000"/>
                </a:schemeClr>
              </a:solidFill>
            </a:rPr>
            <a:t>Vendas Semana 4</a:t>
          </a:r>
        </a:p>
        <a:p>
          <a:pPr algn="l"/>
          <a:endParaRPr lang="pt-BR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795746</xdr:colOff>
      <xdr:row>1</xdr:row>
      <xdr:rowOff>22860</xdr:rowOff>
    </xdr:from>
    <xdr:to>
      <xdr:col>13</xdr:col>
      <xdr:colOff>437606</xdr:colOff>
      <xdr:row>1</xdr:row>
      <xdr:rowOff>435428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EDA9F4F-4323-4DF6-8742-D978D73595A5}"/>
            </a:ext>
          </a:extLst>
        </xdr:cNvPr>
        <xdr:cNvSpPr/>
      </xdr:nvSpPr>
      <xdr:spPr>
        <a:xfrm>
          <a:off x="13033466" y="83820"/>
          <a:ext cx="769620" cy="412568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Menu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264523</xdr:colOff>
      <xdr:row>1</xdr:row>
      <xdr:rowOff>21772</xdr:rowOff>
    </xdr:from>
    <xdr:to>
      <xdr:col>12</xdr:col>
      <xdr:colOff>643346</xdr:colOff>
      <xdr:row>1</xdr:row>
      <xdr:rowOff>440126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40D0BEA-2143-4576-A2C3-92AE77F7B93D}"/>
            </a:ext>
          </a:extLst>
        </xdr:cNvPr>
        <xdr:cNvSpPr/>
      </xdr:nvSpPr>
      <xdr:spPr>
        <a:xfrm>
          <a:off x="12121243" y="82732"/>
          <a:ext cx="759823" cy="418354"/>
        </a:xfrm>
        <a:prstGeom prst="roundRect">
          <a:avLst/>
        </a:prstGeom>
        <a:solidFill>
          <a:schemeClr val="bg1"/>
        </a:solidFill>
        <a:ln w="28575">
          <a:noFill/>
          <a:extLst>
            <a:ext uri="{C807C97D-BFC1-408E-A445-0C87EB9F89A2}">
              <ask:lineSketchStyleProps xmlns:ask="http://schemas.microsoft.com/office/drawing/2018/sketchyshapes" sd="3893430069">
                <a:custGeom>
                  <a:avLst/>
                  <a:gdLst>
                    <a:gd name="connsiteX0" fmla="*/ 0 w 1234440"/>
                    <a:gd name="connsiteY0" fmla="*/ 92712 h 556260"/>
                    <a:gd name="connsiteX1" fmla="*/ 92712 w 1234440"/>
                    <a:gd name="connsiteY1" fmla="*/ 0 h 556260"/>
                    <a:gd name="connsiteX2" fmla="*/ 606730 w 1234440"/>
                    <a:gd name="connsiteY2" fmla="*/ 0 h 556260"/>
                    <a:gd name="connsiteX3" fmla="*/ 1141728 w 1234440"/>
                    <a:gd name="connsiteY3" fmla="*/ 0 h 556260"/>
                    <a:gd name="connsiteX4" fmla="*/ 1234440 w 1234440"/>
                    <a:gd name="connsiteY4" fmla="*/ 92712 h 556260"/>
                    <a:gd name="connsiteX5" fmla="*/ 1234440 w 1234440"/>
                    <a:gd name="connsiteY5" fmla="*/ 463548 h 556260"/>
                    <a:gd name="connsiteX6" fmla="*/ 1141728 w 1234440"/>
                    <a:gd name="connsiteY6" fmla="*/ 556260 h 556260"/>
                    <a:gd name="connsiteX7" fmla="*/ 617220 w 1234440"/>
                    <a:gd name="connsiteY7" fmla="*/ 556260 h 556260"/>
                    <a:gd name="connsiteX8" fmla="*/ 92712 w 1234440"/>
                    <a:gd name="connsiteY8" fmla="*/ 556260 h 556260"/>
                    <a:gd name="connsiteX9" fmla="*/ 0 w 1234440"/>
                    <a:gd name="connsiteY9" fmla="*/ 463548 h 556260"/>
                    <a:gd name="connsiteX10" fmla="*/ 0 w 1234440"/>
                    <a:gd name="connsiteY10" fmla="*/ 92712 h 55626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</a:cxnLst>
                  <a:rect l="l" t="t" r="r" b="b"/>
                  <a:pathLst>
                    <a:path w="1234440" h="556260" fill="none" extrusionOk="0">
                      <a:moveTo>
                        <a:pt x="0" y="92712"/>
                      </a:moveTo>
                      <a:cubicBezTo>
                        <a:pt x="-1997" y="36587"/>
                        <a:pt x="45023" y="3889"/>
                        <a:pt x="92712" y="0"/>
                      </a:cubicBezTo>
                      <a:cubicBezTo>
                        <a:pt x="233784" y="12803"/>
                        <a:pt x="492878" y="16413"/>
                        <a:pt x="606730" y="0"/>
                      </a:cubicBezTo>
                      <a:cubicBezTo>
                        <a:pt x="720582" y="-16413"/>
                        <a:pt x="932906" y="-15104"/>
                        <a:pt x="1141728" y="0"/>
                      </a:cubicBezTo>
                      <a:cubicBezTo>
                        <a:pt x="1205063" y="697"/>
                        <a:pt x="1240450" y="49939"/>
                        <a:pt x="1234440" y="92712"/>
                      </a:cubicBezTo>
                      <a:cubicBezTo>
                        <a:pt x="1236962" y="275599"/>
                        <a:pt x="1229184" y="364104"/>
                        <a:pt x="1234440" y="463548"/>
                      </a:cubicBezTo>
                      <a:cubicBezTo>
                        <a:pt x="1238275" y="518151"/>
                        <a:pt x="1196075" y="548420"/>
                        <a:pt x="1141728" y="556260"/>
                      </a:cubicBezTo>
                      <a:cubicBezTo>
                        <a:pt x="903650" y="561936"/>
                        <a:pt x="789214" y="536091"/>
                        <a:pt x="617220" y="556260"/>
                      </a:cubicBezTo>
                      <a:cubicBezTo>
                        <a:pt x="445226" y="576429"/>
                        <a:pt x="204177" y="579329"/>
                        <a:pt x="92712" y="556260"/>
                      </a:cubicBezTo>
                      <a:cubicBezTo>
                        <a:pt x="41503" y="557479"/>
                        <a:pt x="-6464" y="519416"/>
                        <a:pt x="0" y="463548"/>
                      </a:cubicBezTo>
                      <a:cubicBezTo>
                        <a:pt x="-17119" y="363094"/>
                        <a:pt x="-3004" y="179822"/>
                        <a:pt x="0" y="92712"/>
                      </a:cubicBezTo>
                      <a:close/>
                    </a:path>
                    <a:path w="1234440" h="556260" stroke="0" extrusionOk="0">
                      <a:moveTo>
                        <a:pt x="0" y="92712"/>
                      </a:moveTo>
                      <a:cubicBezTo>
                        <a:pt x="1108" y="54238"/>
                        <a:pt x="42997" y="8649"/>
                        <a:pt x="92712" y="0"/>
                      </a:cubicBezTo>
                      <a:cubicBezTo>
                        <a:pt x="248270" y="5434"/>
                        <a:pt x="429171" y="-15903"/>
                        <a:pt x="596240" y="0"/>
                      </a:cubicBezTo>
                      <a:cubicBezTo>
                        <a:pt x="763309" y="15903"/>
                        <a:pt x="1024481" y="19823"/>
                        <a:pt x="1141728" y="0"/>
                      </a:cubicBezTo>
                      <a:cubicBezTo>
                        <a:pt x="1182438" y="2785"/>
                        <a:pt x="1231718" y="48806"/>
                        <a:pt x="1234440" y="92712"/>
                      </a:cubicBezTo>
                      <a:cubicBezTo>
                        <a:pt x="1222142" y="207231"/>
                        <a:pt x="1244292" y="343507"/>
                        <a:pt x="1234440" y="463548"/>
                      </a:cubicBezTo>
                      <a:cubicBezTo>
                        <a:pt x="1241324" y="514223"/>
                        <a:pt x="1199004" y="545076"/>
                        <a:pt x="1141728" y="556260"/>
                      </a:cubicBezTo>
                      <a:cubicBezTo>
                        <a:pt x="1012147" y="546916"/>
                        <a:pt x="830134" y="569645"/>
                        <a:pt x="627710" y="556260"/>
                      </a:cubicBezTo>
                      <a:cubicBezTo>
                        <a:pt x="425286" y="542875"/>
                        <a:pt x="298088" y="538629"/>
                        <a:pt x="92712" y="556260"/>
                      </a:cubicBezTo>
                      <a:cubicBezTo>
                        <a:pt x="39112" y="549074"/>
                        <a:pt x="2372" y="509497"/>
                        <a:pt x="0" y="463548"/>
                      </a:cubicBezTo>
                      <a:cubicBezTo>
                        <a:pt x="-220" y="303506"/>
                        <a:pt x="1782" y="187257"/>
                        <a:pt x="0" y="92712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>
                <a:solidFill>
                  <a:schemeClr val="bg2">
                    <a:lumMod val="10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/>
            </a:rPr>
            <a:t>Vendas</a:t>
          </a: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ctr"/>
          <a:endParaRPr lang="pt-BR" sz="1100" b="0" cap="none" spc="0">
            <a:ln w="0">
              <a:solidFill>
                <a:schemeClr val="bg2">
                  <a:lumMod val="10000"/>
                </a:schemeClr>
              </a:solidFill>
            </a:ln>
            <a:solidFill>
              <a:schemeClr val="tx1">
                <a:lumMod val="95000"/>
                <a:lumOff val="5000"/>
              </a:schemeClr>
            </a:solidFill>
            <a:effectLst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abriel Brazolotto Parisi" id="{DD708F48-30E9-47D0-BF67-FA84A8A9FB4C}" userId="S::gabriel.parisi@cvale.com.br::e053bd2c-afcd-461c-8d80-2a041569c14d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Brazolotto Parisi" refreshedDate="45390.636687500002" createdVersion="8" refreshedVersion="8" minRefreshableVersion="3" recordCount="26" xr:uid="{2CAEA731-BB89-4518-AE1D-E798E2663785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 count="13"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Data" numFmtId="14">
      <sharedItems containsSemiMixedTypes="0" containsNonDate="0" containsDate="1" containsString="0" minDate="2015-07-02T00:00:00" maxDate="2015-07-06T00:00:00"/>
    </cacheField>
    <cacheField name="Produto" numFmtId="0">
      <sharedItems containsBlank="1" count="14">
        <m/>
        <s v="Caixa de Fósforo"/>
        <s v="Alface"/>
        <s v="Cerveja"/>
        <s v="Cenoura"/>
        <s v="Bala"/>
        <s v="Refrigerante"/>
        <s v="Peixe"/>
        <s v="Vagem"/>
        <s v="Queijo"/>
        <s v="Feijão"/>
        <s v="Arroz"/>
        <s v="Couve"/>
        <s v="Amendoim"/>
      </sharedItems>
    </cacheField>
    <cacheField name="Medida" numFmtId="0">
      <sharedItems/>
    </cacheField>
    <cacheField name="Quantidade" numFmtId="0">
      <sharedItems containsString="0" containsBlank="1" containsNumber="1" minValue="1" maxValue="24"/>
    </cacheField>
    <cacheField name="Preço Unitário" numFmtId="44">
      <sharedItems containsMixedTypes="1" containsNumber="1" minValue="0.79" maxValue="25.9" count="14">
        <s v="0"/>
        <n v="0.79"/>
        <n v="2.99"/>
        <n v="2.19"/>
        <n v="3.99"/>
        <n v="1.99"/>
        <n v="2.39"/>
        <n v="23.9"/>
        <n v="9.58"/>
        <n v="25.9"/>
        <n v="4.28"/>
        <n v="2.4900000000000002"/>
        <n v="2.6"/>
        <n v="1.1499999999999999"/>
      </sharedItems>
    </cacheField>
    <cacheField name="Subtotal" numFmtId="44">
      <sharedItems containsSemiMixedTypes="0" containsString="0" containsNumber="1" minValue="0" maxValue="119.5"/>
    </cacheField>
    <cacheField name="Desconto" numFmtId="10">
      <sharedItems containsString="0" containsBlank="1" containsNumber="1" minValue="0" maxValue="0.1"/>
    </cacheField>
    <cacheField name="Entrega" numFmtId="0">
      <sharedItems count="5">
        <s v="Zona Sul"/>
        <s v="Loja"/>
        <s v="Centro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" maxValue="119.5" count="24">
        <n v="0"/>
        <n v="0.79"/>
        <n v="29.601000000000003"/>
        <n v="59.06"/>
        <n v="2.19"/>
        <n v="46.400000000000006"/>
        <n v="11.94"/>
        <n v="17.255000000000003"/>
        <n v="119.5"/>
        <n v="19.16"/>
        <n v="38.849999999999994"/>
        <n v="23.62"/>
        <n v="50.3"/>
        <n v="48.8"/>
        <n v="1.58"/>
        <n v="14.940000000000001"/>
        <n v="26.28"/>
        <n v="15.47"/>
        <n v="4.9800000000000004"/>
        <n v="18.950000000000003"/>
        <n v="23.6"/>
        <n v="6.99"/>
        <n v="3.4499999999999997"/>
        <n v="1.99"/>
      </sharedItems>
    </cacheField>
    <cacheField name="Total Por Cliente" numFmtId="44">
      <sharedItems containsMixedTypes="1" containsNumber="1" minValue="2.19" maxValue="201.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Brazolotto Parisi" refreshedDate="45390.732963541668" createdVersion="8" refreshedVersion="8" minRefreshableVersion="3" recordCount="25" xr:uid="{B8A305EA-9CAE-4ACE-B5B4-B895071FCCDA}">
  <cacheSource type="worksheet">
    <worksheetSource name="Tabela512"/>
  </cacheSource>
  <cacheFields count="12">
    <cacheField name="Id da venda" numFmtId="0">
      <sharedItems containsSemiMixedTypes="0" containsString="0" containsNumber="1" containsInteger="1" minValue="1" maxValue="11111"/>
    </cacheField>
    <cacheField name="Data" numFmtId="14">
      <sharedItems containsSemiMixedTypes="0" containsNonDate="0" containsDate="1" containsString="0" minDate="2015-07-02T00:00:00" maxDate="2015-07-06T00:00:00"/>
    </cacheField>
    <cacheField name="Produto" numFmtId="0">
      <sharedItems count="13">
        <s v="Amendoim"/>
        <s v="Caixa de Fósforo"/>
        <s v="Alface"/>
        <s v="Cerveja"/>
        <s v="Feijão"/>
        <s v="Refrigerante"/>
        <s v="Pão de Forma"/>
        <s v="Vagem"/>
        <s v="Queijo"/>
        <s v="Carne"/>
        <s v="Bala"/>
        <s v="Arroz"/>
        <s v="Couv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95.4"/>
    </cacheField>
    <cacheField name="Desconto" numFmtId="10">
      <sharedItems containsString="0" containsBlank="1" containsNumber="1" minValue="0" maxValue="0.03"/>
    </cacheField>
    <cacheField name="Entrega" numFmtId="0">
      <sharedItems count="5">
        <s v="Zona Sul"/>
        <s v="Loja"/>
        <s v="Centro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95.4"/>
    </cacheField>
    <cacheField name="Total Por Cliente" numFmtId="44">
      <sharedItems containsMixedTypes="1" containsNumber="1" minValue="2.19" maxValue="123.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Brazolotto Parisi" refreshedDate="45390.733729513886" createdVersion="8" refreshedVersion="8" minRefreshableVersion="3" recordCount="25" xr:uid="{E11784F6-58CC-4BEA-9F81-EE5F8CDBF74D}">
  <cacheSource type="worksheet">
    <worksheetSource name="Tabela51011"/>
  </cacheSource>
  <cacheFields count="12">
    <cacheField name="Id da venda" numFmtId="0">
      <sharedItems containsString="0" containsBlank="1" containsNumber="1" containsInteger="1" minValue="1" maxValue="13"/>
    </cacheField>
    <cacheField name="Data" numFmtId="14">
      <sharedItems containsNonDate="0" containsDate="1" containsString="0" containsBlank="1" minDate="2015-07-02T00:00:00" maxDate="2015-07-06T00:00:00"/>
    </cacheField>
    <cacheField name="Produto" numFmtId="0">
      <sharedItems containsBlank="1" count="15">
        <s v="Amendoim"/>
        <s v="Caixa de Fósforo"/>
        <s v="Alface"/>
        <s v="Cerveja"/>
        <s v="Feijão"/>
        <s v="Refrigerante"/>
        <s v="Pão de Forma"/>
        <s v="Vagem"/>
        <s v="Queijo"/>
        <s v="Carne"/>
        <s v="Bala"/>
        <s v="Couve"/>
        <s v="Chocolate"/>
        <m/>
        <s v="Arroz"/>
      </sharedItems>
    </cacheField>
    <cacheField name="Medida" numFmtId="0">
      <sharedItems/>
    </cacheField>
    <cacheField name="Quantidade" numFmtId="0">
      <sharedItems containsString="0" containsBlank="1" containsNumber="1" minValue="1" maxValue="24"/>
    </cacheField>
    <cacheField name="Preço Unitário" numFmtId="44">
      <sharedItems containsString="0" containsBlank="1" containsNumber="1" minValue="0.79" maxValue="25.9"/>
    </cacheField>
    <cacheField name="Subtotal" numFmtId="44">
      <sharedItems containsString="0" containsBlank="1" containsNumber="1" minValue="0.79" maxValue="95.4"/>
    </cacheField>
    <cacheField name="Desconto" numFmtId="10">
      <sharedItems containsString="0" containsBlank="1" containsNumber="1" minValue="0" maxValue="0.03"/>
    </cacheField>
    <cacheField name="Entrega" numFmtId="0">
      <sharedItems containsBlank="1" count="5">
        <s v="Zona Sul"/>
        <s v="Loja"/>
        <s v="Zona Norte"/>
        <m/>
        <s v="Centro"/>
      </sharedItems>
    </cacheField>
    <cacheField name="Valor de Entrega" numFmtId="44">
      <sharedItems containsString="0" containsBlank="1" containsNumber="1" minValue="0" maxValue="6.5"/>
    </cacheField>
    <cacheField name="Total" numFmtId="44">
      <sharedItems containsString="0" containsBlank="1" containsNumber="1" minValue="0.79" maxValue="95.4"/>
    </cacheField>
    <cacheField name="Total Por Cliente" numFmtId="44">
      <sharedItems containsBlank="1" containsMixedTypes="1" containsNumber="1" minValue="2.19" maxValue="123.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Brazolotto Parisi" refreshedDate="45390.734372685183" createdVersion="8" refreshedVersion="8" minRefreshableVersion="3" recordCount="4" xr:uid="{D8FDEA31-F9A9-455B-890B-130673FDE649}">
  <cacheSource type="worksheet">
    <worksheetSource name="Tabela510"/>
  </cacheSource>
  <cacheFields count="12">
    <cacheField name="Id da venda" numFmtId="0">
      <sharedItems containsSemiMixedTypes="0" containsString="0" containsNumber="1" containsInteger="1" minValue="0" maxValue="5"/>
    </cacheField>
    <cacheField name="Data" numFmtId="14">
      <sharedItems containsSemiMixedTypes="0" containsNonDate="0" containsDate="1" containsString="0" minDate="2024-04-08T00:00:00" maxDate="2024-04-09T00:00:00"/>
    </cacheField>
    <cacheField name="Produto" numFmtId="0">
      <sharedItems containsBlank="1" count="3">
        <s v="Arroz"/>
        <s v="Tomate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15" maxValue="100"/>
    </cacheField>
    <cacheField name="Preço Unitário" numFmtId="44">
      <sharedItems containsMixedTypes="1" containsNumber="1" minValue="2.4900000000000002" maxValue="5.82"/>
    </cacheField>
    <cacheField name="Subtotal" numFmtId="44">
      <sharedItems containsMixedTypes="1" containsNumber="1" minValue="37.35" maxValue="582"/>
    </cacheField>
    <cacheField name="Desconto" numFmtId="10">
      <sharedItems containsNonDate="0" containsString="0" containsBlank="1"/>
    </cacheField>
    <cacheField name="Entrega" numFmtId="0">
      <sharedItems containsBlank="1" count="3">
        <s v="Zona Sul"/>
        <s v="Loja"/>
        <m/>
      </sharedItems>
    </cacheField>
    <cacheField name="Valor de Entrega" numFmtId="44">
      <sharedItems containsMixedTypes="1" containsNumber="1" minValue="0" maxValue="6.5"/>
    </cacheField>
    <cacheField name="Total" numFmtId="44">
      <sharedItems containsMixedTypes="1" containsNumber="1" minValue="43.85" maxValue="582"/>
    </cacheField>
    <cacheField name="Total Por Cliente" numFmtId="44">
      <sharedItems containsSemiMixedTypes="0" containsString="0" containsNumber="1" minValue="0" maxValue="5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d v="2015-07-05T00:00:00"/>
    <x v="0"/>
    <s v="-"/>
    <m/>
    <x v="0"/>
    <n v="0"/>
    <m/>
    <x v="0"/>
    <n v="0"/>
    <x v="0"/>
    <s v=""/>
  </r>
  <r>
    <x v="0"/>
    <d v="2015-07-05T00:00:00"/>
    <x v="0"/>
    <s v="-"/>
    <m/>
    <x v="0"/>
    <n v="0"/>
    <m/>
    <x v="0"/>
    <n v="0"/>
    <x v="0"/>
    <s v=""/>
  </r>
  <r>
    <x v="0"/>
    <d v="2015-07-05T00:00:00"/>
    <x v="1"/>
    <s v="Pacote"/>
    <n v="1"/>
    <x v="1"/>
    <n v="0.79"/>
    <n v="0"/>
    <x v="0"/>
    <n v="0"/>
    <x v="1"/>
    <s v=""/>
  </r>
  <r>
    <x v="0"/>
    <d v="2015-07-05T00:00:00"/>
    <x v="2"/>
    <s v="Unidade"/>
    <n v="10"/>
    <x v="2"/>
    <n v="29.900000000000002"/>
    <n v="0.01"/>
    <x v="0"/>
    <n v="0"/>
    <x v="2"/>
    <s v=""/>
  </r>
  <r>
    <x v="0"/>
    <d v="2015-07-05T00:00:00"/>
    <x v="3"/>
    <s v="Lata"/>
    <n v="24"/>
    <x v="3"/>
    <n v="52.56"/>
    <m/>
    <x v="0"/>
    <n v="6.5"/>
    <x v="3"/>
    <n v="89.451000000000008"/>
  </r>
  <r>
    <x v="1"/>
    <d v="2015-07-04T00:00:00"/>
    <x v="3"/>
    <s v="Lata"/>
    <n v="1"/>
    <x v="3"/>
    <n v="2.19"/>
    <m/>
    <x v="1"/>
    <n v="0"/>
    <x v="4"/>
    <n v="2.19"/>
  </r>
  <r>
    <x v="2"/>
    <d v="2015-07-04T00:00:00"/>
    <x v="4"/>
    <s v="Kg"/>
    <n v="10"/>
    <x v="4"/>
    <n v="39.900000000000006"/>
    <m/>
    <x v="0"/>
    <n v="6.5"/>
    <x v="5"/>
    <n v="46.400000000000006"/>
  </r>
  <r>
    <x v="3"/>
    <d v="2015-07-04T00:00:00"/>
    <x v="5"/>
    <s v="Pacote"/>
    <n v="6"/>
    <x v="5"/>
    <n v="11.94"/>
    <m/>
    <x v="2"/>
    <n v="0"/>
    <x v="6"/>
    <s v=""/>
  </r>
  <r>
    <x v="3"/>
    <d v="2015-07-04T00:00:00"/>
    <x v="6"/>
    <s v="Litro"/>
    <n v="5"/>
    <x v="6"/>
    <n v="11.950000000000001"/>
    <n v="0.1"/>
    <x v="0"/>
    <n v="6.5"/>
    <x v="7"/>
    <n v="29.195"/>
  </r>
  <r>
    <x v="4"/>
    <d v="2015-07-03T00:00:00"/>
    <x v="7"/>
    <s v="Kg"/>
    <n v="5"/>
    <x v="7"/>
    <n v="119.5"/>
    <m/>
    <x v="3"/>
    <n v="0"/>
    <x v="8"/>
    <s v=""/>
  </r>
  <r>
    <x v="4"/>
    <d v="2015-07-03T00:00:00"/>
    <x v="8"/>
    <s v="Kg"/>
    <n v="2"/>
    <x v="8"/>
    <n v="19.16"/>
    <m/>
    <x v="3"/>
    <n v="0"/>
    <x v="9"/>
    <s v=""/>
  </r>
  <r>
    <x v="4"/>
    <d v="2015-07-03T00:00:00"/>
    <x v="9"/>
    <s v="Kg"/>
    <n v="1.5"/>
    <x v="9"/>
    <n v="38.849999999999994"/>
    <m/>
    <x v="3"/>
    <n v="0"/>
    <x v="10"/>
    <s v=""/>
  </r>
  <r>
    <x v="4"/>
    <d v="2015-07-03T00:00:00"/>
    <x v="10"/>
    <s v="Kg"/>
    <n v="4"/>
    <x v="10"/>
    <n v="17.12"/>
    <m/>
    <x v="3"/>
    <n v="6.5"/>
    <x v="11"/>
    <n v="201.13"/>
  </r>
  <r>
    <x v="5"/>
    <d v="2015-07-03T00:00:00"/>
    <x v="3"/>
    <s v="Lata"/>
    <n v="20"/>
    <x v="3"/>
    <n v="43.8"/>
    <m/>
    <x v="3"/>
    <n v="6.5"/>
    <x v="12"/>
    <n v="50.3"/>
  </r>
  <r>
    <x v="6"/>
    <d v="2015-07-03T00:00:00"/>
    <x v="3"/>
    <s v="Lata"/>
    <n v="20"/>
    <x v="3"/>
    <n v="43.8"/>
    <m/>
    <x v="2"/>
    <n v="5"/>
    <x v="13"/>
    <n v="48.8"/>
  </r>
  <r>
    <x v="7"/>
    <d v="2015-07-03T00:00:00"/>
    <x v="1"/>
    <s v="Pacote"/>
    <n v="2"/>
    <x v="1"/>
    <n v="1.58"/>
    <m/>
    <x v="1"/>
    <n v="0"/>
    <x v="14"/>
    <s v=""/>
  </r>
  <r>
    <x v="7"/>
    <d v="2015-07-03T00:00:00"/>
    <x v="11"/>
    <s v="Kg"/>
    <n v="6"/>
    <x v="11"/>
    <n v="14.940000000000001"/>
    <m/>
    <x v="1"/>
    <n v="0"/>
    <x v="15"/>
    <s v=""/>
  </r>
  <r>
    <x v="7"/>
    <d v="2015-07-03T00:00:00"/>
    <x v="3"/>
    <s v="Lata"/>
    <n v="12"/>
    <x v="3"/>
    <n v="26.28"/>
    <m/>
    <x v="1"/>
    <n v="0"/>
    <x v="16"/>
    <n v="42.800000000000004"/>
  </r>
  <r>
    <x v="8"/>
    <d v="2015-07-02T00:00:00"/>
    <x v="2"/>
    <s v="Unidade"/>
    <n v="3"/>
    <x v="2"/>
    <n v="8.9700000000000006"/>
    <m/>
    <x v="0"/>
    <n v="6.5"/>
    <x v="17"/>
    <n v="15.47"/>
  </r>
  <r>
    <x v="9"/>
    <d v="2015-07-02T00:00:00"/>
    <x v="11"/>
    <s v="Kg"/>
    <n v="2"/>
    <x v="11"/>
    <n v="4.9800000000000004"/>
    <m/>
    <x v="3"/>
    <n v="0"/>
    <x v="18"/>
    <n v="23.930000000000003"/>
  </r>
  <r>
    <x v="9"/>
    <d v="2015-07-02T00:00:00"/>
    <x v="11"/>
    <s v="Kg"/>
    <n v="5"/>
    <x v="11"/>
    <n v="12.450000000000001"/>
    <m/>
    <x v="3"/>
    <n v="6.5"/>
    <x v="19"/>
    <n v="23.930000000000003"/>
  </r>
  <r>
    <x v="10"/>
    <d v="2015-07-02T00:00:00"/>
    <x v="12"/>
    <s v="Unidade"/>
    <n v="6"/>
    <x v="12"/>
    <n v="15.600000000000001"/>
    <m/>
    <x v="4"/>
    <n v="8"/>
    <x v="20"/>
    <n v="23.6"/>
  </r>
  <r>
    <x v="11"/>
    <d v="2015-07-02T00:00:00"/>
    <x v="5"/>
    <s v="Pacote"/>
    <n v="1"/>
    <x v="5"/>
    <n v="1.99"/>
    <m/>
    <x v="2"/>
    <n v="5"/>
    <x v="21"/>
    <n v="6.99"/>
  </r>
  <r>
    <x v="12"/>
    <d v="2015-07-02T00:00:00"/>
    <x v="11"/>
    <s v="Kg"/>
    <n v="2"/>
    <x v="11"/>
    <n v="4.9800000000000004"/>
    <m/>
    <x v="1"/>
    <n v="0"/>
    <x v="18"/>
    <s v=""/>
  </r>
  <r>
    <x v="12"/>
    <d v="2015-07-02T00:00:00"/>
    <x v="13"/>
    <s v="Pacote"/>
    <n v="3"/>
    <x v="13"/>
    <n v="3.4499999999999997"/>
    <m/>
    <x v="1"/>
    <n v="0"/>
    <x v="22"/>
    <s v=""/>
  </r>
  <r>
    <x v="12"/>
    <d v="2015-07-02T00:00:00"/>
    <x v="5"/>
    <s v="Pacote"/>
    <n v="1"/>
    <x v="5"/>
    <n v="1.99"/>
    <m/>
    <x v="1"/>
    <n v="0"/>
    <x v="23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d v="2015-07-05T00:00:00"/>
    <x v="0"/>
    <s v="Pacote"/>
    <n v="10"/>
    <n v="1.1499999999999999"/>
    <n v="11.5"/>
    <n v="0.03"/>
    <x v="0"/>
    <n v="0"/>
    <n v="11.154999999999999"/>
    <s v=""/>
  </r>
  <r>
    <n v="13"/>
    <d v="2015-07-05T00:00:00"/>
    <x v="1"/>
    <s v="Pacote"/>
    <n v="1"/>
    <n v="0.79"/>
    <n v="0.79"/>
    <n v="0"/>
    <x v="0"/>
    <n v="0"/>
    <n v="0.79"/>
    <s v=""/>
  </r>
  <r>
    <n v="13"/>
    <d v="2015-07-05T00:00:00"/>
    <x v="2"/>
    <s v="Unidade"/>
    <n v="10"/>
    <n v="2.99"/>
    <n v="29.900000000000002"/>
    <n v="0.01"/>
    <x v="0"/>
    <n v="0"/>
    <n v="29.601000000000003"/>
    <s v=""/>
  </r>
  <r>
    <n v="13"/>
    <d v="2015-07-05T00:00:00"/>
    <x v="3"/>
    <s v="Lata"/>
    <n v="24"/>
    <n v="2.19"/>
    <n v="52.56"/>
    <m/>
    <x v="0"/>
    <n v="6.5"/>
    <n v="59.06"/>
    <n v="100.60600000000001"/>
  </r>
  <r>
    <n v="12"/>
    <d v="2015-07-04T00:00:00"/>
    <x v="3"/>
    <s v="Lata"/>
    <n v="1"/>
    <n v="2.19"/>
    <n v="2.19"/>
    <m/>
    <x v="1"/>
    <n v="0"/>
    <n v="2.19"/>
    <n v="2.19"/>
  </r>
  <r>
    <n v="11"/>
    <d v="2015-07-04T00:00:00"/>
    <x v="3"/>
    <s v="Lata"/>
    <n v="10"/>
    <n v="2.19"/>
    <n v="21.9"/>
    <m/>
    <x v="1"/>
    <n v="0"/>
    <n v="21.9"/>
    <n v="21.9"/>
  </r>
  <r>
    <n v="10"/>
    <d v="2015-07-04T00:00:00"/>
    <x v="4"/>
    <s v="Kg"/>
    <n v="6"/>
    <n v="4.28"/>
    <n v="25.68"/>
    <m/>
    <x v="1"/>
    <n v="0"/>
    <n v="25.68"/>
    <s v=""/>
  </r>
  <r>
    <n v="10"/>
    <d v="2015-07-04T00:00:00"/>
    <x v="5"/>
    <s v="Litro"/>
    <n v="4"/>
    <n v="2.39"/>
    <n v="9.56"/>
    <m/>
    <x v="1"/>
    <n v="0"/>
    <n v="9.56"/>
    <n v="35.24"/>
  </r>
  <r>
    <n v="9"/>
    <d v="2015-07-03T00:00:00"/>
    <x v="6"/>
    <s v="Unidade"/>
    <n v="5"/>
    <n v="2.89"/>
    <n v="14.450000000000001"/>
    <m/>
    <x v="2"/>
    <n v="0"/>
    <n v="14.450000000000001"/>
    <s v=""/>
  </r>
  <r>
    <n v="9"/>
    <d v="2015-07-03T00:00:00"/>
    <x v="7"/>
    <s v="Kg"/>
    <n v="2"/>
    <n v="9.58"/>
    <n v="19.16"/>
    <m/>
    <x v="2"/>
    <n v="0"/>
    <n v="19.16"/>
    <s v=""/>
  </r>
  <r>
    <n v="9"/>
    <d v="2015-07-03T00:00:00"/>
    <x v="8"/>
    <s v="Kg"/>
    <n v="1.5"/>
    <n v="25.9"/>
    <n v="38.849999999999994"/>
    <m/>
    <x v="2"/>
    <n v="0"/>
    <n v="38.849999999999994"/>
    <s v=""/>
  </r>
  <r>
    <n v="9"/>
    <d v="2015-07-03T00:00:00"/>
    <x v="4"/>
    <s v="Kg"/>
    <n v="4"/>
    <n v="4.28"/>
    <n v="17.12"/>
    <m/>
    <x v="2"/>
    <n v="5"/>
    <n v="22.12"/>
    <n v="94.58"/>
  </r>
  <r>
    <n v="8"/>
    <d v="2015-07-03T00:00:00"/>
    <x v="3"/>
    <s v="Lata"/>
    <n v="20"/>
    <n v="2.19"/>
    <n v="43.8"/>
    <m/>
    <x v="0"/>
    <n v="6.5"/>
    <n v="50.3"/>
    <n v="50.3"/>
  </r>
  <r>
    <n v="7"/>
    <d v="2015-07-03T00:00:00"/>
    <x v="3"/>
    <s v="Lata"/>
    <n v="20"/>
    <n v="2.19"/>
    <n v="43.8"/>
    <m/>
    <x v="1"/>
    <n v="0"/>
    <n v="43.8"/>
    <n v="43.8"/>
  </r>
  <r>
    <n v="6"/>
    <d v="2015-07-03T00:00:00"/>
    <x v="1"/>
    <s v="Pacote"/>
    <n v="2"/>
    <n v="0.79"/>
    <n v="1.58"/>
    <m/>
    <x v="1"/>
    <n v="0"/>
    <n v="1.58"/>
    <s v=""/>
  </r>
  <r>
    <n v="6"/>
    <d v="2015-07-03T00:00:00"/>
    <x v="9"/>
    <s v="Kg"/>
    <n v="6"/>
    <n v="15.9"/>
    <n v="95.4"/>
    <m/>
    <x v="1"/>
    <n v="0"/>
    <n v="95.4"/>
    <s v=""/>
  </r>
  <r>
    <n v="6"/>
    <d v="2015-07-03T00:00:00"/>
    <x v="3"/>
    <s v="Lata"/>
    <n v="12"/>
    <n v="2.19"/>
    <n v="26.28"/>
    <m/>
    <x v="1"/>
    <n v="0"/>
    <n v="26.28"/>
    <n v="123.26"/>
  </r>
  <r>
    <n v="5"/>
    <d v="2015-07-02T00:00:00"/>
    <x v="2"/>
    <s v="Unidade"/>
    <n v="3"/>
    <n v="2.99"/>
    <n v="8.9700000000000006"/>
    <m/>
    <x v="0"/>
    <n v="6.5"/>
    <n v="15.47"/>
    <n v="15.47"/>
  </r>
  <r>
    <n v="4"/>
    <d v="2015-07-02T00:00:00"/>
    <x v="10"/>
    <s v="Pacote"/>
    <n v="2"/>
    <n v="1.99"/>
    <n v="3.98"/>
    <m/>
    <x v="3"/>
    <n v="6.5"/>
    <n v="10.48"/>
    <n v="29.430000000000003"/>
  </r>
  <r>
    <n v="4"/>
    <d v="2015-07-02T00:00:00"/>
    <x v="11"/>
    <s v="Kg"/>
    <n v="5"/>
    <n v="2.4900000000000002"/>
    <n v="12.450000000000001"/>
    <m/>
    <x v="3"/>
    <n v="6.5"/>
    <n v="18.950000000000003"/>
    <n v="29.430000000000003"/>
  </r>
  <r>
    <n v="3"/>
    <d v="2015-07-02T00:00:00"/>
    <x v="12"/>
    <s v="Unidade"/>
    <n v="6"/>
    <n v="2.6"/>
    <n v="15.600000000000001"/>
    <m/>
    <x v="4"/>
    <n v="8"/>
    <n v="23.6"/>
    <n v="23.6"/>
  </r>
  <r>
    <n v="2"/>
    <d v="2015-07-02T00:00:00"/>
    <x v="10"/>
    <s v="Pacote"/>
    <n v="1"/>
    <n v="1.99"/>
    <n v="1.99"/>
    <m/>
    <x v="2"/>
    <n v="5"/>
    <n v="6.99"/>
    <n v="6.99"/>
  </r>
  <r>
    <n v="1"/>
    <d v="2015-07-02T00:00:00"/>
    <x v="11"/>
    <s v="Kg"/>
    <n v="2"/>
    <n v="2.4900000000000002"/>
    <n v="4.9800000000000004"/>
    <m/>
    <x v="1"/>
    <n v="0"/>
    <n v="4.9800000000000004"/>
    <n v="6.9700000000000006"/>
  </r>
  <r>
    <n v="11111"/>
    <d v="2015-07-02T00:00:00"/>
    <x v="0"/>
    <s v="Pacote"/>
    <n v="3"/>
    <n v="1.1499999999999999"/>
    <n v="3.4499999999999997"/>
    <m/>
    <x v="2"/>
    <n v="5"/>
    <n v="8.4499999999999993"/>
    <n v="8.4499999999999993"/>
  </r>
  <r>
    <n v="1"/>
    <d v="2015-07-02T00:00:00"/>
    <x v="10"/>
    <s v="Pacote"/>
    <n v="1"/>
    <n v="1.99"/>
    <n v="1.99"/>
    <m/>
    <x v="1"/>
    <n v="0"/>
    <n v="1.99"/>
    <n v="6.970000000000000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d v="2015-07-05T00:00:00"/>
    <x v="0"/>
    <s v="Pacote"/>
    <n v="10"/>
    <n v="1.1499999999999999"/>
    <n v="11.5"/>
    <n v="0.03"/>
    <x v="0"/>
    <n v="0"/>
    <n v="11.154999999999999"/>
    <s v=""/>
  </r>
  <r>
    <n v="13"/>
    <d v="2015-07-05T00:00:00"/>
    <x v="1"/>
    <s v="Pacote"/>
    <n v="1"/>
    <n v="0.79"/>
    <n v="0.79"/>
    <n v="0"/>
    <x v="0"/>
    <n v="0"/>
    <n v="0.79"/>
    <s v=""/>
  </r>
  <r>
    <n v="13"/>
    <d v="2015-07-05T00:00:00"/>
    <x v="2"/>
    <s v="Unidade"/>
    <n v="10"/>
    <n v="2.99"/>
    <n v="29.900000000000002"/>
    <n v="0.01"/>
    <x v="0"/>
    <n v="0"/>
    <n v="29.601000000000003"/>
    <s v=""/>
  </r>
  <r>
    <n v="13"/>
    <d v="2015-07-05T00:00:00"/>
    <x v="3"/>
    <s v="Lata"/>
    <n v="24"/>
    <n v="2.19"/>
    <n v="52.56"/>
    <m/>
    <x v="0"/>
    <n v="6.5"/>
    <n v="59.06"/>
    <n v="100.60600000000001"/>
  </r>
  <r>
    <n v="12"/>
    <d v="2015-07-04T00:00:00"/>
    <x v="3"/>
    <s v="Lata"/>
    <n v="1"/>
    <n v="2.19"/>
    <n v="2.19"/>
    <m/>
    <x v="1"/>
    <n v="0"/>
    <n v="2.19"/>
    <n v="2.19"/>
  </r>
  <r>
    <n v="11"/>
    <d v="2015-07-04T00:00:00"/>
    <x v="3"/>
    <s v="Lata"/>
    <n v="10"/>
    <n v="2.19"/>
    <n v="21.9"/>
    <m/>
    <x v="1"/>
    <n v="0"/>
    <n v="21.9"/>
    <n v="21.9"/>
  </r>
  <r>
    <n v="10"/>
    <d v="2015-07-04T00:00:00"/>
    <x v="4"/>
    <s v="Kg"/>
    <n v="6"/>
    <n v="4.28"/>
    <n v="25.68"/>
    <m/>
    <x v="1"/>
    <n v="0"/>
    <n v="25.68"/>
    <s v=""/>
  </r>
  <r>
    <n v="10"/>
    <d v="2015-07-04T00:00:00"/>
    <x v="5"/>
    <s v="Litro"/>
    <n v="4"/>
    <n v="2.39"/>
    <n v="9.56"/>
    <m/>
    <x v="1"/>
    <n v="0"/>
    <n v="9.56"/>
    <n v="35.24"/>
  </r>
  <r>
    <n v="9"/>
    <d v="2015-07-03T00:00:00"/>
    <x v="6"/>
    <s v="Unidade"/>
    <n v="5"/>
    <n v="2.89"/>
    <n v="14.450000000000001"/>
    <m/>
    <x v="1"/>
    <n v="0"/>
    <n v="14.450000000000001"/>
    <s v=""/>
  </r>
  <r>
    <n v="9"/>
    <d v="2015-07-03T00:00:00"/>
    <x v="7"/>
    <s v="Kg"/>
    <n v="2"/>
    <n v="9.58"/>
    <n v="19.16"/>
    <m/>
    <x v="1"/>
    <n v="0"/>
    <n v="19.16"/>
    <s v=""/>
  </r>
  <r>
    <n v="9"/>
    <d v="2015-07-03T00:00:00"/>
    <x v="8"/>
    <s v="Kg"/>
    <n v="1.5"/>
    <n v="25.9"/>
    <n v="38.849999999999994"/>
    <m/>
    <x v="1"/>
    <n v="0"/>
    <n v="38.849999999999994"/>
    <s v=""/>
  </r>
  <r>
    <n v="9"/>
    <d v="2015-07-03T00:00:00"/>
    <x v="4"/>
    <s v="Kg"/>
    <n v="4"/>
    <n v="4.28"/>
    <n v="17.12"/>
    <m/>
    <x v="1"/>
    <n v="0"/>
    <n v="17.12"/>
    <n v="89.58"/>
  </r>
  <r>
    <n v="8"/>
    <d v="2015-07-03T00:00:00"/>
    <x v="3"/>
    <s v="Lata"/>
    <n v="20"/>
    <n v="2.19"/>
    <n v="43.8"/>
    <m/>
    <x v="0"/>
    <n v="6.5"/>
    <n v="50.3"/>
    <n v="50.3"/>
  </r>
  <r>
    <n v="7"/>
    <d v="2015-07-03T00:00:00"/>
    <x v="3"/>
    <s v="Lata"/>
    <n v="20"/>
    <n v="2.19"/>
    <n v="43.8"/>
    <m/>
    <x v="1"/>
    <n v="0"/>
    <n v="43.8"/>
    <n v="43.8"/>
  </r>
  <r>
    <n v="6"/>
    <d v="2015-07-03T00:00:00"/>
    <x v="1"/>
    <s v="Pacote"/>
    <n v="2"/>
    <n v="0.79"/>
    <n v="1.58"/>
    <m/>
    <x v="1"/>
    <n v="0"/>
    <n v="1.58"/>
    <s v=""/>
  </r>
  <r>
    <n v="6"/>
    <d v="2015-07-03T00:00:00"/>
    <x v="9"/>
    <s v="Kg"/>
    <n v="6"/>
    <n v="15.9"/>
    <n v="95.4"/>
    <m/>
    <x v="1"/>
    <n v="0"/>
    <n v="95.4"/>
    <s v=""/>
  </r>
  <r>
    <n v="6"/>
    <d v="2015-07-03T00:00:00"/>
    <x v="3"/>
    <s v="Lata"/>
    <n v="12"/>
    <n v="2.19"/>
    <n v="26.28"/>
    <m/>
    <x v="1"/>
    <n v="0"/>
    <n v="26.28"/>
    <n v="123.26"/>
  </r>
  <r>
    <n v="5"/>
    <d v="2015-07-02T00:00:00"/>
    <x v="2"/>
    <s v="Unidade"/>
    <n v="3"/>
    <n v="2.99"/>
    <n v="8.9700000000000006"/>
    <m/>
    <x v="0"/>
    <n v="6.5"/>
    <n v="15.47"/>
    <n v="15.47"/>
  </r>
  <r>
    <n v="4"/>
    <d v="2015-07-02T00:00:00"/>
    <x v="10"/>
    <s v="Pacote"/>
    <n v="2"/>
    <n v="1.99"/>
    <n v="3.98"/>
    <m/>
    <x v="2"/>
    <n v="6.5"/>
    <n v="10.48"/>
    <n v="10.48"/>
  </r>
  <r>
    <m/>
    <m/>
    <x v="11"/>
    <s v="Unidade"/>
    <m/>
    <m/>
    <m/>
    <m/>
    <x v="3"/>
    <m/>
    <m/>
    <m/>
  </r>
  <r>
    <n v="3"/>
    <d v="2015-07-02T00:00:00"/>
    <x v="12"/>
    <s v="Barra"/>
    <m/>
    <m/>
    <m/>
    <m/>
    <x v="3"/>
    <m/>
    <m/>
    <m/>
  </r>
  <r>
    <m/>
    <m/>
    <x v="13"/>
    <s v="-"/>
    <m/>
    <m/>
    <m/>
    <m/>
    <x v="3"/>
    <m/>
    <m/>
    <m/>
  </r>
  <r>
    <n v="1"/>
    <d v="2015-07-02T00:00:00"/>
    <x v="14"/>
    <s v="Kg"/>
    <n v="2"/>
    <n v="2.4900000000000002"/>
    <n v="4.9800000000000004"/>
    <m/>
    <x v="4"/>
    <n v="5"/>
    <n v="9.98"/>
    <n v="9.98"/>
  </r>
  <r>
    <m/>
    <m/>
    <x v="13"/>
    <s v="-"/>
    <m/>
    <m/>
    <m/>
    <m/>
    <x v="3"/>
    <m/>
    <m/>
    <m/>
  </r>
  <r>
    <m/>
    <m/>
    <x v="13"/>
    <s v="-"/>
    <m/>
    <m/>
    <m/>
    <m/>
    <x v="3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d v="2024-04-08T00:00:00"/>
    <x v="0"/>
    <s v="Kg"/>
    <n v="15"/>
    <n v="2.4900000000000002"/>
    <n v="37.35"/>
    <m/>
    <x v="0"/>
    <n v="6.5"/>
    <n v="43.85"/>
    <n v="43.85"/>
  </r>
  <r>
    <n v="0"/>
    <d v="2024-04-08T00:00:00"/>
    <x v="1"/>
    <s v="Kg"/>
    <n v="100"/>
    <n v="5.82"/>
    <n v="582"/>
    <m/>
    <x v="1"/>
    <n v="0"/>
    <n v="582"/>
    <n v="582"/>
  </r>
  <r>
    <n v="5"/>
    <d v="2024-04-08T00:00:00"/>
    <x v="2"/>
    <s v="-"/>
    <m/>
    <s v="-"/>
    <s v="-"/>
    <m/>
    <x v="2"/>
    <s v="-"/>
    <s v=""/>
    <n v="0"/>
  </r>
  <r>
    <n v="1"/>
    <d v="2024-04-08T00:00:00"/>
    <x v="2"/>
    <s v="-"/>
    <m/>
    <s v="-"/>
    <s v="-"/>
    <m/>
    <x v="2"/>
    <s v="-"/>
    <s v=""/>
    <n v="43.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6C15B0-0AAB-41AB-AD85-3C72AB7658E5}" name="Tabela dinâmica3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7:I13" firstHeaderRow="0" firstDataRow="1" firstDataCol="1"/>
  <pivotFields count="12">
    <pivotField showAll="0">
      <items count="14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4" showAll="0"/>
    <pivotField axis="axisRow" showAll="0">
      <items count="15">
        <item x="2"/>
        <item x="13"/>
        <item x="11"/>
        <item x="5"/>
        <item x="1"/>
        <item x="4"/>
        <item x="3"/>
        <item x="12"/>
        <item x="10"/>
        <item x="7"/>
        <item x="9"/>
        <item x="6"/>
        <item x="8"/>
        <item x="0"/>
        <item t="default"/>
      </items>
    </pivotField>
    <pivotField showAll="0"/>
    <pivotField dataField="1" showAll="0"/>
    <pivotField showAll="0"/>
    <pivotField numFmtId="44" showAll="0"/>
    <pivotField showAll="0"/>
    <pivotField axis="axisRow" showAll="0">
      <items count="6">
        <item sd="0" x="2"/>
        <item sd="0" x="1"/>
        <item sd="0" x="3"/>
        <item sd="0" x="4"/>
        <item sd="0" x="0"/>
        <item t="default"/>
      </items>
    </pivotField>
    <pivotField dataField="1" numFmtId="44" showAll="0"/>
    <pivotField dataField="1" numFmtId="44" showAll="0">
      <items count="25">
        <item x="0"/>
        <item x="1"/>
        <item x="14"/>
        <item x="23"/>
        <item x="4"/>
        <item x="22"/>
        <item x="18"/>
        <item x="21"/>
        <item x="6"/>
        <item x="15"/>
        <item x="17"/>
        <item x="7"/>
        <item x="19"/>
        <item x="9"/>
        <item x="20"/>
        <item x="11"/>
        <item x="16"/>
        <item x="2"/>
        <item x="10"/>
        <item x="5"/>
        <item x="13"/>
        <item x="12"/>
        <item x="3"/>
        <item x="8"/>
        <item t="default"/>
      </items>
    </pivotField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e Entrega" fld="9" baseField="8" baseItem="0" numFmtId="44"/>
    <dataField name="Soma de Quantidade" fld="4" baseField="0" baseItem="0"/>
    <dataField name="Soma de Total" fld="10" baseField="8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87251D-D81B-4390-81F1-A0DB14E79262}" name="Tabela dinâmica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7:D22" firstHeaderRow="0" firstDataRow="1" firstDataCol="1"/>
  <pivotFields count="12">
    <pivotField showAll="0"/>
    <pivotField numFmtId="14" showAll="0"/>
    <pivotField axis="axisRow" showAll="0">
      <items count="15">
        <item x="2"/>
        <item x="13"/>
        <item x="11"/>
        <item x="5"/>
        <item x="1"/>
        <item x="4"/>
        <item x="3"/>
        <item x="12"/>
        <item x="10"/>
        <item x="7"/>
        <item x="9"/>
        <item x="6"/>
        <item x="8"/>
        <item x="0"/>
        <item t="default"/>
      </items>
    </pivotField>
    <pivotField showAll="0"/>
    <pivotField dataField="1" showAll="0"/>
    <pivotField dataField="1" showAll="0">
      <items count="15">
        <item x="1"/>
        <item x="13"/>
        <item x="5"/>
        <item x="3"/>
        <item x="6"/>
        <item x="11"/>
        <item x="12"/>
        <item x="2"/>
        <item x="4"/>
        <item x="10"/>
        <item x="8"/>
        <item x="7"/>
        <item x="9"/>
        <item x="0"/>
        <item t="default"/>
      </items>
    </pivotField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2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otal" fld="10" baseField="2" baseItem="2" numFmtId="44"/>
    <dataField name="Média de Preço Unitário" fld="5" subtotal="average" baseField="2" baseItem="0" numFmtId="44"/>
  </dataFields>
  <formats count="6">
    <format dxfId="6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3">
      <pivotArea outline="0" fieldPosition="0">
        <references count="1">
          <reference field="4294967294" count="1">
            <x v="1"/>
          </reference>
        </references>
      </pivotArea>
    </format>
    <format dxfId="62">
      <pivotArea collapsedLevelsAreSubtotals="1" fieldPosition="0">
        <references count="1">
          <reference field="2" count="0"/>
        </references>
      </pivotArea>
    </format>
    <format dxfId="61">
      <pivotArea collapsedLevelsAreSubtotals="1" fieldPosition="0">
        <references count="1">
          <reference field="2" count="0"/>
        </references>
      </pivotArea>
    </format>
    <format dxfId="60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3C3B48-8DF4-414F-9E8A-F9C7C5A78E06}" name="Tabela dinâ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7:D10" firstHeaderRow="0" firstDataRow="1" firstDataCol="1"/>
  <pivotFields count="12">
    <pivotField showAll="0"/>
    <pivotField numFmtId="14" showAll="0"/>
    <pivotField axis="axisRow" showAll="0">
      <items count="4">
        <item x="0"/>
        <item h="1" x="2"/>
        <item x="1"/>
        <item t="default"/>
      </items>
    </pivotField>
    <pivotField showAll="0"/>
    <pivotField dataField="1" showAll="0"/>
    <pivotField dataField="1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2"/>
  </rowFields>
  <rowItems count="3">
    <i>
      <x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otal" fld="10" baseField="2" baseItem="2" numFmtId="44"/>
    <dataField name="Média de Preço Unitário" fld="5" subtotal="average" baseField="2" baseItem="0" numFmtId="44"/>
  </dataFields>
  <formats count="6">
    <format dxfId="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outline="0" fieldPosition="0">
        <references count="1">
          <reference field="4294967294" count="1">
            <x v="1"/>
          </reference>
        </references>
      </pivotArea>
    </format>
    <format dxfId="42">
      <pivotArea collapsedLevelsAreSubtotals="1" fieldPosition="0">
        <references count="1">
          <reference field="2" count="0"/>
        </references>
      </pivotArea>
    </format>
    <format dxfId="41">
      <pivotArea collapsedLevelsAreSubtotals="1" fieldPosition="0">
        <references count="1">
          <reference field="2" count="0"/>
        </references>
      </pivotArea>
    </format>
    <format dxfId="40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006C4-F2D5-4276-8DDD-F3CF68B1BC84}" name="Tabela dinâ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7:I12" firstHeaderRow="0" firstDataRow="1" firstDataCol="1"/>
  <pivotFields count="12">
    <pivotField showAll="0"/>
    <pivotField numFmtId="14" showAll="0"/>
    <pivotField axis="axisRow" showAll="0">
      <items count="4">
        <item x="0"/>
        <item x="2"/>
        <item x="1"/>
        <item t="default"/>
      </items>
    </pivotField>
    <pivotField showAll="0"/>
    <pivotField dataField="1" showAll="0"/>
    <pivotField showAll="0"/>
    <pivotField numFmtId="44" showAll="0"/>
    <pivotField showAll="0"/>
    <pivotField axis="axisRow" showAll="0">
      <items count="4">
        <item sd="0" x="1"/>
        <item sd="0" x="0"/>
        <item x="2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e Entrega" fld="9" baseField="8" baseItem="0" numFmtId="44"/>
    <dataField name="Soma de Quantidade" fld="4" baseField="0" baseItem="0"/>
    <dataField name="Soma de Total" fld="10" baseField="8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68D11C-E835-48F0-A523-9F0ED9EB2C3B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7:I16" firstHeaderRow="0" firstDataRow="1" firstDataCol="1"/>
  <pivotFields count="12">
    <pivotField showAll="0"/>
    <pivotField numFmtId="14" showAll="0"/>
    <pivotField axis="axisRow" showAll="0">
      <items count="16">
        <item x="2"/>
        <item x="0"/>
        <item x="14"/>
        <item x="10"/>
        <item x="1"/>
        <item x="3"/>
        <item x="11"/>
        <item x="4"/>
        <item x="8"/>
        <item x="5"/>
        <item x="7"/>
        <item x="13"/>
        <item x="6"/>
        <item x="9"/>
        <item x="12"/>
        <item t="default"/>
      </items>
    </pivotField>
    <pivotField showAll="0"/>
    <pivotField dataField="1" showAll="0"/>
    <pivotField showAll="0"/>
    <pivotField numFmtId="44" showAll="0"/>
    <pivotField showAll="0"/>
    <pivotField axis="axisRow" showAll="0">
      <items count="6">
        <item sd="0" x="4"/>
        <item sd="0" x="1"/>
        <item sd="0" x="2"/>
        <item sd="0" x="0"/>
        <item x="3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9">
    <i>
      <x/>
    </i>
    <i>
      <x v="1"/>
    </i>
    <i>
      <x v="2"/>
    </i>
    <i>
      <x v="3"/>
    </i>
    <i>
      <x v="4"/>
    </i>
    <i r="1">
      <x v="6"/>
    </i>
    <i r="1">
      <x v="11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e Entrega" fld="9" baseField="8" baseItem="0" numFmtId="44"/>
    <dataField name="Soma de Quantidade" fld="4" baseField="0" baseItem="0"/>
    <dataField name="Soma de Total" fld="10" baseField="8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99D1F-EED8-4F7F-BCCA-F77F545B7C32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7:D23" firstHeaderRow="0" firstDataRow="1" firstDataCol="1"/>
  <pivotFields count="12">
    <pivotField showAll="0"/>
    <pivotField numFmtId="14" showAll="0"/>
    <pivotField axis="axisRow" showAll="0">
      <items count="16">
        <item x="2"/>
        <item x="0"/>
        <item x="14"/>
        <item x="10"/>
        <item x="1"/>
        <item x="3"/>
        <item x="11"/>
        <item x="4"/>
        <item x="8"/>
        <item x="5"/>
        <item x="7"/>
        <item x="13"/>
        <item x="6"/>
        <item x="9"/>
        <item x="12"/>
        <item t="default"/>
      </items>
    </pivotField>
    <pivotField showAll="0"/>
    <pivotField dataField="1" showAll="0"/>
    <pivotField dataField="1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otal" fld="10" baseField="2" baseItem="2" numFmtId="44"/>
    <dataField name="Média de Preço Unitário" fld="5" subtotal="average" baseField="2" baseItem="0" numFmtId="44"/>
  </dataFields>
  <formats count="6"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3">
      <pivotArea outline="0" fieldPosition="0">
        <references count="1">
          <reference field="4294967294" count="1">
            <x v="1"/>
          </reference>
        </references>
      </pivotArea>
    </format>
    <format dxfId="22">
      <pivotArea collapsedLevelsAreSubtotals="1" fieldPosition="0">
        <references count="1">
          <reference field="2" count="0"/>
        </references>
      </pivotArea>
    </format>
    <format dxfId="21">
      <pivotArea collapsedLevelsAreSubtotals="1" fieldPosition="0">
        <references count="1">
          <reference field="2" count="0"/>
        </references>
      </pivotArea>
    </format>
    <format dxfId="20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C4E347-3D85-4C29-B07E-87227F604283}" name="Tabela dinâmica3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7:I13" firstHeaderRow="0" firstDataRow="1" firstDataCol="1"/>
  <pivotFields count="12">
    <pivotField showAll="0"/>
    <pivotField numFmtId="14" showAll="0"/>
    <pivotField axis="axisRow" showAll="0">
      <items count="14">
        <item x="2"/>
        <item x="0"/>
        <item x="11"/>
        <item x="10"/>
        <item x="1"/>
        <item x="3"/>
        <item x="12"/>
        <item x="4"/>
        <item x="8"/>
        <item x="5"/>
        <item x="7"/>
        <item x="6"/>
        <item x="9"/>
        <item t="default"/>
      </items>
    </pivotField>
    <pivotField showAll="0"/>
    <pivotField dataField="1" showAll="0"/>
    <pivotField showAll="0"/>
    <pivotField numFmtId="44" showAll="0"/>
    <pivotField showAll="0"/>
    <pivotField axis="axisRow" showAll="0">
      <items count="6">
        <item sd="0" x="2"/>
        <item sd="0" x="1"/>
        <item sd="0" x="3"/>
        <item sd="0" x="4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e Entrega" fld="9" baseField="8" baseItem="0" numFmtId="44"/>
    <dataField name="Soma de Quantidade" fld="4" baseField="0" baseItem="0"/>
    <dataField name="Soma de Total" fld="10" baseField="8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5E84A7-00AA-4F81-9D5C-B1FCFDBBCF29}" name="Tabela dinâ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7:D21" firstHeaderRow="0" firstDataRow="1" firstDataCol="1"/>
  <pivotFields count="12">
    <pivotField showAll="0"/>
    <pivotField numFmtId="14" showAll="0"/>
    <pivotField axis="axisRow" showAll="0">
      <items count="14">
        <item x="2"/>
        <item x="0"/>
        <item x="11"/>
        <item x="10"/>
        <item x="1"/>
        <item x="3"/>
        <item x="12"/>
        <item x="4"/>
        <item x="8"/>
        <item x="5"/>
        <item x="7"/>
        <item x="6"/>
        <item x="9"/>
        <item t="default"/>
      </items>
    </pivotField>
    <pivotField showAll="0"/>
    <pivotField dataField="1" showAll="0"/>
    <pivotField dataField="1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otal" fld="10" baseField="2" baseItem="2" numFmtId="44"/>
    <dataField name="Média de Preço Unitário" fld="5" subtotal="average" baseField="2" baseItem="0" numFmtId="44"/>
  </dataFields>
  <formats count="6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collapsedLevelsAreSubtotals="1" fieldPosition="0">
        <references count="1">
          <reference field="2" count="0"/>
        </references>
      </pivotArea>
    </format>
    <format dxfId="1">
      <pivotArea collapsedLevelsAreSubtotals="1" fieldPosition="0">
        <references count="1">
          <reference field="2" count="0"/>
        </references>
      </pivotArea>
    </format>
    <format dxfId="0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35436E-4487-4BFC-961B-4DCF5E4D15DA}" name="Tabela1" displayName="Tabela1" ref="B6:G31" totalsRowShown="0">
  <autoFilter ref="B6:G31" xr:uid="{E835436E-4487-4BFC-961B-4DCF5E4D15DA}"/>
  <tableColumns count="6">
    <tableColumn id="1" xr3:uid="{6BC524D2-FF3C-4C76-A571-703257A0612C}" name="Despesa de Funcionamento "/>
    <tableColumn id="2" xr3:uid="{D24A1E89-366A-4367-8F8E-B1893A36FD1F}" name="Itens despesa"/>
    <tableColumn id="3" xr3:uid="{CDB5F910-D11B-4329-9116-2FBF5CDBB9B9}" name="Data"/>
    <tableColumn id="4" xr3:uid="{FC6FE525-AE86-448D-8E29-8D0F93CC00B8}" name="Observação"/>
    <tableColumn id="5" xr3:uid="{1F65273C-C14E-499A-A40E-44284DED5D8F}" name="Valor Intermediário" dataDxfId="102"/>
    <tableColumn id="6" xr3:uid="{B45ED24B-928D-4E72-A515-B4648FFA07AE}" name="Valor final" dataDxfId="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D08C2A-4C17-4D82-9538-31E8CA5E1B85}" name="Tabela3" displayName="Tabela3" ref="B5:E16" totalsRowShown="0">
  <autoFilter ref="B5:E16" xr:uid="{28D08C2A-4C17-4D82-9538-31E8CA5E1B85}"/>
  <tableColumns count="4">
    <tableColumn id="1" xr3:uid="{BD5BB377-CC6F-4DB0-9878-A8BE0F2F7AB4}" name="Investimento"/>
    <tableColumn id="2" xr3:uid="{17DC9EAE-2315-485B-9542-0A6282F6F596}" name="Data" dataDxfId="100"/>
    <tableColumn id="3" xr3:uid="{A020FD0C-1A49-4EC0-AA7C-51C55F814F04}" name="Descrição" dataDxfId="99"/>
    <tableColumn id="4" xr3:uid="{0EF3A785-A439-4A99-89AB-79091544D6B6}" name="Valor" dataDxfId="9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A5FD61-2D7B-402D-B57C-B2E358C6988E}" name="Tabela2" displayName="Tabela2" ref="B6:I29" totalsRowShown="0">
  <autoFilter ref="B6:I29" xr:uid="{27A5FD61-2D7B-402D-B57C-B2E358C6988E}"/>
  <tableColumns count="8">
    <tableColumn id="1" xr3:uid="{BC3EF970-EA3A-4FDC-ABEE-FF00043194D7}" name="Data Compra" dataDxfId="97"/>
    <tableColumn id="2" xr3:uid="{0F55B02F-A579-4293-BE87-131621CD4F22}" name="Mercadoria"/>
    <tableColumn id="3" xr3:uid="{533B78C1-99AC-41E5-98CA-C2F0FD1CBBEA}" name="Fornecedor"/>
    <tableColumn id="4" xr3:uid="{6B661385-71A0-447C-9221-90B231DF4A9D}" name="Medida" dataDxfId="96">
      <calculatedColumnFormula>IFERROR(VLOOKUP(Tabela2[[#This Row],[Mercadoria]],cálculos!$O$4:$R$27,4,FALSE),"")</calculatedColumnFormula>
    </tableColumn>
    <tableColumn id="5" xr3:uid="{40FB7A1B-17BB-4EED-A3FC-22CACFE0B8B9}" name="Quantidade" dataDxfId="95"/>
    <tableColumn id="6" xr3:uid="{55892F5E-FDAA-494F-B5B1-AEBB95E260F4}" name="Valor Unitario" dataDxfId="94">
      <calculatedColumnFormula>IFERROR(VLOOKUP(Tabela2[[#This Row],[Mercadoria]],cálculos!$O$3:$R$27,2,FALSE),"")</calculatedColumnFormula>
    </tableColumn>
    <tableColumn id="7" xr3:uid="{A12EC8E5-3792-471B-8BD1-0D55CDF94BDF}" name="Desconto" dataDxfId="93"/>
    <tableColumn id="8" xr3:uid="{6A4FCC9D-DC1A-47AC-AF86-B73D0785AAB4}" name="Valor Pago" dataDxfId="92">
      <calculatedColumnFormula>IFERROR(Tabela2[[#This Row],[Valor Unitario]]*Tabela2[[#This Row],[Quantidade]]*(1-Tabela2[[#This Row],[Desconto]]),"0")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55D845-BC72-4D95-B569-5F143CA71435}" name="Tabela4" displayName="Tabela4" ref="B5:H29" totalsRowShown="0" headerRowDxfId="88" dataDxfId="87">
  <autoFilter ref="B5:H29" xr:uid="{2855D845-BC72-4D95-B569-5F143CA71435}"/>
  <tableColumns count="7">
    <tableColumn id="1" xr3:uid="{F96A9D46-7D94-40DE-B80B-446C41182CCB}" name="Produto" dataDxfId="86"/>
    <tableColumn id="2" xr3:uid="{64F0A12E-C58F-4FDE-9648-D6E3589E5603}" name="Data da Última Compra " dataDxfId="85">
      <calculatedColumnFormula>IFERROR(INDEX(Tabela2[],MATCH(Tabela4[[#This Row],[Produto]],Tabela2[Mercadoria],0),1),"-")</calculatedColumnFormula>
    </tableColumn>
    <tableColumn id="3" xr3:uid="{E444F090-38F3-4240-A159-AD1EC323CC0A}" name="Quantidade Inicial" dataDxfId="84">
      <calculatedColumnFormula>IFERROR(SUMIF(#REF!,Tabela4[[#This Row],[Produto]],#REF!),"0")</calculatedColumnFormula>
    </tableColumn>
    <tableColumn id="4" xr3:uid="{195DA99B-80D9-4384-9A01-A3DDC61B45B6}" name="Quantidade Comprada" dataDxfId="83">
      <calculatedColumnFormula>IFERROR(SUMIF(Tabela2[Mercadoria],Tabela4[[#This Row],[Produto]],Tabela2[Quantidade]),"0")</calculatedColumnFormula>
    </tableColumn>
    <tableColumn id="5" xr3:uid="{D3D5E3B3-147E-49BE-9A51-F9D15072B123}" name="Quantidade Vendida" dataDxfId="82">
      <calculatedColumnFormula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calculatedColumnFormula>
    </tableColumn>
    <tableColumn id="6" xr3:uid="{B96BBD11-69CA-41B5-B6E1-B361B8AF7B5A}" name="Quantidade Atual" dataDxfId="81">
      <calculatedColumnFormula>Tabela4[[#This Row],[Quantidade Inicial]]+Tabela4[[#This Row],[Quantidade Comprada]]-Tabela4[[#This Row],[Quantidade Vendida]]</calculatedColumnFormula>
    </tableColumn>
    <tableColumn id="7" xr3:uid="{67A45577-E9ED-4C1F-9748-B2DD3C519EF0}" name="Situação" dataDxfId="80">
      <calculatedColumnFormula>IF(Tabela4[[#This Row],[Quantidade Atual]]&lt;200,IF(Tabela4[[#This Row],[Quantidade Atual]]&lt;100,"Comprar","Atenção"),"OK")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436027-4939-4F39-A04E-CD393690B70A}" name="Tabela5" displayName="Tabela5" ref="B6:M32" totalsRowShown="0" headerRowDxfId="79" dataDxfId="78">
  <autoFilter ref="B6:M32" xr:uid="{58436027-4939-4F39-A04E-CD393690B70A}"/>
  <tableColumns count="12">
    <tableColumn id="1" xr3:uid="{59D3358B-7F6A-4828-A908-E49334658400}" name="Id da venda" dataDxfId="77"/>
    <tableColumn id="2" xr3:uid="{6598B751-CD11-486C-8857-70628E04C45D}" name="Data" dataDxfId="76"/>
    <tableColumn id="3" xr3:uid="{256D792C-296A-43BB-B5AF-F777ECE96769}" name="Produto" dataDxfId="75"/>
    <tableColumn id="12" xr3:uid="{4F488F98-1261-47EB-9262-6B67C8D2AA94}" name="Medida" dataDxfId="74">
      <calculatedColumnFormula>IFERROR(VLOOKUP(Tabela5[[#This Row],[Produto]],cálculos!$O$3:$R$31,4,FALSE),"-")</calculatedColumnFormula>
    </tableColumn>
    <tableColumn id="4" xr3:uid="{16D79500-EE7A-4E87-9BB3-2B0924B2633A}" name="Quantidade" dataDxfId="73"/>
    <tableColumn id="13" xr3:uid="{49A2D96C-6C7C-4970-BCDD-6B5074003E58}" name="Preço Unitário" dataDxfId="72">
      <calculatedColumnFormula>IFERROR(VLOOKUP(Tabela5[[#This Row],[Produto]],cálculos!$O$3:$R$29,3,FALSE),"0")</calculatedColumnFormula>
    </tableColumn>
    <tableColumn id="6" xr3:uid="{EE398C74-EBBD-4276-B240-25E68A0FB90F}" name="Subtotal" dataDxfId="71">
      <calculatedColumnFormula>IFERROR(Tabela5[[#This Row],[Preço Unitário]]*Tabela5[[#This Row],[Quantidade]],"0")</calculatedColumnFormula>
    </tableColumn>
    <tableColumn id="7" xr3:uid="{D924685D-9842-432B-AAA3-B51BF0FBC77D}" name="Desconto" dataDxfId="70"/>
    <tableColumn id="8" xr3:uid="{0A411BE0-B02D-499C-8ACD-AA5C261FFB43}" name="Entrega" dataDxfId="69"/>
    <tableColumn id="9" xr3:uid="{5706C851-1A4C-43F6-8DA3-12CE99693454}" name="Valor de Entrega" dataDxfId="68">
      <calculatedColumnFormula>IFERROR(IF(Tabela5[[#This Row],[Id da venda]]=B8,0,VLOOKUP(Tabela5[[#This Row],[Entrega]],cálculos!$B$4:$C$9,2,FALSE)),"0")</calculatedColumnFormula>
    </tableColumn>
    <tableColumn id="10" xr3:uid="{03EC9696-02E2-4DBA-A40E-221B2D6F33AB}" name="Total" dataDxfId="67">
      <calculatedColumnFormula>IFERROR(Tabela5[[#This Row],[Subtotal]]*(1-Tabela5[[#This Row],[Desconto]])+Tabela5[[#This Row],[Valor de Entrega]],"0")</calculatedColumnFormula>
    </tableColumn>
    <tableColumn id="11" xr3:uid="{861482A1-3800-4275-BAF3-B2212ECB30C7}" name="Total Por Cliente" dataDxfId="66">
      <calculatedColumnFormula>IF(Tabela5[[#This Row],[Id da venda]]=B8,"",SUMIF(Tabela5[Id da venda],Tabela5[[#This Row],[Id da venda]],Tabela5[Total]))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0F14900-3443-48ED-93A7-7BFB7F44CE76}" name="Tabela510" displayName="Tabela510" ref="B6:M10" totalsRowShown="0" headerRowDxfId="59" dataDxfId="58">
  <autoFilter ref="B6:M10" xr:uid="{30F14900-3443-48ED-93A7-7BFB7F44CE76}"/>
  <tableColumns count="12">
    <tableColumn id="1" xr3:uid="{D52F748B-0FEC-435E-9BE6-32B6D6E49ECB}" name="Id da venda" dataDxfId="57">
      <calculatedColumnFormula>B8+1</calculatedColumnFormula>
    </tableColumn>
    <tableColumn id="2" xr3:uid="{AB24DAD4-09B8-45B5-85C4-4B89CA1223A6}" name="Data" dataDxfId="56">
      <calculatedColumnFormula>TODAY()</calculatedColumnFormula>
    </tableColumn>
    <tableColumn id="3" xr3:uid="{9FD7E8F5-595B-449B-BFEF-26DF5B5D9F71}" name="Produto" dataDxfId="55"/>
    <tableColumn id="12" xr3:uid="{054E0B4C-1A63-4415-8E9C-A5A5C5A65210}" name="Medida" dataDxfId="54">
      <calculatedColumnFormula>IFERROR(VLOOKUP(Tabela510[[#This Row],[Produto]],cálculos!$O$3:$R$31,4,FALSE),"-")</calculatedColumnFormula>
    </tableColumn>
    <tableColumn id="4" xr3:uid="{BBDCA779-7E75-4418-B564-4DA6F8CF2DA5}" name="Quantidade" dataDxfId="53"/>
    <tableColumn id="13" xr3:uid="{FD7F0DB1-9112-4DDE-930D-E2AE65C503B1}" name="Preço Unitário" dataDxfId="52">
      <calculatedColumnFormula>IFERROR(VLOOKUP(Tabela510[[#This Row],[Produto]],cálculos!$O$3:$R$29,3,FALSE),"-")</calculatedColumnFormula>
    </tableColumn>
    <tableColumn id="6" xr3:uid="{95B9369F-B61B-4CEE-A33D-69165EBB68E8}" name="Subtotal" dataDxfId="51">
      <calculatedColumnFormula>IFERROR(Tabela510[[#This Row],[Preço Unitário]]*Tabela510[[#This Row],[Quantidade]],"-")</calculatedColumnFormula>
    </tableColumn>
    <tableColumn id="7" xr3:uid="{03593BE6-D296-4E78-BC2B-6A8F129E2838}" name="Desconto" dataDxfId="50"/>
    <tableColumn id="8" xr3:uid="{67506DED-6B5C-4A7A-9F8B-EF768394AADD}" name="Entrega" dataDxfId="49"/>
    <tableColumn id="9" xr3:uid="{045B95BB-1669-46B0-8796-49CE5F98E88F}" name="Valor de Entrega" dataDxfId="48">
      <calculatedColumnFormula>IFERROR(IF(Tabela510[[#This Row],[Id da venda]]=B8,0,VLOOKUP(Tabela510[[#This Row],[Entrega]],cálculos!$B$3:$C$9,2,FALSE)),"-")</calculatedColumnFormula>
    </tableColumn>
    <tableColumn id="10" xr3:uid="{19F8125E-B20F-45FA-9E94-B0EC79AC5772}" name="Total" dataDxfId="47">
      <calculatedColumnFormula>IFERROR(Tabela510[[#This Row],[Subtotal]]*(1-Tabela510[[#This Row],[Desconto]])+Tabela510[[#This Row],[Valor de Entrega]],"")</calculatedColumnFormula>
    </tableColumn>
    <tableColumn id="11" xr3:uid="{39F40DE4-BC5B-4120-BAFD-141322CBF4D5}" name="Total Por Cliente" dataDxfId="46">
      <calculatedColumnFormula>IF(Tabela510[[#This Row],[Id da venda]]=B8,"",SUMIF(Tabela510[Id da venda],Tabela510[[#This Row],[Id da venda]],Tabela510[Total]))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A0BC68D-CBE1-48F2-A012-B82F9A92B249}" name="Tabela51011" displayName="Tabela51011" ref="B6:M31" totalsRowShown="0" headerRowDxfId="39" dataDxfId="38">
  <autoFilter ref="B6:M31" xr:uid="{3A0BC68D-CBE1-48F2-A012-B82F9A92B249}"/>
  <tableColumns count="12">
    <tableColumn id="1" xr3:uid="{C331BCE1-7B1B-4760-9ECF-A7BC9A952EAC}" name="Id da venda" dataDxfId="37"/>
    <tableColumn id="2" xr3:uid="{7FA980BA-FF98-4143-AA6B-85FEC62128BB}" name="Data" dataDxfId="36"/>
    <tableColumn id="3" xr3:uid="{2DAD1A0F-5251-42F3-A137-58A8906DE807}" name="Produto" dataDxfId="35"/>
    <tableColumn id="12" xr3:uid="{C1DF3D1C-F561-4046-904B-3F58EB40ED2C}" name="Medida" dataDxfId="34">
      <calculatedColumnFormula>IFERROR(VLOOKUP(Tabela51011[[#This Row],[Produto]],cálculos!$O$3:$R$31,4,FALSE),"-")</calculatedColumnFormula>
    </tableColumn>
    <tableColumn id="4" xr3:uid="{A254C85F-B240-4881-947E-3C6CBEBEC7CB}" name="Quantidade" dataDxfId="33"/>
    <tableColumn id="13" xr3:uid="{3477E42C-2FE9-4AA3-BA50-710119BBFF2B}" name="Preço Unitário" dataDxfId="32">
      <calculatedColumnFormula>IFERROR(VLOOKUP(Tabela51011[[#This Row],[Produto]],cálculos!$O$3:$R$29,3,FALSE),"-")</calculatedColumnFormula>
    </tableColumn>
    <tableColumn id="6" xr3:uid="{09F44C3F-384E-432C-BA5A-B38A7CD07706}" name="Subtotal" dataDxfId="31">
      <calculatedColumnFormula>IFERROR(Tabela51011[[#This Row],[Preço Unitário]]*Tabela51011[[#This Row],[Quantidade]],"-")</calculatedColumnFormula>
    </tableColumn>
    <tableColumn id="7" xr3:uid="{EDA50741-2675-41F1-8536-5DAE4CE72A82}" name="Desconto" dataDxfId="30"/>
    <tableColumn id="8" xr3:uid="{253FC650-4678-420B-9C1F-DEDEEE4F8CD9}" name="Entrega" dataDxfId="29"/>
    <tableColumn id="9" xr3:uid="{EF7699EA-2AAF-4B6C-A35F-BCBC6A7BD06B}" name="Valor de Entrega" dataDxfId="28">
      <calculatedColumnFormula>IFERROR(IF(Tabela51011[[#This Row],[Id da venda]]=B8,0,VLOOKUP(Tabela51011[[#This Row],[Entrega]],cálculos!$B$3:$C$9,2,FALSE)),"-")</calculatedColumnFormula>
    </tableColumn>
    <tableColumn id="10" xr3:uid="{6B6CD46C-50F0-4A80-B800-E7C889C013AC}" name="Total" dataDxfId="27">
      <calculatedColumnFormula>IFERROR(Tabela51011[[#This Row],[Subtotal]]*(1-Tabela51011[[#This Row],[Desconto]])+Tabela51011[[#This Row],[Valor de Entrega]],"")</calculatedColumnFormula>
    </tableColumn>
    <tableColumn id="11" xr3:uid="{47368006-9F52-4D28-99E8-F1D9252E3744}" name="Total Por Cliente" dataDxfId="26">
      <calculatedColumnFormula>IF(Tabela51011[[#This Row],[Id da venda]]=B8,"",SUMIF(Tabela51011[Id da venda],Tabela51011[[#This Row],[Id da venda]],Tabela51011[Total]))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F7BCFC-FF42-4555-99F3-F8C4AB89C508}" name="Tabela512" displayName="Tabela512" ref="B6:M31" totalsRowShown="0" headerRowDxfId="19" dataDxfId="18">
  <autoFilter ref="B6:M31" xr:uid="{59F7BCFC-FF42-4555-99F3-F8C4AB89C508}"/>
  <tableColumns count="12">
    <tableColumn id="1" xr3:uid="{AE261A51-4080-4190-9C71-1BB8572C34C5}" name="Id da venda" dataDxfId="17"/>
    <tableColumn id="2" xr3:uid="{6AF66C92-4ED3-4398-8844-030CB76A31B9}" name="Data" dataDxfId="16"/>
    <tableColumn id="3" xr3:uid="{DEEDB37C-4A88-453D-A0FE-171403FCA077}" name="Produto" dataDxfId="15"/>
    <tableColumn id="12" xr3:uid="{9C45B52C-94FE-4C81-8DB0-7C568B49D9DB}" name="Medida" dataDxfId="14">
      <calculatedColumnFormula>IFERROR(VLOOKUP(Tabela512[[#This Row],[Produto]],cálculos!$O$3:$R$31,4,FALSE),"-")</calculatedColumnFormula>
    </tableColumn>
    <tableColumn id="4" xr3:uid="{928958A5-CC55-45F9-B281-0999093ABE58}" name="Quantidade" dataDxfId="13"/>
    <tableColumn id="13" xr3:uid="{8E82DECF-FD07-43C7-B1E1-7DAA85ED3634}" name="Preço Unitário" dataDxfId="12">
      <calculatedColumnFormula>IFERROR(VLOOKUP(Tabela512[[#This Row],[Produto]],cálculos!$O$3:$R$29,3,FALSE),"-")</calculatedColumnFormula>
    </tableColumn>
    <tableColumn id="6" xr3:uid="{8525B5C7-2C36-494B-A319-A5141D74CC92}" name="Subtotal" dataDxfId="11">
      <calculatedColumnFormula>IFERROR(Tabela512[[#This Row],[Preço Unitário]]*Tabela512[[#This Row],[Quantidade]],"-")</calculatedColumnFormula>
    </tableColumn>
    <tableColumn id="7" xr3:uid="{9D63154A-EF02-44CC-86A6-8B7FDFC83CDA}" name="Desconto" dataDxfId="10"/>
    <tableColumn id="8" xr3:uid="{6E1F7672-AEB0-4DD7-9050-DF45ECF73B6D}" name="Entrega" dataDxfId="9"/>
    <tableColumn id="9" xr3:uid="{039B8E67-7922-44FF-949C-AF13DD2545F7}" name="Valor de Entrega" dataDxfId="8">
      <calculatedColumnFormula>IFERROR(IF(Tabela512[[#This Row],[Id da venda]]=B8,0,VLOOKUP(Tabela512[[#This Row],[Entrega]],cálculos!$B$3:$C$9,2,FALSE)),"-")</calculatedColumnFormula>
    </tableColumn>
    <tableColumn id="10" xr3:uid="{0C58A121-3C18-464E-93DE-164F57866653}" name="Total" dataDxfId="7">
      <calculatedColumnFormula>IFERROR(Tabela512[[#This Row],[Subtotal]]*(1-Tabela512[[#This Row],[Desconto]])+Tabela512[[#This Row],[Valor de Entrega]],"")</calculatedColumnFormula>
    </tableColumn>
    <tableColumn id="11" xr3:uid="{0C554103-B817-4AE2-8154-71DA4C2D0A58}" name="Total Por Cliente" dataDxfId="6">
      <calculatedColumnFormula>IF(Tabela512[[#This Row],[Id da venda]]=B8,"",SUMIF(Tabela512[Id da venda],Tabela512[[#This Row],[Id da venda]],Tabela512[Total]))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4-04-05T14:49:56.64" personId="{DD708F48-30E9-47D0-BF67-FA84A8A9FB4C}" id="{906E29AF-AC0B-494D-93A4-80963182D1F8}">
    <text xml:space="preserve">Inserir Descrição da despesa na observação
</text>
  </threadedComment>
  <threadedComment ref="B31" dT="2024-04-05T14:50:59.26" personId="{DD708F48-30E9-47D0-BF67-FA84A8A9FB4C}" id="{0BA9D63B-4F3B-4519-AA8B-EBD71E481B26}">
    <text>Inserir a descrição na observação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5" dT="2024-04-05T17:32:23.04" personId="{DD708F48-30E9-47D0-BF67-FA84A8A9FB4C}" id="{8AA213FA-3F6E-4436-9B28-F0B87C4F9C25}">
    <text xml:space="preserve">Quantidade Inicial é a quantidade que você esta iniciando a semana, ou mês, de acordo com a forma que o usuário vai trabalhar 
</text>
  </threadedComment>
  <threadedComment ref="E5" dT="2024-04-05T17:47:00.24" personId="{DD708F48-30E9-47D0-BF67-FA84A8A9FB4C}" id="{2F2D040F-E4B6-4579-83D1-E875C1383D78}">
    <text>Quantidade Comprada já puxa direto da planilha controle de mercadorias.</text>
  </threadedComment>
  <threadedComment ref="H5" dT="2024-04-05T17:52:10.34" personId="{DD708F48-30E9-47D0-BF67-FA84A8A9FB4C}" id="{F1899C32-3870-4D97-9725-99BAF43C461C}">
    <text xml:space="preserve">Estoque aceitavel acima de 200, atenção acima de 100 e menos de 200 e comprar abaixo de 100
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71BB896-D321-410A-9C2B-EAF79211666E}">
  <we:reference id="wa200005271" version="2.4.4.0" store="pt-BR" storeType="OMEX"/>
  <we:alternateReferences>
    <we:reference id="WA200005271" version="2.4.4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tabSelected="1" topLeftCell="A7" zoomScaleNormal="100" workbookViewId="0"/>
  </sheetViews>
  <sheetFormatPr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N35"/>
  <sheetViews>
    <sheetView showGridLines="0" zoomScale="85" zoomScaleNormal="85" workbookViewId="0">
      <selection activeCell="A2" sqref="A2:M2"/>
    </sheetView>
  </sheetViews>
  <sheetFormatPr defaultRowHeight="15" x14ac:dyDescent="0.2"/>
  <cols>
    <col min="2" max="2" width="46.54296875" bestFit="1" customWidth="1"/>
    <col min="3" max="3" width="24.2109375" bestFit="1" customWidth="1"/>
    <col min="4" max="4" width="7.12890625" bestFit="1" customWidth="1"/>
    <col min="5" max="5" width="22.8671875" bestFit="1" customWidth="1"/>
    <col min="6" max="6" width="18.83203125" customWidth="1"/>
    <col min="7" max="7" width="19.50390625" bestFit="1" customWidth="1"/>
  </cols>
  <sheetData>
    <row r="1" spans="1:14" ht="4.9000000000000004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96"/>
    </row>
    <row r="2" spans="1:14" ht="33" customHeight="1" x14ac:dyDescent="0.2">
      <c r="A2" s="106" t="s">
        <v>37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96"/>
    </row>
    <row r="3" spans="1:14" ht="4.9000000000000004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96"/>
    </row>
    <row r="4" spans="1:14" ht="25.9" customHeight="1" x14ac:dyDescent="0.2"/>
    <row r="6" spans="1:14" x14ac:dyDescent="0.2">
      <c r="B6" t="s">
        <v>38</v>
      </c>
      <c r="C6" t="s">
        <v>39</v>
      </c>
      <c r="D6" t="s">
        <v>40</v>
      </c>
      <c r="E6" t="s">
        <v>41</v>
      </c>
      <c r="F6" t="s">
        <v>42</v>
      </c>
      <c r="G6" t="s">
        <v>43</v>
      </c>
    </row>
    <row r="7" spans="1:14" x14ac:dyDescent="0.2">
      <c r="B7" t="s">
        <v>3</v>
      </c>
      <c r="F7" s="1"/>
      <c r="G7" s="1">
        <v>1500</v>
      </c>
    </row>
    <row r="8" spans="1:14" x14ac:dyDescent="0.2">
      <c r="B8" t="s">
        <v>44</v>
      </c>
      <c r="F8" s="1"/>
      <c r="G8" s="1">
        <f>SUM(F9:F13)</f>
        <v>14800</v>
      </c>
    </row>
    <row r="9" spans="1:14" x14ac:dyDescent="0.2">
      <c r="C9" t="s">
        <v>7</v>
      </c>
      <c r="F9" s="1">
        <v>6500</v>
      </c>
      <c r="G9" s="1"/>
    </row>
    <row r="10" spans="1:14" x14ac:dyDescent="0.2">
      <c r="C10" t="s">
        <v>8</v>
      </c>
      <c r="F10" s="1">
        <v>1200</v>
      </c>
      <c r="G10" s="1"/>
    </row>
    <row r="11" spans="1:14" x14ac:dyDescent="0.2">
      <c r="C11" t="s">
        <v>1</v>
      </c>
      <c r="F11" s="1">
        <v>3000</v>
      </c>
      <c r="G11" s="1"/>
    </row>
    <row r="12" spans="1:14" x14ac:dyDescent="0.2">
      <c r="C12" t="s">
        <v>9</v>
      </c>
      <c r="F12" s="1">
        <v>1600</v>
      </c>
      <c r="G12" s="1"/>
    </row>
    <row r="13" spans="1:14" x14ac:dyDescent="0.2">
      <c r="C13" t="s">
        <v>5</v>
      </c>
      <c r="E13" t="s">
        <v>50</v>
      </c>
      <c r="F13" s="1">
        <v>2500</v>
      </c>
      <c r="G13" s="1"/>
    </row>
    <row r="14" spans="1:14" x14ac:dyDescent="0.2">
      <c r="B14" t="s">
        <v>0</v>
      </c>
      <c r="E14" t="s">
        <v>51</v>
      </c>
      <c r="F14" s="1"/>
      <c r="G14" s="1">
        <v>1000</v>
      </c>
    </row>
    <row r="15" spans="1:14" x14ac:dyDescent="0.2">
      <c r="B15" t="s">
        <v>1</v>
      </c>
      <c r="F15" s="1"/>
      <c r="G15" s="1">
        <v>3000</v>
      </c>
    </row>
    <row r="16" spans="1:14" x14ac:dyDescent="0.2">
      <c r="B16" t="s">
        <v>49</v>
      </c>
      <c r="F16" s="1"/>
      <c r="G16" s="1">
        <f>SUM(F17:F21)</f>
        <v>2100</v>
      </c>
    </row>
    <row r="17" spans="2:7" x14ac:dyDescent="0.2">
      <c r="C17" t="s">
        <v>45</v>
      </c>
      <c r="F17" s="1">
        <v>300</v>
      </c>
      <c r="G17" s="1"/>
    </row>
    <row r="18" spans="2:7" x14ac:dyDescent="0.2">
      <c r="C18" t="s">
        <v>47</v>
      </c>
      <c r="F18" s="1">
        <v>1000</v>
      </c>
      <c r="G18" s="1"/>
    </row>
    <row r="19" spans="2:7" x14ac:dyDescent="0.2">
      <c r="C19" t="s">
        <v>46</v>
      </c>
      <c r="F19" s="1">
        <v>100</v>
      </c>
      <c r="G19" s="1"/>
    </row>
    <row r="20" spans="2:7" x14ac:dyDescent="0.2">
      <c r="C20" t="s">
        <v>48</v>
      </c>
      <c r="F20" s="1">
        <v>300</v>
      </c>
      <c r="G20" s="1"/>
    </row>
    <row r="21" spans="2:7" x14ac:dyDescent="0.2">
      <c r="C21" t="s">
        <v>5</v>
      </c>
      <c r="E21" t="s">
        <v>52</v>
      </c>
      <c r="F21" s="1">
        <v>400</v>
      </c>
      <c r="G21" s="1"/>
    </row>
    <row r="22" spans="2:7" x14ac:dyDescent="0.2">
      <c r="B22" t="s">
        <v>2</v>
      </c>
      <c r="F22" s="1"/>
      <c r="G22" s="1">
        <v>300</v>
      </c>
    </row>
    <row r="23" spans="2:7" x14ac:dyDescent="0.2">
      <c r="B23" t="s">
        <v>11</v>
      </c>
      <c r="F23" s="1"/>
      <c r="G23" s="1">
        <f>SUM(F24:F29)</f>
        <v>5500</v>
      </c>
    </row>
    <row r="24" spans="2:7" x14ac:dyDescent="0.2">
      <c r="C24" t="s">
        <v>12</v>
      </c>
      <c r="F24" s="1">
        <v>1600</v>
      </c>
      <c r="G24" s="1"/>
    </row>
    <row r="25" spans="2:7" x14ac:dyDescent="0.2">
      <c r="C25" t="s">
        <v>13</v>
      </c>
      <c r="F25" s="1">
        <v>2000</v>
      </c>
      <c r="G25" s="1"/>
    </row>
    <row r="26" spans="2:7" x14ac:dyDescent="0.2">
      <c r="C26" t="s">
        <v>14</v>
      </c>
      <c r="F26" s="1">
        <v>300</v>
      </c>
      <c r="G26" s="1"/>
    </row>
    <row r="27" spans="2:7" x14ac:dyDescent="0.2">
      <c r="C27" t="s">
        <v>15</v>
      </c>
      <c r="F27" s="1">
        <v>1000</v>
      </c>
      <c r="G27" s="1"/>
    </row>
    <row r="28" spans="2:7" x14ac:dyDescent="0.2">
      <c r="C28" t="s">
        <v>10</v>
      </c>
      <c r="F28" s="1">
        <v>600</v>
      </c>
      <c r="G28" s="1"/>
    </row>
    <row r="29" spans="2:7" x14ac:dyDescent="0.2">
      <c r="C29" t="s">
        <v>5</v>
      </c>
      <c r="F29" s="1">
        <v>0</v>
      </c>
      <c r="G29" s="1"/>
    </row>
    <row r="30" spans="2:7" x14ac:dyDescent="0.2">
      <c r="B30" t="s">
        <v>4</v>
      </c>
      <c r="F30" s="1">
        <v>1100</v>
      </c>
      <c r="G30" s="1"/>
    </row>
    <row r="31" spans="2:7" x14ac:dyDescent="0.2">
      <c r="B31" t="s">
        <v>5</v>
      </c>
      <c r="F31" s="1">
        <v>0</v>
      </c>
      <c r="G31" s="1"/>
    </row>
    <row r="33" spans="2:7" ht="21" x14ac:dyDescent="0.3">
      <c r="B33" s="14" t="s">
        <v>86</v>
      </c>
      <c r="C33" s="14"/>
      <c r="D33" s="14"/>
      <c r="E33" s="14"/>
      <c r="F33" s="14"/>
      <c r="G33" s="15">
        <f>SUM(Tabela1[Valor final])</f>
        <v>28200</v>
      </c>
    </row>
    <row r="34" spans="2:7" ht="21" x14ac:dyDescent="0.3">
      <c r="B34" s="9" t="s">
        <v>84</v>
      </c>
      <c r="C34" s="9"/>
      <c r="D34" s="10"/>
      <c r="E34" s="11"/>
      <c r="F34" s="12"/>
      <c r="G34" s="12" t="str">
        <f>IFERROR(SUM(#REF!),"R$     -")</f>
        <v>R$     -</v>
      </c>
    </row>
    <row r="35" spans="2:7" ht="21" x14ac:dyDescent="0.3">
      <c r="B35" s="16" t="s">
        <v>87</v>
      </c>
      <c r="C35" s="16"/>
      <c r="D35" s="17"/>
      <c r="E35" s="18"/>
      <c r="F35" s="19"/>
      <c r="G35" s="19">
        <f>IFERROR(SUM(G33:G34),"R$     -")</f>
        <v>28200</v>
      </c>
    </row>
  </sheetData>
  <mergeCells count="1">
    <mergeCell ref="A2:M2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18"/>
  <sheetViews>
    <sheetView showGridLines="0" workbookViewId="0">
      <pane ySplit="5" topLeftCell="A6" activePane="bottomLeft" state="frozen"/>
      <selection pane="bottomLeft" activeCell="D18" sqref="D18"/>
    </sheetView>
  </sheetViews>
  <sheetFormatPr defaultRowHeight="15" x14ac:dyDescent="0.2"/>
  <cols>
    <col min="2" max="2" width="50.17578125" bestFit="1" customWidth="1"/>
    <col min="3" max="3" width="10.4921875" bestFit="1" customWidth="1"/>
    <col min="4" max="4" width="35.2421875" customWidth="1"/>
    <col min="5" max="5" width="21.1171875" bestFit="1" customWidth="1"/>
  </cols>
  <sheetData>
    <row r="1" spans="1:14" ht="4.9000000000000004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36.75" x14ac:dyDescent="0.2">
      <c r="A2" s="106" t="s">
        <v>96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5" spans="1:14" x14ac:dyDescent="0.2">
      <c r="B5" t="s">
        <v>88</v>
      </c>
      <c r="C5" t="s">
        <v>40</v>
      </c>
      <c r="D5" t="s">
        <v>89</v>
      </c>
      <c r="E5" t="s">
        <v>90</v>
      </c>
    </row>
    <row r="6" spans="1:14" ht="42" customHeight="1" x14ac:dyDescent="0.2">
      <c r="B6" t="s">
        <v>91</v>
      </c>
      <c r="C6" s="21">
        <v>43956</v>
      </c>
      <c r="D6" s="22" t="s">
        <v>95</v>
      </c>
      <c r="E6" s="1">
        <v>400000</v>
      </c>
    </row>
    <row r="7" spans="1:14" ht="18" customHeight="1" x14ac:dyDescent="0.2">
      <c r="C7" s="7"/>
      <c r="D7" s="20"/>
      <c r="E7" s="1"/>
    </row>
    <row r="8" spans="1:14" ht="31.9" customHeight="1" x14ac:dyDescent="0.2">
      <c r="B8" t="s">
        <v>92</v>
      </c>
      <c r="C8" s="7"/>
      <c r="D8" s="20"/>
      <c r="E8" s="1"/>
    </row>
    <row r="9" spans="1:14" x14ac:dyDescent="0.2">
      <c r="C9" s="7"/>
      <c r="D9" s="20"/>
      <c r="E9" s="1"/>
    </row>
    <row r="10" spans="1:14" ht="29.45" customHeight="1" x14ac:dyDescent="0.2">
      <c r="B10" t="s">
        <v>93</v>
      </c>
      <c r="C10" s="7"/>
      <c r="D10" s="20"/>
      <c r="E10" s="1"/>
    </row>
    <row r="11" spans="1:14" x14ac:dyDescent="0.2">
      <c r="C11" s="7"/>
      <c r="D11" s="20"/>
      <c r="E11" s="1"/>
    </row>
    <row r="12" spans="1:14" ht="32.450000000000003" customHeight="1" x14ac:dyDescent="0.2">
      <c r="B12" t="s">
        <v>94</v>
      </c>
      <c r="C12" s="7"/>
      <c r="D12" s="20"/>
      <c r="E12" s="1"/>
    </row>
    <row r="13" spans="1:14" ht="20.45" customHeight="1" x14ac:dyDescent="0.2">
      <c r="C13" s="7"/>
      <c r="D13" s="20"/>
      <c r="E13" s="1"/>
    </row>
    <row r="14" spans="1:14" ht="28.15" customHeight="1" x14ac:dyDescent="0.2">
      <c r="B14" t="s">
        <v>5</v>
      </c>
      <c r="C14" s="7"/>
      <c r="D14" s="20"/>
      <c r="E14" s="1"/>
    </row>
    <row r="15" spans="1:14" x14ac:dyDescent="0.2">
      <c r="C15" s="7"/>
      <c r="D15" s="20"/>
      <c r="E15" s="1"/>
    </row>
    <row r="16" spans="1:14" x14ac:dyDescent="0.2">
      <c r="C16" s="7"/>
      <c r="D16" s="20"/>
      <c r="E16" s="1"/>
    </row>
    <row r="18" spans="2:5" ht="21" x14ac:dyDescent="0.3">
      <c r="B18" s="9" t="s">
        <v>150</v>
      </c>
      <c r="C18" s="9"/>
      <c r="D18" s="10"/>
      <c r="E18" s="12">
        <f>IFERROR(SUM(E6:E16),"R$     -")</f>
        <v>400000</v>
      </c>
    </row>
  </sheetData>
  <mergeCells count="1">
    <mergeCell ref="A2:N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N28"/>
  <sheetViews>
    <sheetView showGridLines="0" zoomScale="85" zoomScaleNormal="85" zoomScalePageLayoutView="70" workbookViewId="0">
      <selection activeCell="H18" sqref="H18"/>
    </sheetView>
  </sheetViews>
  <sheetFormatPr defaultRowHeight="15" x14ac:dyDescent="0.2"/>
  <cols>
    <col min="3" max="3" width="24.2109375" bestFit="1" customWidth="1"/>
    <col min="4" max="4" width="21.65625" bestFit="1" customWidth="1"/>
    <col min="5" max="5" width="18.16015625" style="1" bestFit="1" customWidth="1"/>
    <col min="6" max="6" width="32.8203125" bestFit="1" customWidth="1"/>
    <col min="7" max="7" width="29.19140625" bestFit="1" customWidth="1"/>
    <col min="8" max="8" width="30.66796875" bestFit="1" customWidth="1"/>
  </cols>
  <sheetData>
    <row r="1" spans="1:14" ht="4.9000000000000004" customHeight="1" x14ac:dyDescent="0.2">
      <c r="A1" s="2"/>
      <c r="B1" s="2"/>
      <c r="C1" s="30"/>
      <c r="D1" s="2"/>
      <c r="E1" s="28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149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8"/>
      <c r="F3" s="2"/>
      <c r="G3" s="28"/>
      <c r="H3" s="28"/>
      <c r="I3" s="25"/>
      <c r="J3" s="2"/>
      <c r="K3" s="28"/>
      <c r="L3" s="2"/>
      <c r="M3" s="2"/>
      <c r="N3" s="2"/>
    </row>
    <row r="5" spans="1:14" ht="19.5" thickBot="1" x14ac:dyDescent="0.3">
      <c r="F5" s="86" t="s">
        <v>136</v>
      </c>
      <c r="G5" s="86"/>
      <c r="H5" s="87">
        <f>SUM(H6:H7)</f>
        <v>2386.2980000000002</v>
      </c>
    </row>
    <row r="6" spans="1:14" ht="19.5" thickBot="1" x14ac:dyDescent="0.3">
      <c r="F6" s="88"/>
      <c r="G6" s="91" t="s">
        <v>140</v>
      </c>
      <c r="H6" s="92">
        <f>Vendas!D20-H7</f>
        <v>2229.7980000000002</v>
      </c>
    </row>
    <row r="7" spans="1:14" ht="19.5" thickBot="1" x14ac:dyDescent="0.3">
      <c r="F7" s="88"/>
      <c r="G7" s="86" t="s">
        <v>141</v>
      </c>
      <c r="H7" s="87">
        <f>Vendas!D32</f>
        <v>156.5</v>
      </c>
    </row>
    <row r="8" spans="1:14" ht="19.5" thickBot="1" x14ac:dyDescent="0.3">
      <c r="F8" s="86" t="s">
        <v>137</v>
      </c>
      <c r="G8" s="86"/>
      <c r="H8" s="87">
        <f>0.15*H5</f>
        <v>357.94470000000001</v>
      </c>
    </row>
    <row r="9" spans="1:14" ht="19.5" thickBot="1" x14ac:dyDescent="0.3">
      <c r="F9" s="86" t="s">
        <v>6</v>
      </c>
      <c r="G9" s="86"/>
      <c r="H9" s="87">
        <f>H5-H8</f>
        <v>2028.3533000000002</v>
      </c>
    </row>
    <row r="10" spans="1:14" ht="18.75" x14ac:dyDescent="0.25">
      <c r="F10" s="88"/>
      <c r="G10" s="88"/>
      <c r="H10" s="89"/>
    </row>
    <row r="11" spans="1:14" ht="19.5" thickBot="1" x14ac:dyDescent="0.3">
      <c r="F11" s="86" t="s">
        <v>138</v>
      </c>
      <c r="G11" s="86"/>
      <c r="H11" s="87">
        <f>SUM(H12:H13)</f>
        <v>28200</v>
      </c>
    </row>
    <row r="12" spans="1:14" ht="19.5" thickBot="1" x14ac:dyDescent="0.3">
      <c r="F12" s="88"/>
      <c r="G12" s="91" t="s">
        <v>147</v>
      </c>
      <c r="H12" s="92" t="str">
        <f>'Controle Mercadorias'!I34</f>
        <v>R$     -</v>
      </c>
    </row>
    <row r="13" spans="1:14" ht="19.5" thickBot="1" x14ac:dyDescent="0.3">
      <c r="F13" s="88"/>
      <c r="G13" s="86" t="s">
        <v>148</v>
      </c>
      <c r="H13" s="87">
        <f>'Despesas Fixas'!G33</f>
        <v>28200</v>
      </c>
    </row>
    <row r="14" spans="1:14" ht="18.75" x14ac:dyDescent="0.25">
      <c r="F14" s="88"/>
      <c r="G14" s="88"/>
      <c r="H14" s="89"/>
    </row>
    <row r="15" spans="1:14" ht="19.5" thickBot="1" x14ac:dyDescent="0.3">
      <c r="F15" s="86" t="s">
        <v>139</v>
      </c>
      <c r="G15" s="86"/>
      <c r="H15" s="87">
        <f>H5-H11</f>
        <v>-25813.702000000001</v>
      </c>
    </row>
    <row r="16" spans="1:14" ht="18.75" x14ac:dyDescent="0.25">
      <c r="F16" s="88"/>
      <c r="G16" s="88"/>
      <c r="H16" s="89"/>
    </row>
    <row r="17" spans="6:9" ht="19.5" thickBot="1" x14ac:dyDescent="0.3">
      <c r="F17" s="86" t="s">
        <v>142</v>
      </c>
      <c r="G17" s="86"/>
      <c r="H17" s="87">
        <f>Investimentos!E18</f>
        <v>400000</v>
      </c>
    </row>
    <row r="18" spans="6:9" ht="18.75" x14ac:dyDescent="0.25">
      <c r="F18" s="88"/>
      <c r="G18" s="88"/>
      <c r="H18" s="89"/>
    </row>
    <row r="19" spans="6:9" ht="19.5" thickBot="1" x14ac:dyDescent="0.3">
      <c r="F19" s="86" t="s">
        <v>143</v>
      </c>
      <c r="G19" s="86"/>
      <c r="H19" s="87">
        <v>300</v>
      </c>
    </row>
    <row r="20" spans="6:9" ht="18.75" x14ac:dyDescent="0.25">
      <c r="F20" s="88"/>
      <c r="G20" s="88"/>
      <c r="H20" s="89"/>
    </row>
    <row r="21" spans="6:9" ht="19.5" thickBot="1" x14ac:dyDescent="0.3">
      <c r="F21" s="86" t="s">
        <v>144</v>
      </c>
      <c r="G21" s="86"/>
      <c r="H21" s="87">
        <f>H15-H17-H19</f>
        <v>-426113.70199999999</v>
      </c>
    </row>
    <row r="22" spans="6:9" ht="18.75" x14ac:dyDescent="0.25">
      <c r="F22" s="88"/>
      <c r="G22" s="88"/>
      <c r="H22" s="89"/>
    </row>
    <row r="23" spans="6:9" ht="19.5" thickBot="1" x14ac:dyDescent="0.3">
      <c r="F23" s="86" t="s">
        <v>145</v>
      </c>
      <c r="G23" s="86"/>
      <c r="H23" s="90" t="b">
        <f>IF(H21&gt;0,0.3*H21)</f>
        <v>0</v>
      </c>
    </row>
    <row r="24" spans="6:9" ht="18.75" x14ac:dyDescent="0.25">
      <c r="F24" s="88"/>
      <c r="G24" s="88"/>
      <c r="H24" s="89"/>
    </row>
    <row r="25" spans="6:9" ht="24" thickBot="1" x14ac:dyDescent="0.35">
      <c r="F25" s="94" t="s">
        <v>146</v>
      </c>
      <c r="G25" s="94"/>
      <c r="H25" s="95">
        <f>H21-H23</f>
        <v>-426113.70199999999</v>
      </c>
    </row>
    <row r="28" spans="6:9" ht="31.5" x14ac:dyDescent="0.45">
      <c r="I28" s="93"/>
    </row>
  </sheetData>
  <mergeCells count="1">
    <mergeCell ref="A2:N2"/>
  </mergeCells>
  <dataValidations disablePrompts="1" count="1">
    <dataValidation type="whole" showInputMessage="1" showErrorMessage="1" sqref="F1:F3" xr:uid="{0C24414F-7358-44B8-A0EC-3C8FE4C38420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O34"/>
  <sheetViews>
    <sheetView showGridLines="0" topLeftCell="A6" zoomScaleNormal="100" workbookViewId="0">
      <selection activeCell="H7" sqref="H7"/>
    </sheetView>
  </sheetViews>
  <sheetFormatPr defaultRowHeight="15" x14ac:dyDescent="0.2"/>
  <cols>
    <col min="2" max="2" width="25.2890625" style="23" bestFit="1" customWidth="1"/>
    <col min="3" max="3" width="12.9140625" bestFit="1" customWidth="1"/>
    <col min="4" max="4" width="28.25" bestFit="1" customWidth="1"/>
    <col min="5" max="5" width="9.68359375" bestFit="1" customWidth="1"/>
    <col min="6" max="6" width="13.046875" style="4" bestFit="1" customWidth="1"/>
    <col min="7" max="7" width="14.9296875" bestFit="1" customWidth="1"/>
    <col min="8" max="8" width="11.1640625" bestFit="1" customWidth="1"/>
    <col min="9" max="10" width="19.50390625" bestFit="1" customWidth="1"/>
    <col min="12" max="12" width="19.50390625" bestFit="1" customWidth="1"/>
    <col min="16" max="16" width="2.82421875" customWidth="1"/>
  </cols>
  <sheetData>
    <row r="1" spans="1:15" ht="4.9000000000000004" customHeight="1" x14ac:dyDescent="0.2">
      <c r="A1" s="2"/>
      <c r="B1" s="98"/>
      <c r="C1" s="2"/>
      <c r="D1" s="2"/>
      <c r="E1" s="2"/>
      <c r="F1" s="8"/>
      <c r="G1" s="2"/>
      <c r="H1" s="2"/>
      <c r="I1" s="2"/>
      <c r="J1" s="2"/>
      <c r="K1" s="2"/>
      <c r="L1" s="2"/>
      <c r="M1" s="2"/>
      <c r="N1" s="2"/>
      <c r="O1" s="2"/>
    </row>
    <row r="2" spans="1:15" ht="31.15" customHeight="1" x14ac:dyDescent="0.5">
      <c r="A2" s="107" t="s">
        <v>85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8"/>
    </row>
    <row r="3" spans="1:15" ht="4.9000000000000004" customHeight="1" x14ac:dyDescent="0.2">
      <c r="A3" s="2"/>
      <c r="B3" s="98"/>
      <c r="C3" s="2"/>
      <c r="D3" s="2"/>
      <c r="E3" s="2"/>
      <c r="F3" s="8"/>
      <c r="G3" s="2"/>
      <c r="H3" s="2"/>
      <c r="I3" s="2"/>
      <c r="J3" s="2"/>
      <c r="K3" s="2"/>
      <c r="L3" s="2"/>
      <c r="M3" s="2"/>
      <c r="N3" s="2"/>
      <c r="O3" s="2"/>
    </row>
    <row r="4" spans="1:15" ht="18.600000000000001" customHeight="1" x14ac:dyDescent="0.2">
      <c r="A4" s="41"/>
      <c r="B4" s="99"/>
      <c r="C4" s="41"/>
      <c r="D4" s="41"/>
      <c r="E4" s="41"/>
      <c r="F4" s="97"/>
      <c r="G4" s="41"/>
      <c r="H4" s="41"/>
      <c r="I4" s="41"/>
      <c r="J4" s="41"/>
      <c r="K4" s="41"/>
      <c r="L4" s="41"/>
      <c r="M4" s="41"/>
      <c r="N4" s="41"/>
      <c r="O4" s="41"/>
    </row>
    <row r="5" spans="1:15" ht="16.149999999999999" customHeight="1" x14ac:dyDescent="0.2">
      <c r="A5" s="41"/>
      <c r="B5" s="99"/>
      <c r="C5" s="41"/>
      <c r="D5" s="41"/>
      <c r="E5" s="41"/>
      <c r="F5" s="97"/>
      <c r="G5" s="41"/>
      <c r="H5" s="41"/>
      <c r="I5" s="41"/>
      <c r="J5" s="41"/>
      <c r="K5" s="41"/>
      <c r="L5" s="41"/>
      <c r="M5" s="41"/>
      <c r="N5" s="41"/>
      <c r="O5" s="41"/>
    </row>
    <row r="6" spans="1:15" ht="19.149999999999999" customHeight="1" x14ac:dyDescent="0.2">
      <c r="A6" s="41"/>
      <c r="B6" s="23" t="s">
        <v>153</v>
      </c>
      <c r="C6" t="s">
        <v>53</v>
      </c>
      <c r="D6" t="s">
        <v>54</v>
      </c>
      <c r="E6" t="s">
        <v>55</v>
      </c>
      <c r="F6" s="4" t="s">
        <v>56</v>
      </c>
      <c r="G6" t="s">
        <v>57</v>
      </c>
      <c r="H6" t="s">
        <v>58</v>
      </c>
      <c r="I6" t="s">
        <v>59</v>
      </c>
    </row>
    <row r="7" spans="1:15" x14ac:dyDescent="0.2">
      <c r="B7" s="101">
        <v>45390</v>
      </c>
      <c r="C7" t="s">
        <v>18</v>
      </c>
      <c r="D7" t="s">
        <v>154</v>
      </c>
      <c r="E7" s="4" t="str">
        <f>IFERROR(VLOOKUP(Tabela2[[#This Row],[Mercadoria]],cálculos!$O$4:$R$27,4,FALSE),"")</f>
        <v>Kg</v>
      </c>
      <c r="F7" s="4">
        <v>500</v>
      </c>
      <c r="G7" s="1">
        <f>IFERROR(VLOOKUP(Tabela2[[#This Row],[Mercadoria]],cálculos!$O$3:$R$27,2,FALSE),"")</f>
        <v>5.3544000000000009</v>
      </c>
      <c r="H7" s="3"/>
      <c r="I7" s="1">
        <f>IFERROR(Tabela2[[#This Row],[Valor Unitario]]*Tabela2[[#This Row],[Quantidade]]*(1-Tabela2[[#This Row],[Desconto]]),"0")</f>
        <v>2677.2000000000003</v>
      </c>
    </row>
    <row r="8" spans="1:15" x14ac:dyDescent="0.2">
      <c r="B8" s="100">
        <v>42190</v>
      </c>
      <c r="C8" t="s">
        <v>31</v>
      </c>
      <c r="D8" t="s">
        <v>74</v>
      </c>
      <c r="E8" s="4" t="str">
        <f>IFERROR(VLOOKUP(Tabela2[[#This Row],[Mercadoria]],cálculos!$O$4:$R$27,4,FALSE),"")</f>
        <v>Unidade</v>
      </c>
      <c r="F8" s="4">
        <v>50</v>
      </c>
      <c r="G8" s="1">
        <f>IFERROR(VLOOKUP(Tabela2[[#This Row],[Mercadoria]],cálculos!$O$3:$R$27,2,FALSE),"")</f>
        <v>2.3660000000000001</v>
      </c>
      <c r="H8" s="3"/>
      <c r="I8" s="1">
        <f>IFERROR(Tabela2[[#This Row],[Valor Unitario]]*Tabela2[[#This Row],[Quantidade]]*(1-Tabela2[[#This Row],[Desconto]]),"0")</f>
        <v>118.30000000000001</v>
      </c>
    </row>
    <row r="9" spans="1:15" x14ac:dyDescent="0.2">
      <c r="B9" s="101">
        <v>42190</v>
      </c>
      <c r="C9" t="s">
        <v>32</v>
      </c>
      <c r="D9" t="s">
        <v>75</v>
      </c>
      <c r="E9" s="4" t="str">
        <f>IFERROR(VLOOKUP(Tabela2[[#This Row],[Mercadoria]],cálculos!$O$4:$R$27,4,FALSE),"")</f>
        <v>Pacote</v>
      </c>
      <c r="F9" s="4">
        <v>120</v>
      </c>
      <c r="G9" s="1">
        <f>IFERROR(VLOOKUP(Tabela2[[#This Row],[Mercadoria]],cálculos!$O$3:$R$27,2,FALSE),"")</f>
        <v>0.74260000000000004</v>
      </c>
      <c r="H9" s="3"/>
      <c r="I9" s="1">
        <f>IFERROR(Tabela2[[#This Row],[Valor Unitario]]*Tabela2[[#This Row],[Quantidade]]*(1-Tabela2[[#This Row],[Desconto]]),"0")</f>
        <v>89.112000000000009</v>
      </c>
    </row>
    <row r="10" spans="1:15" x14ac:dyDescent="0.2">
      <c r="B10" s="100">
        <v>42189</v>
      </c>
      <c r="C10" t="s">
        <v>17</v>
      </c>
      <c r="D10" t="s">
        <v>75</v>
      </c>
      <c r="E10" s="4" t="str">
        <f>IFERROR(VLOOKUP(Tabela2[[#This Row],[Mercadoria]],cálculos!$O$4:$R$27,4,FALSE),"")</f>
        <v>Kg</v>
      </c>
      <c r="F10" s="4">
        <v>150</v>
      </c>
      <c r="G10" s="1">
        <f>IFERROR(VLOOKUP(Tabela2[[#This Row],[Mercadoria]],cálculos!$O$3:$R$27,2,FALSE),"")</f>
        <v>4.0659999999999998</v>
      </c>
      <c r="H10" s="3"/>
      <c r="I10" s="1">
        <f>IFERROR(Tabela2[[#This Row],[Valor Unitario]]*Tabela2[[#This Row],[Quantidade]]*(1-Tabela2[[#This Row],[Desconto]]),"0")</f>
        <v>609.9</v>
      </c>
    </row>
    <row r="11" spans="1:15" x14ac:dyDescent="0.2">
      <c r="B11" s="101">
        <v>42189</v>
      </c>
      <c r="C11" t="s">
        <v>28</v>
      </c>
      <c r="D11" t="s">
        <v>75</v>
      </c>
      <c r="E11" s="4" t="str">
        <f>IFERROR(VLOOKUP(Tabela2[[#This Row],[Mercadoria]],cálculos!$O$4:$R$27,4,FALSE),"")</f>
        <v>Pacote</v>
      </c>
      <c r="F11" s="4">
        <v>150</v>
      </c>
      <c r="G11" s="1">
        <f>IFERROR(VLOOKUP(Tabela2[[#This Row],[Mercadoria]],cálculos!$O$3:$R$27,2,FALSE),"")</f>
        <v>1.0580000000000001</v>
      </c>
      <c r="H11" s="3"/>
      <c r="I11" s="1">
        <f>IFERROR(Tabela2[[#This Row],[Valor Unitario]]*Tabela2[[#This Row],[Quantidade]]*(1-Tabela2[[#This Row],[Desconto]]),"0")</f>
        <v>158.70000000000002</v>
      </c>
    </row>
    <row r="12" spans="1:15" x14ac:dyDescent="0.2">
      <c r="B12" s="100">
        <v>42189</v>
      </c>
      <c r="C12" t="s">
        <v>29</v>
      </c>
      <c r="D12" t="s">
        <v>76</v>
      </c>
      <c r="E12" s="4" t="str">
        <f>IFERROR(VLOOKUP(Tabela2[[#This Row],[Mercadoria]],cálculos!$O$4:$R$27,4,FALSE),"")</f>
        <v>Lata</v>
      </c>
      <c r="F12" s="4">
        <v>100</v>
      </c>
      <c r="G12" s="1">
        <f>IFERROR(VLOOKUP(Tabela2[[#This Row],[Mercadoria]],cálculos!$O$3:$R$27,2,FALSE),"")</f>
        <v>2.1023999999999998</v>
      </c>
      <c r="H12" s="3"/>
      <c r="I12" s="1">
        <f>IFERROR(Tabela2[[#This Row],[Valor Unitario]]*Tabela2[[#This Row],[Quantidade]]*(1-Tabela2[[#This Row],[Desconto]]),"0")</f>
        <v>210.23999999999998</v>
      </c>
    </row>
    <row r="13" spans="1:15" x14ac:dyDescent="0.2">
      <c r="B13" s="101">
        <v>42189</v>
      </c>
      <c r="C13" t="s">
        <v>71</v>
      </c>
      <c r="D13" t="s">
        <v>76</v>
      </c>
      <c r="E13" s="4" t="str">
        <f>IFERROR(VLOOKUP(Tabela2[[#This Row],[Mercadoria]],cálculos!$O$4:$R$27,4,FALSE),"")</f>
        <v>Unidade</v>
      </c>
      <c r="F13" s="4">
        <v>200</v>
      </c>
      <c r="G13" s="1">
        <f>IFERROR(VLOOKUP(Tabela2[[#This Row],[Mercadoria]],cálculos!$O$3:$R$27,2,FALSE),"")</f>
        <v>2.6299000000000001</v>
      </c>
      <c r="H13" s="3"/>
      <c r="I13" s="1">
        <f>IFERROR(Tabela2[[#This Row],[Valor Unitario]]*Tabela2[[#This Row],[Quantidade]]*(1-Tabela2[[#This Row],[Desconto]]),"0")</f>
        <v>525.98</v>
      </c>
    </row>
    <row r="14" spans="1:15" x14ac:dyDescent="0.2">
      <c r="B14" s="100">
        <v>42188</v>
      </c>
      <c r="C14" t="s">
        <v>35</v>
      </c>
      <c r="D14" t="s">
        <v>77</v>
      </c>
      <c r="E14" s="4" t="str">
        <f>IFERROR(VLOOKUP(Tabela2[[#This Row],[Mercadoria]],cálculos!$O$4:$R$27,4,FALSE),"")</f>
        <v>Maço</v>
      </c>
      <c r="F14" s="4">
        <v>100</v>
      </c>
      <c r="G14" s="1">
        <f>IFERROR(VLOOKUP(Tabela2[[#This Row],[Mercadoria]],cálculos!$O$3:$R$27,2,FALSE),"")</f>
        <v>6.3449999999999998</v>
      </c>
      <c r="H14" s="3"/>
      <c r="I14" s="1">
        <f>IFERROR(Tabela2[[#This Row],[Valor Unitario]]*Tabela2[[#This Row],[Quantidade]]*(1-Tabela2[[#This Row],[Desconto]]),"0")</f>
        <v>634.5</v>
      </c>
    </row>
    <row r="15" spans="1:15" x14ac:dyDescent="0.2">
      <c r="B15" s="101">
        <v>42188</v>
      </c>
      <c r="C15" t="s">
        <v>34</v>
      </c>
      <c r="D15" t="s">
        <v>78</v>
      </c>
      <c r="E15" s="4" t="str">
        <f>IFERROR(VLOOKUP(Tabela2[[#This Row],[Mercadoria]],cálculos!$O$4:$R$27,4,FALSE),"")</f>
        <v>Barra</v>
      </c>
      <c r="F15" s="4">
        <v>100</v>
      </c>
      <c r="G15" s="1">
        <f>IFERROR(VLOOKUP(Tabela2[[#This Row],[Mercadoria]],cálculos!$O$3:$R$27,2,FALSE),"")</f>
        <v>4.5409000000000006</v>
      </c>
      <c r="H15" s="3"/>
      <c r="I15" s="1">
        <f>IFERROR(Tabela2[[#This Row],[Valor Unitario]]*Tabela2[[#This Row],[Quantidade]]*(1-Tabela2[[#This Row],[Desconto]]),"0")</f>
        <v>454.09000000000003</v>
      </c>
    </row>
    <row r="16" spans="1:15" x14ac:dyDescent="0.2">
      <c r="B16" s="100">
        <v>42188</v>
      </c>
      <c r="C16" t="s">
        <v>17</v>
      </c>
      <c r="D16" t="s">
        <v>75</v>
      </c>
      <c r="E16" s="4" t="str">
        <f>IFERROR(VLOOKUP(Tabela2[[#This Row],[Mercadoria]],cálculos!$O$4:$R$27,4,FALSE),"")</f>
        <v>Kg</v>
      </c>
      <c r="F16" s="4">
        <v>300</v>
      </c>
      <c r="G16" s="1">
        <f>IFERROR(VLOOKUP(Tabela2[[#This Row],[Mercadoria]],cálculos!$O$3:$R$27,2,FALSE),"")</f>
        <v>4.0659999999999998</v>
      </c>
      <c r="H16" s="3"/>
      <c r="I16" s="1">
        <f>IFERROR(Tabela2[[#This Row],[Valor Unitario]]*Tabela2[[#This Row],[Quantidade]]*(1-Tabela2[[#This Row],[Desconto]]),"0")</f>
        <v>1219.8</v>
      </c>
    </row>
    <row r="17" spans="2:9" x14ac:dyDescent="0.2">
      <c r="B17" s="101">
        <v>42188</v>
      </c>
      <c r="C17" t="s">
        <v>28</v>
      </c>
      <c r="D17" t="s">
        <v>75</v>
      </c>
      <c r="E17" s="4" t="str">
        <f>IFERROR(VLOOKUP(Tabela2[[#This Row],[Mercadoria]],cálculos!$O$4:$R$27,4,FALSE),"")</f>
        <v>Pacote</v>
      </c>
      <c r="F17" s="4">
        <v>50</v>
      </c>
      <c r="G17" s="1">
        <f>IFERROR(VLOOKUP(Tabela2[[#This Row],[Mercadoria]],cálculos!$O$3:$R$27,2,FALSE),"")</f>
        <v>1.0580000000000001</v>
      </c>
      <c r="H17" s="3"/>
      <c r="I17" s="1">
        <f>IFERROR(Tabela2[[#This Row],[Valor Unitario]]*Tabela2[[#This Row],[Quantidade]]*(1-Tabela2[[#This Row],[Desconto]]),"0")</f>
        <v>52.900000000000006</v>
      </c>
    </row>
    <row r="18" spans="2:9" x14ac:dyDescent="0.2">
      <c r="B18" s="100">
        <v>42188</v>
      </c>
      <c r="C18" t="s">
        <v>71</v>
      </c>
      <c r="D18" t="s">
        <v>79</v>
      </c>
      <c r="E18" s="4" t="str">
        <f>IFERROR(VLOOKUP(Tabela2[[#This Row],[Mercadoria]],cálculos!$O$4:$R$27,4,FALSE),"")</f>
        <v>Unidade</v>
      </c>
      <c r="F18" s="4">
        <v>300</v>
      </c>
      <c r="G18" s="1">
        <f>IFERROR(VLOOKUP(Tabela2[[#This Row],[Mercadoria]],cálculos!$O$3:$R$27,2,FALSE),"")</f>
        <v>2.6299000000000001</v>
      </c>
      <c r="H18" s="3"/>
      <c r="I18" s="1">
        <f>IFERROR(Tabela2[[#This Row],[Valor Unitario]]*Tabela2[[#This Row],[Quantidade]]*(1-Tabela2[[#This Row],[Desconto]]),"0")</f>
        <v>788.97</v>
      </c>
    </row>
    <row r="19" spans="2:9" x14ac:dyDescent="0.2">
      <c r="B19" s="101">
        <v>42188</v>
      </c>
      <c r="C19" t="s">
        <v>33</v>
      </c>
      <c r="D19" t="s">
        <v>78</v>
      </c>
      <c r="E19" s="4" t="str">
        <f>IFERROR(VLOOKUP(Tabela2[[#This Row],[Mercadoria]],cálculos!$O$4:$R$27,4,FALSE),"")</f>
        <v>Pacote</v>
      </c>
      <c r="F19" s="4">
        <v>100</v>
      </c>
      <c r="G19" s="1">
        <f>IFERROR(VLOOKUP(Tabela2[[#This Row],[Mercadoria]],cálculos!$O$3:$R$27,2,FALSE),"")</f>
        <v>1.8506999999999998</v>
      </c>
      <c r="H19" s="3"/>
      <c r="I19" s="1">
        <f>IFERROR(Tabela2[[#This Row],[Valor Unitario]]*Tabela2[[#This Row],[Quantidade]]*(1-Tabela2[[#This Row],[Desconto]]),"0")</f>
        <v>185.07</v>
      </c>
    </row>
    <row r="20" spans="2:9" x14ac:dyDescent="0.2">
      <c r="B20" s="100">
        <v>42188</v>
      </c>
      <c r="C20" t="s">
        <v>29</v>
      </c>
      <c r="D20" t="s">
        <v>76</v>
      </c>
      <c r="E20" s="4" t="str">
        <f>IFERROR(VLOOKUP(Tabela2[[#This Row],[Mercadoria]],cálculos!$O$4:$R$27,4,FALSE),"")</f>
        <v>Lata</v>
      </c>
      <c r="F20" s="4">
        <v>100</v>
      </c>
      <c r="G20" s="1">
        <f>IFERROR(VLOOKUP(Tabela2[[#This Row],[Mercadoria]],cálculos!$O$3:$R$27,2,FALSE),"")</f>
        <v>2.1023999999999998</v>
      </c>
      <c r="H20" s="3"/>
      <c r="I20" s="1">
        <f>IFERROR(Tabela2[[#This Row],[Valor Unitario]]*Tabela2[[#This Row],[Quantidade]]*(1-Tabela2[[#This Row],[Desconto]]),"0")</f>
        <v>210.23999999999998</v>
      </c>
    </row>
    <row r="21" spans="2:9" x14ac:dyDescent="0.2">
      <c r="B21" s="101">
        <v>42188</v>
      </c>
      <c r="C21" t="s">
        <v>21</v>
      </c>
      <c r="D21" t="s">
        <v>80</v>
      </c>
      <c r="E21" s="4" t="str">
        <f>IFERROR(VLOOKUP(Tabela2[[#This Row],[Mercadoria]],cálculos!$O$4:$R$27,4,FALSE),"")</f>
        <v>Kg</v>
      </c>
      <c r="F21" s="4">
        <v>110</v>
      </c>
      <c r="G21" s="1">
        <f>IFERROR(VLOOKUP(Tabela2[[#This Row],[Mercadoria]],cálculos!$O$3:$R$27,2,FALSE),"")</f>
        <v>6.4216000000000006</v>
      </c>
      <c r="H21" s="3"/>
      <c r="I21" s="1">
        <f>IFERROR(Tabela2[[#This Row],[Valor Unitario]]*Tabela2[[#This Row],[Quantidade]]*(1-Tabela2[[#This Row],[Desconto]]),"0")</f>
        <v>706.37600000000009</v>
      </c>
    </row>
    <row r="22" spans="2:9" x14ac:dyDescent="0.2">
      <c r="B22" s="100">
        <v>42188</v>
      </c>
      <c r="C22" t="s">
        <v>22</v>
      </c>
      <c r="D22" t="s">
        <v>81</v>
      </c>
      <c r="E22" s="4" t="str">
        <f>IFERROR(VLOOKUP(Tabela2[[#This Row],[Mercadoria]],cálculos!$O$4:$R$27,4,FALSE),"")</f>
        <v>Kg</v>
      </c>
      <c r="F22" s="4">
        <v>50</v>
      </c>
      <c r="G22" s="1">
        <f>IFERROR(VLOOKUP(Tabela2[[#This Row],[Mercadoria]],cálculos!$O$3:$R$27,2,FALSE),"")</f>
        <v>22.226999999999997</v>
      </c>
      <c r="H22" s="3"/>
      <c r="I22" s="1">
        <f>IFERROR(Tabela2[[#This Row],[Valor Unitario]]*Tabela2[[#This Row],[Quantidade]]*(1-Tabela2[[#This Row],[Desconto]]),"0")</f>
        <v>1111.3499999999999</v>
      </c>
    </row>
    <row r="23" spans="2:9" x14ac:dyDescent="0.2">
      <c r="B23" s="101">
        <v>42187</v>
      </c>
      <c r="C23" t="s">
        <v>19</v>
      </c>
      <c r="D23" t="s">
        <v>75</v>
      </c>
      <c r="E23" s="4" t="str">
        <f>IFERROR(VLOOKUP(Tabela2[[#This Row],[Mercadoria]],cálculos!$O$4:$R$27,4,FALSE),"")</f>
        <v>Unidade</v>
      </c>
      <c r="F23" s="4">
        <v>300</v>
      </c>
      <c r="G23" s="1">
        <f>IFERROR(VLOOKUP(Tabela2[[#This Row],[Mercadoria]],cálculos!$O$3:$R$27,2,FALSE),"")</f>
        <v>2.8405</v>
      </c>
      <c r="H23" s="3"/>
      <c r="I23" s="1">
        <f>IFERROR(Tabela2[[#This Row],[Valor Unitario]]*Tabela2[[#This Row],[Quantidade]]*(1-Tabela2[[#This Row],[Desconto]]),"0")</f>
        <v>852.15</v>
      </c>
    </row>
    <row r="24" spans="2:9" x14ac:dyDescent="0.2">
      <c r="B24" s="100">
        <v>42187</v>
      </c>
      <c r="C24" t="s">
        <v>19</v>
      </c>
      <c r="D24" t="s">
        <v>74</v>
      </c>
      <c r="E24" s="4" t="str">
        <f>IFERROR(VLOOKUP(Tabela2[[#This Row],[Mercadoria]],cálculos!$O$4:$R$27,4,FALSE),"")</f>
        <v>Unidade</v>
      </c>
      <c r="F24" s="4">
        <v>150</v>
      </c>
      <c r="G24" s="1">
        <f>IFERROR(VLOOKUP(Tabela2[[#This Row],[Mercadoria]],cálculos!$O$3:$R$27,2,FALSE),"")</f>
        <v>2.8405</v>
      </c>
      <c r="H24" s="3"/>
      <c r="I24" s="1">
        <f>IFERROR(Tabela2[[#This Row],[Valor Unitario]]*Tabela2[[#This Row],[Quantidade]]*(1-Tabela2[[#This Row],[Desconto]]),"0")</f>
        <v>426.07499999999999</v>
      </c>
    </row>
    <row r="25" spans="2:9" x14ac:dyDescent="0.2">
      <c r="B25" s="101">
        <v>42187</v>
      </c>
      <c r="C25" t="s">
        <v>26</v>
      </c>
      <c r="D25" t="s">
        <v>82</v>
      </c>
      <c r="E25" s="4" t="str">
        <f>IFERROR(VLOOKUP(Tabela2[[#This Row],[Mercadoria]],cálculos!$O$4:$R$27,4,FALSE),"")</f>
        <v>Kg</v>
      </c>
      <c r="F25" s="4">
        <v>150</v>
      </c>
      <c r="G25" s="1">
        <f>IFERROR(VLOOKUP(Tabela2[[#This Row],[Mercadoria]],cálculos!$O$3:$R$27,2,FALSE),"")</f>
        <v>3.6309000000000005</v>
      </c>
      <c r="H25" s="3"/>
      <c r="I25" s="1">
        <f>IFERROR(Tabela2[[#This Row],[Valor Unitario]]*Tabela2[[#This Row],[Quantidade]]*(1-Tabela2[[#This Row],[Desconto]]),"0")</f>
        <v>544.6350000000001</v>
      </c>
    </row>
    <row r="26" spans="2:9" x14ac:dyDescent="0.2">
      <c r="B26" s="100">
        <v>42187</v>
      </c>
      <c r="C26" t="s">
        <v>20</v>
      </c>
      <c r="D26" t="s">
        <v>83</v>
      </c>
      <c r="E26" s="4" t="str">
        <f>IFERROR(VLOOKUP(Tabela2[[#This Row],[Mercadoria]],cálculos!$O$4:$R$27,4,FALSE),"")</f>
        <v>Kg</v>
      </c>
      <c r="F26" s="4">
        <v>150</v>
      </c>
      <c r="G26" s="1">
        <f>IFERROR(VLOOKUP(Tabela2[[#This Row],[Mercadoria]],cálculos!$O$3:$R$27,2,FALSE),"")</f>
        <v>14.469000000000001</v>
      </c>
      <c r="H26" s="3"/>
      <c r="I26" s="1">
        <f>IFERROR(Tabela2[[#This Row],[Valor Unitario]]*Tabela2[[#This Row],[Quantidade]]*(1-Tabela2[[#This Row],[Desconto]]),"0")</f>
        <v>2170.3500000000004</v>
      </c>
    </row>
    <row r="27" spans="2:9" x14ac:dyDescent="0.2">
      <c r="B27" s="101">
        <v>42187</v>
      </c>
      <c r="C27" t="s">
        <v>29</v>
      </c>
      <c r="D27" t="s">
        <v>76</v>
      </c>
      <c r="E27" s="4" t="str">
        <f>IFERROR(VLOOKUP(Tabela2[[#This Row],[Mercadoria]],cálculos!$O$4:$R$27,4,FALSE),"")</f>
        <v>Lata</v>
      </c>
      <c r="F27" s="4">
        <v>100</v>
      </c>
      <c r="G27" s="1">
        <f>IFERROR(VLOOKUP(Tabela2[[#This Row],[Mercadoria]],cálculos!$O$3:$R$27,2,FALSE),"")</f>
        <v>2.1023999999999998</v>
      </c>
      <c r="H27" s="3"/>
      <c r="I27" s="1">
        <f>IFERROR(Tabela2[[#This Row],[Valor Unitario]]*Tabela2[[#This Row],[Quantidade]]*(1-Tabela2[[#This Row],[Desconto]]),"0")</f>
        <v>210.23999999999998</v>
      </c>
    </row>
    <row r="28" spans="2:9" x14ac:dyDescent="0.2">
      <c r="B28" s="100">
        <v>42187</v>
      </c>
      <c r="C28" t="s">
        <v>24</v>
      </c>
      <c r="D28" t="s">
        <v>76</v>
      </c>
      <c r="E28" s="4" t="str">
        <f>IFERROR(VLOOKUP(Tabela2[[#This Row],[Mercadoria]],cálculos!$O$4:$R$27,4,FALSE),"")</f>
        <v>Garrafa</v>
      </c>
      <c r="F28" s="4">
        <v>80</v>
      </c>
      <c r="G28" s="1">
        <f>IFERROR(VLOOKUP(Tabela2[[#This Row],[Mercadoria]],cálculos!$O$3:$R$27,2,FALSE),"")</f>
        <v>26.012999999999998</v>
      </c>
      <c r="H28" s="3"/>
      <c r="I28" s="1">
        <f>IFERROR(Tabela2[[#This Row],[Valor Unitario]]*Tabela2[[#This Row],[Quantidade]]*(1-Tabela2[[#This Row],[Desconto]]),"0")</f>
        <v>2081.04</v>
      </c>
    </row>
    <row r="29" spans="2:9" x14ac:dyDescent="0.2">
      <c r="B29" s="101">
        <v>42187</v>
      </c>
      <c r="C29" t="s">
        <v>31</v>
      </c>
      <c r="D29" t="s">
        <v>74</v>
      </c>
      <c r="E29" s="4" t="str">
        <f>IFERROR(VLOOKUP(Tabela2[[#This Row],[Mercadoria]],cálculos!$O$4:$R$27,4,FALSE),"")</f>
        <v>Unidade</v>
      </c>
      <c r="F29" s="4">
        <v>100</v>
      </c>
      <c r="G29" s="1">
        <f>IFERROR(VLOOKUP(Tabela2[[#This Row],[Mercadoria]],cálculos!$O$3:$R$27,2,FALSE),"")</f>
        <v>2.3660000000000001</v>
      </c>
      <c r="H29" s="3"/>
      <c r="I29" s="1">
        <f>IFERROR(Tabela2[[#This Row],[Valor Unitario]]*Tabela2[[#This Row],[Quantidade]]*(1-Tabela2[[#This Row],[Desconto]]),"0")</f>
        <v>236.60000000000002</v>
      </c>
    </row>
    <row r="30" spans="2:9" x14ac:dyDescent="0.2">
      <c r="E30" s="4" t="str">
        <f>IFERROR(VLOOKUP(#REF!,cálculos!$O$4:$R$27,4,FALSE),"")</f>
        <v/>
      </c>
      <c r="G30" s="1" t="str">
        <f>IFERROR(VLOOKUP(#REF!,cálculos!$O$3:$R$27,2,FALSE),"")</f>
        <v/>
      </c>
      <c r="H30" s="3"/>
      <c r="I30" s="1" t="str">
        <f>IFERROR(#REF!*#REF!*(1-#REF!),"R$       -")</f>
        <v>R$       -</v>
      </c>
    </row>
    <row r="31" spans="2:9" x14ac:dyDescent="0.2">
      <c r="E31" s="4" t="str">
        <f>IFERROR(VLOOKUP(#REF!,cálculos!$O$4:$R$27,4,FALSE),"")</f>
        <v/>
      </c>
      <c r="G31" s="1" t="str">
        <f>IFERROR(VLOOKUP(#REF!,cálculos!$O$3:$R$27,2,FALSE),"")</f>
        <v/>
      </c>
      <c r="H31" s="3"/>
      <c r="I31" s="1" t="str">
        <f>IFERROR(#REF!*#REF!*(1-#REF!),"R$       -")</f>
        <v>R$       -</v>
      </c>
    </row>
    <row r="32" spans="2:9" x14ac:dyDescent="0.2">
      <c r="E32" s="4" t="str">
        <f>IFERROR(VLOOKUP(#REF!,cálculos!$O$4:$R$27,4,FALSE),"")</f>
        <v/>
      </c>
      <c r="G32" s="1" t="str">
        <f>IFERROR(VLOOKUP(#REF!,cálculos!$O$3:$R$27,2,FALSE),"")</f>
        <v/>
      </c>
      <c r="H32" s="3"/>
      <c r="I32" s="1" t="str">
        <f>IFERROR(#REF!*#REF!*(1-#REF!),"R$       -")</f>
        <v>R$       -</v>
      </c>
    </row>
    <row r="33" spans="2:9" x14ac:dyDescent="0.2">
      <c r="D33" s="7"/>
      <c r="E33" s="4"/>
      <c r="F33" s="1"/>
      <c r="G33" s="3"/>
      <c r="H33" s="1"/>
    </row>
    <row r="34" spans="2:9" ht="21" x14ac:dyDescent="0.3">
      <c r="B34" s="102" t="s">
        <v>84</v>
      </c>
      <c r="C34" s="9"/>
      <c r="D34" s="10"/>
      <c r="E34" s="11"/>
      <c r="F34" s="12"/>
      <c r="G34" s="13"/>
      <c r="H34" s="12"/>
      <c r="I34" s="12" t="str">
        <f>IFERROR(SUM(#REF!),"R$     -")</f>
        <v>R$     -</v>
      </c>
    </row>
  </sheetData>
  <mergeCells count="1">
    <mergeCell ref="A2:O2"/>
  </mergeCells>
  <phoneticPr fontId="4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596ADC-D0E1-4A35-92FF-4117BE1A7230}">
          <x14:formula1>
            <xm:f>cálculos!$O$4:$O$27</xm:f>
          </x14:formula1>
          <xm:sqref>C7:C29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N30"/>
  <sheetViews>
    <sheetView workbookViewId="0">
      <selection activeCell="P9" sqref="P9"/>
    </sheetView>
  </sheetViews>
  <sheetFormatPr defaultRowHeight="15" x14ac:dyDescent="0.2"/>
  <cols>
    <col min="2" max="2" width="14.796875" bestFit="1" customWidth="1"/>
    <col min="3" max="3" width="22.46484375" customWidth="1"/>
    <col min="4" max="4" width="18.5625" bestFit="1" customWidth="1"/>
    <col min="5" max="5" width="21.25390625" customWidth="1"/>
    <col min="6" max="6" width="19.37109375" customWidth="1"/>
    <col min="7" max="7" width="16.94921875" customWidth="1"/>
    <col min="8" max="8" width="9.81640625" customWidth="1"/>
  </cols>
  <sheetData>
    <row r="1" spans="1:14" ht="4.9000000000000004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36.75" x14ac:dyDescent="0.2">
      <c r="A2" s="106" t="s">
        <v>152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5" spans="1:14" x14ac:dyDescent="0.2">
      <c r="B5" s="23" t="s">
        <v>97</v>
      </c>
      <c r="C5" s="21" t="s">
        <v>99</v>
      </c>
      <c r="D5" s="23" t="s">
        <v>100</v>
      </c>
      <c r="E5" s="23" t="s">
        <v>98</v>
      </c>
      <c r="F5" s="23" t="s">
        <v>101</v>
      </c>
      <c r="G5" s="23" t="s">
        <v>102</v>
      </c>
      <c r="H5" s="23" t="s">
        <v>103</v>
      </c>
    </row>
    <row r="6" spans="1:14" x14ac:dyDescent="0.2">
      <c r="B6" s="23" t="s">
        <v>19</v>
      </c>
      <c r="C6" s="21">
        <f>IFERROR(INDEX(Tabela2[],MATCH(Tabela4[[#This Row],[Produto]],Tabela2[Mercadoria],0),1),"-")</f>
        <v>42187</v>
      </c>
      <c r="D6" s="24">
        <v>0</v>
      </c>
      <c r="E6" s="24">
        <f>IFERROR(SUMIF(Tabela2[Mercadoria],Tabela4[[#This Row],[Produto]],Tabela2[Quantidade]),"0")</f>
        <v>450</v>
      </c>
      <c r="F6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39</v>
      </c>
      <c r="G6" s="24">
        <f>Tabela4[[#This Row],[Quantidade Inicial]]+Tabela4[[#This Row],[Quantidade Comprada]]-Tabela4[[#This Row],[Quantidade Vendida]]</f>
        <v>411</v>
      </c>
      <c r="H6" s="23" t="str">
        <f>IF(Tabela4[[#This Row],[Quantidade Atual]]&lt;200,IF(Tabela4[[#This Row],[Quantidade Atual]]&lt;100,"Comprar","Atenção"),"OK")</f>
        <v>OK</v>
      </c>
    </row>
    <row r="7" spans="1:14" x14ac:dyDescent="0.2">
      <c r="B7" s="23" t="s">
        <v>28</v>
      </c>
      <c r="C7" s="21">
        <f>IFERROR(INDEX(Tabela2[],MATCH(Tabela4[[#This Row],[Produto]],Tabela2[Mercadoria],0),1),"-")</f>
        <v>42189</v>
      </c>
      <c r="D7" s="24">
        <v>0</v>
      </c>
      <c r="E7" s="24">
        <f>IFERROR(SUMIF(Tabela2[Mercadoria],Tabela4[[#This Row],[Produto]],Tabela2[Quantidade]),"0")</f>
        <v>200</v>
      </c>
      <c r="F7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26</v>
      </c>
      <c r="G7" s="24">
        <f>Tabela4[[#This Row],[Quantidade Inicial]]+Tabela4[[#This Row],[Quantidade Comprada]]-Tabela4[[#This Row],[Quantidade Vendida]]</f>
        <v>174</v>
      </c>
      <c r="H7" s="23" t="str">
        <f>IF(Tabela4[[#This Row],[Quantidade Atual]]&lt;200,IF(Tabela4[[#This Row],[Quantidade Atual]]&lt;100,"Comprar","Atenção"),"OK")</f>
        <v>Atenção</v>
      </c>
    </row>
    <row r="8" spans="1:14" x14ac:dyDescent="0.2">
      <c r="B8" s="23" t="s">
        <v>16</v>
      </c>
      <c r="C8" s="21" t="str">
        <f>IFERROR(INDEX(Tabela2[],MATCH(Tabela4[[#This Row],[Produto]],Tabela2[Mercadoria],0),1),"-")</f>
        <v>-</v>
      </c>
      <c r="D8" s="24">
        <v>0</v>
      </c>
      <c r="E8" s="24">
        <f>IFERROR(SUMIF(Tabela2[Mercadoria],Tabela4[[#This Row],[Produto]],Tabela2[Quantidade]),"0")</f>
        <v>0</v>
      </c>
      <c r="F8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39</v>
      </c>
      <c r="G8" s="24">
        <f>Tabela4[[#This Row],[Quantidade Inicial]]+Tabela4[[#This Row],[Quantidade Comprada]]-Tabela4[[#This Row],[Quantidade Vendida]]</f>
        <v>-39</v>
      </c>
      <c r="H8" s="23" t="str">
        <f>IF(Tabela4[[#This Row],[Quantidade Atual]]&lt;200,IF(Tabela4[[#This Row],[Quantidade Atual]]&lt;100,"Comprar","Atenção"),"OK")</f>
        <v>Comprar</v>
      </c>
    </row>
    <row r="9" spans="1:14" x14ac:dyDescent="0.2">
      <c r="B9" s="23" t="s">
        <v>33</v>
      </c>
      <c r="C9" s="21">
        <f>IFERROR(INDEX(Tabela2[],MATCH(Tabela4[[#This Row],[Produto]],Tabela2[Mercadoria],0),1),"-")</f>
        <v>42188</v>
      </c>
      <c r="D9" s="24">
        <v>0</v>
      </c>
      <c r="E9" s="24">
        <f>IFERROR(SUMIF(Tabela2[Mercadoria],Tabela4[[#This Row],[Produto]],Tabela2[Quantidade]),"0")</f>
        <v>100</v>
      </c>
      <c r="F9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14</v>
      </c>
      <c r="G9" s="24">
        <f>Tabela4[[#This Row],[Quantidade Inicial]]+Tabela4[[#This Row],[Quantidade Comprada]]-Tabela4[[#This Row],[Quantidade Vendida]]</f>
        <v>86</v>
      </c>
      <c r="H9" s="23" t="str">
        <f>IF(Tabela4[[#This Row],[Quantidade Atual]]&lt;200,IF(Tabela4[[#This Row],[Quantidade Atual]]&lt;100,"Comprar","Atenção"),"OK")</f>
        <v>Comprar</v>
      </c>
    </row>
    <row r="10" spans="1:14" x14ac:dyDescent="0.2">
      <c r="B10" s="23" t="s">
        <v>36</v>
      </c>
      <c r="C10" s="21" t="str">
        <f>IFERROR(INDEX(Tabela2[],MATCH(Tabela4[[#This Row],[Produto]],Tabela2[Mercadoria],0),1),"-")</f>
        <v>-</v>
      </c>
      <c r="D10" s="24">
        <v>0</v>
      </c>
      <c r="E10" s="24">
        <f>IFERROR(SUMIF(Tabela2[Mercadoria],Tabela4[[#This Row],[Produto]],Tabela2[Quantidade]),"0")</f>
        <v>0</v>
      </c>
      <c r="F10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10" s="24">
        <f>Tabela4[[#This Row],[Quantidade Inicial]]+Tabela4[[#This Row],[Quantidade Comprada]]-Tabela4[[#This Row],[Quantidade Vendida]]</f>
        <v>0</v>
      </c>
      <c r="H10" s="23" t="str">
        <f>IF(Tabela4[[#This Row],[Quantidade Atual]]&lt;200,IF(Tabela4[[#This Row],[Quantidade Atual]]&lt;100,"Comprar","Atenção"),"OK")</f>
        <v>Comprar</v>
      </c>
    </row>
    <row r="11" spans="1:14" x14ac:dyDescent="0.2">
      <c r="B11" s="23" t="s">
        <v>32</v>
      </c>
      <c r="C11" s="21">
        <f>IFERROR(INDEX(Tabela2[],MATCH(Tabela4[[#This Row],[Produto]],Tabela2[Mercadoria],0),1),"-")</f>
        <v>42190</v>
      </c>
      <c r="D11" s="24">
        <v>0</v>
      </c>
      <c r="E11" s="24">
        <f>IFERROR(SUMIF(Tabela2[Mercadoria],Tabela4[[#This Row],[Produto]],Tabela2[Quantidade]),"0")</f>
        <v>120</v>
      </c>
      <c r="F11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9</v>
      </c>
      <c r="G11" s="24">
        <f>Tabela4[[#This Row],[Quantidade Inicial]]+Tabela4[[#This Row],[Quantidade Comprada]]-Tabela4[[#This Row],[Quantidade Vendida]]</f>
        <v>111</v>
      </c>
      <c r="H11" s="23" t="str">
        <f>IF(Tabela4[[#This Row],[Quantidade Atual]]&lt;200,IF(Tabela4[[#This Row],[Quantidade Atual]]&lt;100,"Comprar","Atenção"),"OK")</f>
        <v>Atenção</v>
      </c>
    </row>
    <row r="12" spans="1:14" x14ac:dyDescent="0.2">
      <c r="B12" s="23" t="s">
        <v>20</v>
      </c>
      <c r="C12" s="21">
        <f>IFERROR(INDEX(Tabela2[],MATCH(Tabela4[[#This Row],[Produto]],Tabela2[Mercadoria],0),1),"-")</f>
        <v>42187</v>
      </c>
      <c r="D12" s="24">
        <v>0</v>
      </c>
      <c r="E12" s="24">
        <f>IFERROR(SUMIF(Tabela2[Mercadoria],Tabela4[[#This Row],[Produto]],Tabela2[Quantidade]),"0")</f>
        <v>150</v>
      </c>
      <c r="F12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12</v>
      </c>
      <c r="G12" s="24">
        <f>Tabela4[[#This Row],[Quantidade Inicial]]+Tabela4[[#This Row],[Quantidade Comprada]]-Tabela4[[#This Row],[Quantidade Vendida]]</f>
        <v>138</v>
      </c>
      <c r="H12" s="23" t="str">
        <f>IF(Tabela4[[#This Row],[Quantidade Atual]]&lt;200,IF(Tabela4[[#This Row],[Quantidade Atual]]&lt;100,"Comprar","Atenção"),"OK")</f>
        <v>Atenção</v>
      </c>
    </row>
    <row r="13" spans="1:14" x14ac:dyDescent="0.2">
      <c r="B13" s="23" t="s">
        <v>26</v>
      </c>
      <c r="C13" s="21">
        <f>IFERROR(INDEX(Tabela2[],MATCH(Tabela4[[#This Row],[Produto]],Tabela2[Mercadoria],0),1),"-")</f>
        <v>42187</v>
      </c>
      <c r="D13" s="24">
        <v>0</v>
      </c>
      <c r="E13" s="24">
        <f>IFERROR(SUMIF(Tabela2[Mercadoria],Tabela4[[#This Row],[Produto]],Tabela2[Quantidade]),"0")</f>
        <v>150</v>
      </c>
      <c r="F13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10</v>
      </c>
      <c r="G13" s="24">
        <f>Tabela4[[#This Row],[Quantidade Inicial]]+Tabela4[[#This Row],[Quantidade Comprada]]-Tabela4[[#This Row],[Quantidade Vendida]]</f>
        <v>140</v>
      </c>
      <c r="H13" s="23" t="str">
        <f>IF(Tabela4[[#This Row],[Quantidade Atual]]&lt;200,IF(Tabela4[[#This Row],[Quantidade Atual]]&lt;100,"Comprar","Atenção"),"OK")</f>
        <v>Atenção</v>
      </c>
    </row>
    <row r="14" spans="1:14" x14ac:dyDescent="0.2">
      <c r="B14" s="23" t="s">
        <v>29</v>
      </c>
      <c r="C14" s="21">
        <f>IFERROR(INDEX(Tabela2[],MATCH(Tabela4[[#This Row],[Produto]],Tabela2[Mercadoria],0),1),"-")</f>
        <v>42189</v>
      </c>
      <c r="D14" s="24">
        <v>0</v>
      </c>
      <c r="E14" s="24">
        <f>IFERROR(SUMIF(Tabela2[Mercadoria],Tabela4[[#This Row],[Produto]],Tabela2[Quantidade]),"0")</f>
        <v>300</v>
      </c>
      <c r="F14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251</v>
      </c>
      <c r="G14" s="24">
        <f>Tabela4[[#This Row],[Quantidade Inicial]]+Tabela4[[#This Row],[Quantidade Comprada]]-Tabela4[[#This Row],[Quantidade Vendida]]</f>
        <v>49</v>
      </c>
      <c r="H14" s="23" t="str">
        <f>IF(Tabela4[[#This Row],[Quantidade Atual]]&lt;200,IF(Tabela4[[#This Row],[Quantidade Atual]]&lt;100,"Comprar","Atenção"),"OK")</f>
        <v>Comprar</v>
      </c>
    </row>
    <row r="15" spans="1:14" x14ac:dyDescent="0.2">
      <c r="B15" s="23" t="s">
        <v>34</v>
      </c>
      <c r="C15" s="21">
        <f>IFERROR(INDEX(Tabela2[],MATCH(Tabela4[[#This Row],[Produto]],Tabela2[Mercadoria],0),1),"-")</f>
        <v>42188</v>
      </c>
      <c r="D15" s="24">
        <v>0</v>
      </c>
      <c r="E15" s="24">
        <f>IFERROR(SUMIF(Tabela2[Mercadoria],Tabela4[[#This Row],[Produto]],Tabela2[Quantidade]),"0")</f>
        <v>100</v>
      </c>
      <c r="F15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15" s="24">
        <f>Tabela4[[#This Row],[Quantidade Inicial]]+Tabela4[[#This Row],[Quantidade Comprada]]-Tabela4[[#This Row],[Quantidade Vendida]]</f>
        <v>100</v>
      </c>
      <c r="H15" s="23" t="str">
        <f>IF(Tabela4[[#This Row],[Quantidade Atual]]&lt;200,IF(Tabela4[[#This Row],[Quantidade Atual]]&lt;100,"Comprar","Atenção"),"OK")</f>
        <v>Atenção</v>
      </c>
    </row>
    <row r="16" spans="1:14" x14ac:dyDescent="0.2">
      <c r="B16" s="23" t="s">
        <v>35</v>
      </c>
      <c r="C16" s="21">
        <f>IFERROR(INDEX(Tabela2[],MATCH(Tabela4[[#This Row],[Produto]],Tabela2[Mercadoria],0),1),"-")</f>
        <v>42188</v>
      </c>
      <c r="D16" s="24">
        <v>0</v>
      </c>
      <c r="E16" s="24">
        <f>IFERROR(SUMIF(Tabela2[Mercadoria],Tabela4[[#This Row],[Produto]],Tabela2[Quantidade]),"0")</f>
        <v>100</v>
      </c>
      <c r="F16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16" s="24">
        <f>Tabela4[[#This Row],[Quantidade Inicial]]+Tabela4[[#This Row],[Quantidade Comprada]]-Tabela4[[#This Row],[Quantidade Vendida]]</f>
        <v>100</v>
      </c>
      <c r="H16" s="23" t="str">
        <f>IF(Tabela4[[#This Row],[Quantidade Atual]]&lt;200,IF(Tabela4[[#This Row],[Quantidade Atual]]&lt;100,"Comprar","Atenção"),"OK")</f>
        <v>Atenção</v>
      </c>
    </row>
    <row r="17" spans="2:8" x14ac:dyDescent="0.2">
      <c r="B17" s="23" t="s">
        <v>31</v>
      </c>
      <c r="C17" s="21">
        <f>IFERROR(INDEX(Tabela2[],MATCH(Tabela4[[#This Row],[Produto]],Tabela2[Mercadoria],0),1),"-")</f>
        <v>42190</v>
      </c>
      <c r="D17" s="24">
        <v>0</v>
      </c>
      <c r="E17" s="24">
        <f>IFERROR(SUMIF(Tabela2[Mercadoria],Tabela4[[#This Row],[Produto]],Tabela2[Quantidade]),"0")</f>
        <v>150</v>
      </c>
      <c r="F17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12</v>
      </c>
      <c r="G17" s="24">
        <f>Tabela4[[#This Row],[Quantidade Inicial]]+Tabela4[[#This Row],[Quantidade Comprada]]-Tabela4[[#This Row],[Quantidade Vendida]]</f>
        <v>138</v>
      </c>
      <c r="H17" s="23" t="str">
        <f>IF(Tabela4[[#This Row],[Quantidade Atual]]&lt;200,IF(Tabela4[[#This Row],[Quantidade Atual]]&lt;100,"Comprar","Atenção"),"OK")</f>
        <v>Atenção</v>
      </c>
    </row>
    <row r="18" spans="2:8" x14ac:dyDescent="0.2">
      <c r="B18" s="23" t="s">
        <v>17</v>
      </c>
      <c r="C18" s="21">
        <f>IFERROR(INDEX(Tabela2[],MATCH(Tabela4[[#This Row],[Produto]],Tabela2[Mercadoria],0),1),"-")</f>
        <v>42189</v>
      </c>
      <c r="D18" s="24">
        <v>0</v>
      </c>
      <c r="E18" s="24">
        <f>IFERROR(SUMIF(Tabela2[Mercadoria],Tabela4[[#This Row],[Produto]],Tabela2[Quantidade]),"0")</f>
        <v>450</v>
      </c>
      <c r="F18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24</v>
      </c>
      <c r="G18" s="24">
        <f>Tabela4[[#This Row],[Quantidade Inicial]]+Tabela4[[#This Row],[Quantidade Comprada]]-Tabela4[[#This Row],[Quantidade Vendida]]</f>
        <v>426</v>
      </c>
      <c r="H18" s="23" t="str">
        <f>IF(Tabela4[[#This Row],[Quantidade Atual]]&lt;200,IF(Tabela4[[#This Row],[Quantidade Atual]]&lt;100,"Comprar","Atenção"),"OK")</f>
        <v>OK</v>
      </c>
    </row>
    <row r="19" spans="2:8" x14ac:dyDescent="0.2">
      <c r="B19" s="23" t="s">
        <v>21</v>
      </c>
      <c r="C19" s="21">
        <f>IFERROR(INDEX(Tabela2[],MATCH(Tabela4[[#This Row],[Produto]],Tabela2[Mercadoria],0),1),"-")</f>
        <v>42188</v>
      </c>
      <c r="D19" s="24">
        <v>0</v>
      </c>
      <c r="E19" s="24">
        <f>IFERROR(SUMIF(Tabela2[Mercadoria],Tabela4[[#This Row],[Produto]],Tabela2[Quantidade]),"0")</f>
        <v>110</v>
      </c>
      <c r="F19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19" s="24">
        <f>Tabela4[[#This Row],[Quantidade Inicial]]+Tabela4[[#This Row],[Quantidade Comprada]]-Tabela4[[#This Row],[Quantidade Vendida]]</f>
        <v>110</v>
      </c>
      <c r="H19" s="23" t="str">
        <f>IF(Tabela4[[#This Row],[Quantidade Atual]]&lt;200,IF(Tabela4[[#This Row],[Quantidade Atual]]&lt;100,"Comprar","Atenção"),"OK")</f>
        <v>Atenção</v>
      </c>
    </row>
    <row r="20" spans="2:8" x14ac:dyDescent="0.2">
      <c r="B20" s="23" t="s">
        <v>66</v>
      </c>
      <c r="C20" s="21" t="str">
        <f>IFERROR(INDEX(Tabela2[],MATCH(Tabela4[[#This Row],[Produto]],Tabela2[Mercadoria],0),1),"-")</f>
        <v>-</v>
      </c>
      <c r="D20" s="24">
        <v>0</v>
      </c>
      <c r="E20" s="24">
        <f>IFERROR(SUMIF(Tabela2[Mercadoria],Tabela4[[#This Row],[Produto]],Tabela2[Quantidade]),"0")</f>
        <v>0</v>
      </c>
      <c r="F20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20" s="24">
        <f>Tabela4[[#This Row],[Quantidade Inicial]]+Tabela4[[#This Row],[Quantidade Comprada]]-Tabela4[[#This Row],[Quantidade Vendida]]</f>
        <v>0</v>
      </c>
      <c r="H20" s="23" t="str">
        <f>IF(Tabela4[[#This Row],[Quantidade Atual]]&lt;200,IF(Tabela4[[#This Row],[Quantidade Atual]]&lt;100,"Comprar","Atenção"),"OK")</f>
        <v>Comprar</v>
      </c>
    </row>
    <row r="21" spans="2:8" x14ac:dyDescent="0.2">
      <c r="B21" s="23" t="s">
        <v>71</v>
      </c>
      <c r="C21" s="21">
        <f>IFERROR(INDEX(Tabela2[],MATCH(Tabela4[[#This Row],[Produto]],Tabela2[Mercadoria],0),1),"-")</f>
        <v>42189</v>
      </c>
      <c r="D21" s="24">
        <v>0</v>
      </c>
      <c r="E21" s="24">
        <f>IFERROR(SUMIF(Tabela2[Mercadoria],Tabela4[[#This Row],[Produto]],Tabela2[Quantidade]),"0")</f>
        <v>500</v>
      </c>
      <c r="F21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10</v>
      </c>
      <c r="G21" s="24">
        <f>Tabela4[[#This Row],[Quantidade Inicial]]+Tabela4[[#This Row],[Quantidade Comprada]]-Tabela4[[#This Row],[Quantidade Vendida]]</f>
        <v>490</v>
      </c>
      <c r="H21" s="23" t="str">
        <f>IF(Tabela4[[#This Row],[Quantidade Atual]]&lt;200,IF(Tabela4[[#This Row],[Quantidade Atual]]&lt;100,"Comprar","Atenção"),"OK")</f>
        <v>OK</v>
      </c>
    </row>
    <row r="22" spans="2:8" x14ac:dyDescent="0.2">
      <c r="B22" s="23" t="s">
        <v>22</v>
      </c>
      <c r="C22" s="21">
        <f>IFERROR(INDEX(Tabela2[],MATCH(Tabela4[[#This Row],[Produto]],Tabela2[Mercadoria],0),1),"-")</f>
        <v>42188</v>
      </c>
      <c r="D22" s="24">
        <v>0</v>
      </c>
      <c r="E22" s="24">
        <f>IFERROR(SUMIF(Tabela2[Mercadoria],Tabela4[[#This Row],[Produto]],Tabela2[Quantidade]),"0")</f>
        <v>50</v>
      </c>
      <c r="F22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5</v>
      </c>
      <c r="G22" s="24">
        <f>Tabela4[[#This Row],[Quantidade Inicial]]+Tabela4[[#This Row],[Quantidade Comprada]]-Tabela4[[#This Row],[Quantidade Vendida]]</f>
        <v>45</v>
      </c>
      <c r="H22" s="23" t="str">
        <f>IF(Tabela4[[#This Row],[Quantidade Atual]]&lt;200,IF(Tabela4[[#This Row],[Quantidade Atual]]&lt;100,"Comprar","Atenção"),"OK")</f>
        <v>Comprar</v>
      </c>
    </row>
    <row r="23" spans="2:8" x14ac:dyDescent="0.2">
      <c r="B23" s="23" t="s">
        <v>23</v>
      </c>
      <c r="C23" s="21" t="str">
        <f>IFERROR(INDEX(Tabela2[],MATCH(Tabela4[[#This Row],[Produto]],Tabela2[Mercadoria],0),1),"-")</f>
        <v>-</v>
      </c>
      <c r="D23" s="24">
        <v>0</v>
      </c>
      <c r="E23" s="24">
        <f>IFERROR(SUMIF(Tabela2[Mercadoria],Tabela4[[#This Row],[Produto]],Tabela2[Quantidade]),"0")</f>
        <v>0</v>
      </c>
      <c r="F23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4.5</v>
      </c>
      <c r="G23" s="24">
        <f>Tabela4[[#This Row],[Quantidade Inicial]]+Tabela4[[#This Row],[Quantidade Comprada]]-Tabela4[[#This Row],[Quantidade Vendida]]</f>
        <v>-4.5</v>
      </c>
      <c r="H23" s="23" t="str">
        <f>IF(Tabela4[[#This Row],[Quantidade Atual]]&lt;200,IF(Tabela4[[#This Row],[Quantidade Atual]]&lt;100,"Comprar","Atenção"),"OK")</f>
        <v>Comprar</v>
      </c>
    </row>
    <row r="24" spans="2:8" x14ac:dyDescent="0.2">
      <c r="B24" s="23" t="s">
        <v>72</v>
      </c>
      <c r="C24" s="21" t="str">
        <f>IFERROR(INDEX(Tabela2[],MATCH(Tabela4[[#This Row],[Produto]],Tabela2[Mercadoria],0),1),"-")</f>
        <v>-</v>
      </c>
      <c r="D24" s="24">
        <v>0</v>
      </c>
      <c r="E24" s="24">
        <f>IFERROR(SUMIF(Tabela2[Mercadoria],Tabela4[[#This Row],[Produto]],Tabela2[Quantidade]),"0")</f>
        <v>0</v>
      </c>
      <c r="F24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13</v>
      </c>
      <c r="G24" s="24">
        <f>Tabela4[[#This Row],[Quantidade Inicial]]+Tabela4[[#This Row],[Quantidade Comprada]]-Tabela4[[#This Row],[Quantidade Vendida]]</f>
        <v>-13</v>
      </c>
      <c r="H24" s="23" t="str">
        <f>IF(Tabela4[[#This Row],[Quantidade Atual]]&lt;200,IF(Tabela4[[#This Row],[Quantidade Atual]]&lt;100,"Comprar","Atenção"),"OK")</f>
        <v>Comprar</v>
      </c>
    </row>
    <row r="25" spans="2:8" x14ac:dyDescent="0.2">
      <c r="B25" s="23" t="s">
        <v>25</v>
      </c>
      <c r="C25" s="21" t="str">
        <f>IFERROR(INDEX(Tabela2[],MATCH(Tabela4[[#This Row],[Produto]],Tabela2[Mercadoria],0),1),"-")</f>
        <v>-</v>
      </c>
      <c r="D25" s="24">
        <v>0</v>
      </c>
      <c r="E25" s="24">
        <f>IFERROR(SUMIF(Tabela2[Mercadoria],Tabela4[[#This Row],[Produto]],Tabela2[Quantidade]),"0")</f>
        <v>0</v>
      </c>
      <c r="F25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25" s="24">
        <f>Tabela4[[#This Row],[Quantidade Inicial]]+Tabela4[[#This Row],[Quantidade Comprada]]-Tabela4[[#This Row],[Quantidade Vendida]]</f>
        <v>0</v>
      </c>
      <c r="H25" s="23" t="str">
        <f>IF(Tabela4[[#This Row],[Quantidade Atual]]&lt;200,IF(Tabela4[[#This Row],[Quantidade Atual]]&lt;100,"Comprar","Atenção"),"OK")</f>
        <v>Comprar</v>
      </c>
    </row>
    <row r="26" spans="2:8" x14ac:dyDescent="0.2">
      <c r="B26" s="23" t="s">
        <v>18</v>
      </c>
      <c r="C26" s="21">
        <f>IFERROR(INDEX(Tabela2[],MATCH(Tabela4[[#This Row],[Produto]],Tabela2[Mercadoria],0),1),"-")</f>
        <v>45390</v>
      </c>
      <c r="D26" s="24">
        <v>0</v>
      </c>
      <c r="E26" s="24">
        <f>IFERROR(SUMIF(Tabela2[Mercadoria],Tabela4[[#This Row],[Produto]],Tabela2[Quantidade]),"0")</f>
        <v>500</v>
      </c>
      <c r="F26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100</v>
      </c>
      <c r="G26" s="24">
        <f>Tabela4[[#This Row],[Quantidade Inicial]]+Tabela4[[#This Row],[Quantidade Comprada]]-Tabela4[[#This Row],[Quantidade Vendida]]</f>
        <v>400</v>
      </c>
      <c r="H26" s="23" t="str">
        <f>IF(Tabela4[[#This Row],[Quantidade Atual]]&lt;200,IF(Tabela4[[#This Row],[Quantidade Atual]]&lt;100,"Comprar","Atenção"),"OK")</f>
        <v>OK</v>
      </c>
    </row>
    <row r="27" spans="2:8" x14ac:dyDescent="0.2">
      <c r="B27" s="23" t="s">
        <v>27</v>
      </c>
      <c r="C27" s="21" t="str">
        <f>IFERROR(INDEX(Tabela2[],MATCH(Tabela4[[#This Row],[Produto]],Tabela2[Mercadoria],0),1),"-")</f>
        <v>-</v>
      </c>
      <c r="D27" s="24">
        <v>0</v>
      </c>
      <c r="E27" s="24">
        <f>IFERROR(SUMIF(Tabela2[Mercadoria],Tabela4[[#This Row],[Produto]],Tabela2[Quantidade]),"0")</f>
        <v>0</v>
      </c>
      <c r="F27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6</v>
      </c>
      <c r="G27" s="24">
        <f>Tabela4[[#This Row],[Quantidade Inicial]]+Tabela4[[#This Row],[Quantidade Comprada]]-Tabela4[[#This Row],[Quantidade Vendida]]</f>
        <v>-6</v>
      </c>
      <c r="H27" s="23" t="str">
        <f>IF(Tabela4[[#This Row],[Quantidade Atual]]&lt;200,IF(Tabela4[[#This Row],[Quantidade Atual]]&lt;100,"Comprar","Atenção"),"OK")</f>
        <v>Comprar</v>
      </c>
    </row>
    <row r="28" spans="2:8" x14ac:dyDescent="0.2">
      <c r="B28" s="23" t="s">
        <v>24</v>
      </c>
      <c r="C28" s="21">
        <f>IFERROR(INDEX(Tabela2[],MATCH(Tabela4[[#This Row],[Produto]],Tabela2[Mercadoria],0),1),"-")</f>
        <v>42187</v>
      </c>
      <c r="D28" s="24">
        <v>0</v>
      </c>
      <c r="E28" s="24">
        <f>IFERROR(SUMIF(Tabela2[Mercadoria],Tabela4[[#This Row],[Produto]],Tabela2[Quantidade]),"0")</f>
        <v>80</v>
      </c>
      <c r="F28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28" s="24">
        <f>Tabela4[[#This Row],[Quantidade Inicial]]+Tabela4[[#This Row],[Quantidade Comprada]]-Tabela4[[#This Row],[Quantidade Vendida]]</f>
        <v>80</v>
      </c>
      <c r="H28" s="23" t="str">
        <f>IF(Tabela4[[#This Row],[Quantidade Atual]]&lt;200,IF(Tabela4[[#This Row],[Quantidade Atual]]&lt;100,"Comprar","Atenção"),"OK")</f>
        <v>Comprar</v>
      </c>
    </row>
    <row r="29" spans="2:8" x14ac:dyDescent="0.2">
      <c r="B29" s="23" t="s">
        <v>30</v>
      </c>
      <c r="C29" s="21" t="str">
        <f>IFERROR(INDEX(Tabela2[],MATCH(Tabela4[[#This Row],[Produto]],Tabela2[Mercadoria],0),1),"-")</f>
        <v>-</v>
      </c>
      <c r="D29" s="24">
        <v>0</v>
      </c>
      <c r="E29" s="24">
        <f>IFERROR(SUMIF(Tabela2[Mercadoria],Tabela4[[#This Row],[Produto]],Tabela2[Quantidade]),"0")</f>
        <v>0</v>
      </c>
      <c r="F29" s="23">
        <f>SUMIF(Tabela5[Produto],Tabela4[[#This Row],[Produto]],Tabela5[Quantidade])+SUMIF(Tabela510[Produto],Tabela4[[#This Row],[Produto]],Tabela510[Quantidade])+SUMIF(Tabela512[Produto],Tabela4[[#This Row],[Produto]],Tabela512[Quantidade])+SUMIF(Tabela51011[Produto],Tabela4[[#This Row],[Produto]],Tabela51011[Quantidade])</f>
        <v>0</v>
      </c>
      <c r="G29" s="24">
        <f>Tabela4[[#This Row],[Quantidade Inicial]]+Tabela4[[#This Row],[Quantidade Comprada]]-Tabela4[[#This Row],[Quantidade Vendida]]</f>
        <v>0</v>
      </c>
      <c r="H29" s="23" t="str">
        <f>IF(Tabela4[[#This Row],[Quantidade Atual]]&lt;200,IF(Tabela4[[#This Row],[Quantidade Atual]]&lt;100,"Comprar","Atenção"),"OK")</f>
        <v>Comprar</v>
      </c>
    </row>
    <row r="30" spans="2:8" x14ac:dyDescent="0.2">
      <c r="E30" s="4"/>
    </row>
  </sheetData>
  <mergeCells count="1">
    <mergeCell ref="A2:N2"/>
  </mergeCells>
  <conditionalFormatting sqref="H5:H29">
    <cfRule type="containsText" dxfId="91" priority="2" operator="containsText" text="OK">
      <formula>NOT(ISERROR(SEARCH("OK",H5)))</formula>
    </cfRule>
  </conditionalFormatting>
  <conditionalFormatting sqref="H6:H29">
    <cfRule type="containsText" dxfId="90" priority="1" operator="containsText" text="Atenção">
      <formula>NOT(ISERROR(SEARCH("Atenção",H6)))</formula>
    </cfRule>
    <cfRule type="containsText" dxfId="89" priority="3" operator="containsText" text="Comprar">
      <formula>NOT(ISERROR(SEARCH("Comprar",H6)))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S58"/>
  <sheetViews>
    <sheetView showGridLines="0" topLeftCell="A60" zoomScaleNormal="100" workbookViewId="0"/>
  </sheetViews>
  <sheetFormatPr defaultRowHeight="15" x14ac:dyDescent="0.2"/>
  <cols>
    <col min="3" max="3" width="27.7109375" bestFit="1" customWidth="1"/>
    <col min="4" max="4" width="16.140625" bestFit="1" customWidth="1"/>
    <col min="5" max="5" width="18.29296875" customWidth="1"/>
    <col min="6" max="6" width="10.35546875" bestFit="1" customWidth="1"/>
    <col min="14" max="14" width="16.54296875" customWidth="1"/>
  </cols>
  <sheetData>
    <row r="1" spans="1:19" ht="4.9000000000000004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  <c r="O1" s="2"/>
      <c r="P1" s="2"/>
      <c r="Q1" s="2"/>
      <c r="R1" s="2"/>
      <c r="S1" s="2"/>
    </row>
    <row r="2" spans="1:19" ht="36.75" x14ac:dyDescent="0.2">
      <c r="A2" s="106" t="s">
        <v>151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</row>
    <row r="3" spans="1:19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  <c r="O3" s="2"/>
      <c r="P3" s="2"/>
      <c r="Q3" s="2"/>
      <c r="R3" s="2"/>
      <c r="S3" s="2"/>
    </row>
    <row r="5" spans="1:19" ht="15.75" thickBot="1" x14ac:dyDescent="0.25"/>
    <row r="6" spans="1:19" ht="19.5" thickBot="1" x14ac:dyDescent="0.3">
      <c r="L6" s="40" t="s">
        <v>125</v>
      </c>
    </row>
    <row r="7" spans="1:19" x14ac:dyDescent="0.2"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</row>
    <row r="8" spans="1:19" x14ac:dyDescent="0.2">
      <c r="B8" s="44"/>
      <c r="M8" s="46"/>
    </row>
    <row r="9" spans="1:19" x14ac:dyDescent="0.2">
      <c r="B9" s="44"/>
      <c r="M9" s="44"/>
    </row>
    <row r="10" spans="1:19" x14ac:dyDescent="0.2">
      <c r="C10" s="39"/>
      <c r="M10" s="44"/>
    </row>
    <row r="11" spans="1:19" x14ac:dyDescent="0.2">
      <c r="C11" s="39"/>
      <c r="M11" s="44"/>
    </row>
    <row r="12" spans="1:19" x14ac:dyDescent="0.2">
      <c r="C12" s="39"/>
      <c r="M12" s="44"/>
    </row>
    <row r="13" spans="1:19" x14ac:dyDescent="0.2">
      <c r="B13" s="44"/>
      <c r="C13" s="55" t="s">
        <v>126</v>
      </c>
      <c r="D13" s="56">
        <f>IFERROR('Vendas Semana 1 '!M34,"-")</f>
        <v>614.60599999999988</v>
      </c>
      <c r="M13" s="44"/>
    </row>
    <row r="14" spans="1:19" x14ac:dyDescent="0.2">
      <c r="B14" s="44"/>
      <c r="C14" s="55" t="s">
        <v>127</v>
      </c>
      <c r="D14" s="56">
        <f>IFERROR('Vendas Semana 2'!M12,"-")</f>
        <v>669.7</v>
      </c>
      <c r="M14" s="44"/>
    </row>
    <row r="15" spans="1:19" x14ac:dyDescent="0.2">
      <c r="B15" s="44"/>
      <c r="C15" s="55" t="s">
        <v>128</v>
      </c>
      <c r="D15" s="56">
        <f>IFERROR('Vendas Semana 3'!M33,"-")</f>
        <v>502.8060000000001</v>
      </c>
      <c r="G15" s="41"/>
      <c r="M15" s="44"/>
    </row>
    <row r="16" spans="1:19" x14ac:dyDescent="0.2">
      <c r="B16" s="44"/>
      <c r="C16" s="55" t="s">
        <v>129</v>
      </c>
      <c r="D16" s="56">
        <f>IFERROR('Vendas Semana 4 '!M33,"-")</f>
        <v>599.18600000000015</v>
      </c>
      <c r="M16" s="44"/>
    </row>
    <row r="17" spans="2:13" x14ac:dyDescent="0.2">
      <c r="B17" s="44"/>
      <c r="C17" s="57"/>
      <c r="D17" s="85"/>
      <c r="M17" s="44"/>
    </row>
    <row r="18" spans="2:13" x14ac:dyDescent="0.2">
      <c r="B18" s="44"/>
      <c r="C18" s="57"/>
      <c r="D18" s="85"/>
      <c r="M18" s="44"/>
    </row>
    <row r="19" spans="2:13" x14ac:dyDescent="0.2">
      <c r="B19" s="44"/>
      <c r="C19" s="57"/>
      <c r="D19" s="85"/>
      <c r="M19" s="44"/>
    </row>
    <row r="20" spans="2:13" x14ac:dyDescent="0.2">
      <c r="B20" s="44"/>
      <c r="C20" s="55" t="str">
        <f xml:space="preserve"> "Total de Vendas" &amp;" " &amp;L6</f>
        <v>Total de Vendas Abril</v>
      </c>
      <c r="D20" s="56">
        <f>IFERROR(SUM(D13:D16),"-")</f>
        <v>2386.2980000000002</v>
      </c>
      <c r="M20" s="44"/>
    </row>
    <row r="21" spans="2:13" x14ac:dyDescent="0.2">
      <c r="B21" s="44"/>
      <c r="J21" s="42"/>
      <c r="M21" s="44"/>
    </row>
    <row r="22" spans="2:13" x14ac:dyDescent="0.2">
      <c r="B22" s="44"/>
      <c r="M22" s="44"/>
    </row>
    <row r="23" spans="2:13" x14ac:dyDescent="0.2">
      <c r="B23" s="44"/>
      <c r="M23" s="44"/>
    </row>
    <row r="24" spans="2:13" x14ac:dyDescent="0.2">
      <c r="B24" s="4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5"/>
    </row>
    <row r="26" spans="2:13" x14ac:dyDescent="0.2"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2:13" x14ac:dyDescent="0.2">
      <c r="C27" s="54"/>
      <c r="D27" s="49"/>
      <c r="E27" s="49"/>
      <c r="F27" s="49"/>
      <c r="G27" s="49"/>
      <c r="H27" s="49"/>
      <c r="I27" s="49"/>
      <c r="J27" s="49"/>
      <c r="K27" s="49"/>
      <c r="L27" s="49"/>
      <c r="M27" s="46"/>
    </row>
    <row r="28" spans="2:13" x14ac:dyDescent="0.2">
      <c r="C28" s="50"/>
      <c r="M28" s="44"/>
    </row>
    <row r="29" spans="2:13" x14ac:dyDescent="0.2">
      <c r="C29" s="48"/>
      <c r="M29" s="44"/>
    </row>
    <row r="30" spans="2:13" x14ac:dyDescent="0.2">
      <c r="C30" s="55" t="s">
        <v>130</v>
      </c>
      <c r="D30" s="69">
        <f>SUM(COUNTIF(Tabela5[Valor de Entrega],"&gt;0"),COUNTIF(Tabela510[Valor de Entrega],"&gt;0"),COUNTIF(Tabela51011[Valor de Entrega],"&gt;0"),COUNTIF(Tabela512[Valor de Entrega],"&gt;0"))/SUM('Vendas Semana 1 '!M36,'Vendas Semana 2'!M14,'Vendas Semana 3'!M35,'Vendas Semana 4 '!M35)</f>
        <v>0.59523809523809523</v>
      </c>
      <c r="M30" s="44"/>
    </row>
    <row r="31" spans="2:13" x14ac:dyDescent="0.2">
      <c r="C31" s="55" t="s">
        <v>133</v>
      </c>
      <c r="D31" s="70">
        <f>SUM(SUMIF(Tabela5[Valor de Entrega],"&gt;0",Tabela5[Total Por Cliente]),SUMIF(Tabela510[Valor de Entrega],"&gt;0",Tabela510[Total Por Cliente]),SUMIF(Tabela51011[Valor de Entrega],"&gt;0",Tabela51011[Total Por Cliente]),SUMIF(Tabela5[Valor de Entrega],"&gt;0",Tabela5[Total Por Cliente]))</f>
        <v>1301.2180000000003</v>
      </c>
      <c r="M31" s="44"/>
    </row>
    <row r="32" spans="2:13" x14ac:dyDescent="0.2">
      <c r="C32" s="55" t="s">
        <v>131</v>
      </c>
      <c r="D32" s="70">
        <f>SUM('Vendas Semana 1 '!M35+'Vendas Semana 2'!M13+'Vendas Semana 3'!M34+'Vendas Semana 4 '!M34)</f>
        <v>156.5</v>
      </c>
      <c r="M32" s="44"/>
    </row>
    <row r="33" spans="2:13" x14ac:dyDescent="0.2">
      <c r="C33" s="52"/>
      <c r="D33" s="82"/>
      <c r="M33" s="44"/>
    </row>
    <row r="34" spans="2:13" x14ac:dyDescent="0.2">
      <c r="C34" s="50"/>
      <c r="D34" s="83"/>
      <c r="G34" s="41"/>
      <c r="M34" s="44"/>
    </row>
    <row r="35" spans="2:13" x14ac:dyDescent="0.2">
      <c r="C35" s="47"/>
      <c r="D35" s="84"/>
      <c r="M35" s="44"/>
    </row>
    <row r="36" spans="2:13" x14ac:dyDescent="0.2">
      <c r="C36" s="55" t="s">
        <v>124</v>
      </c>
      <c r="D36" s="84">
        <f>SUM('Vendas Semana 1 '!M34,'Vendas Semana 2'!M12,'Vendas Semana 3'!M33,'Vendas Semana 4 '!M33)/SUM('Vendas Semana 1 '!M36+'Vendas Semana 2'!M14+'Vendas Semana 3'!M35+'Vendas Semana 4 '!M35)</f>
        <v>56.816619047619056</v>
      </c>
      <c r="M36" s="44"/>
    </row>
    <row r="37" spans="2:13" x14ac:dyDescent="0.2">
      <c r="C37" s="47"/>
      <c r="D37" s="80"/>
      <c r="M37" s="44"/>
    </row>
    <row r="38" spans="2:13" x14ac:dyDescent="0.2">
      <c r="B38" s="44"/>
      <c r="C38" s="47"/>
      <c r="D38" s="80"/>
      <c r="M38" s="44"/>
    </row>
    <row r="39" spans="2:13" x14ac:dyDescent="0.2">
      <c r="B39" s="44"/>
      <c r="C39" s="53"/>
      <c r="D39" s="81"/>
      <c r="M39" s="44"/>
    </row>
    <row r="40" spans="2:13" x14ac:dyDescent="0.2">
      <c r="C40" s="50"/>
      <c r="J40" s="42"/>
      <c r="M40" s="44"/>
    </row>
    <row r="41" spans="2:13" x14ac:dyDescent="0.2">
      <c r="C41" s="51"/>
      <c r="D41" s="43"/>
      <c r="E41" s="43"/>
      <c r="F41" s="43"/>
      <c r="G41" s="43"/>
      <c r="H41" s="43"/>
      <c r="I41" s="43"/>
      <c r="J41" s="43"/>
      <c r="K41" s="43"/>
      <c r="L41" s="43"/>
      <c r="M41" s="45"/>
    </row>
    <row r="44" spans="2:13" x14ac:dyDescent="0.2">
      <c r="C44" s="54"/>
      <c r="D44" s="49"/>
      <c r="E44" s="49"/>
      <c r="F44" s="49"/>
      <c r="G44" s="49"/>
      <c r="H44" s="49"/>
      <c r="I44" s="49"/>
      <c r="J44" s="49"/>
      <c r="K44" s="49"/>
      <c r="L44" s="49"/>
      <c r="M44" s="46"/>
    </row>
    <row r="45" spans="2:13" x14ac:dyDescent="0.2">
      <c r="C45" s="50"/>
      <c r="M45" s="44"/>
    </row>
    <row r="46" spans="2:13" x14ac:dyDescent="0.2">
      <c r="C46" s="72" t="s">
        <v>134</v>
      </c>
      <c r="D46" s="78"/>
      <c r="M46" s="44"/>
    </row>
    <row r="47" spans="2:13" x14ac:dyDescent="0.2">
      <c r="C47" s="53"/>
      <c r="D47" s="79" t="s">
        <v>135</v>
      </c>
      <c r="F47" s="73"/>
      <c r="M47" s="44"/>
    </row>
    <row r="48" spans="2:13" x14ac:dyDescent="0.2">
      <c r="C48" s="71" t="s">
        <v>113</v>
      </c>
      <c r="D48" s="77">
        <f>COUNTIFS(Tabela5[Entrega],C48,Tabela5[Total Por Cliente],"&gt;0")+COUNTIFS(Tabela510[Entrega],Vendas!C48,Tabela510[Total Por Cliente],"&gt;0")+COUNTIFS(Tabela51011[Entrega],Vendas!C48,Tabela51011[Total Por Cliente],"&gt;0")+COUNTIFS(Tabela512[Entrega],Vendas!C48,Tabela512[Total Por Cliente],"&gt;0")</f>
        <v>6</v>
      </c>
      <c r="F48" s="74"/>
      <c r="M48" s="44"/>
    </row>
    <row r="49" spans="3:13" x14ac:dyDescent="0.2">
      <c r="C49" s="72" t="s">
        <v>114</v>
      </c>
      <c r="D49" s="77">
        <f>COUNTIFS(Tabela5[Entrega],C49,Tabela5[Total Por Cliente],"&gt;0")+COUNTIFS(Tabela510[Entrega],Vendas!C49,Tabela510[Total Por Cliente],"&gt;0")+COUNTIFS(Tabela51011[Entrega],Vendas!C49,Tabela51011[Total Por Cliente],"&gt;0")+COUNTIFS(Tabela512[Entrega],Vendas!C49,Tabela512[Total Por Cliente],"&gt;0")</f>
        <v>17</v>
      </c>
      <c r="F49" s="74"/>
      <c r="M49" s="44"/>
    </row>
    <row r="50" spans="3:13" x14ac:dyDescent="0.2">
      <c r="C50" s="72" t="s">
        <v>115</v>
      </c>
      <c r="D50" s="77">
        <f>COUNTIFS(Tabela5[Entrega],C50,Tabela5[Total Por Cliente],"&gt;0")+COUNTIFS(Tabela510[Entrega],Vendas!C50,Tabela510[Total Por Cliente],"&gt;0")+COUNTIFS(Tabela51011[Entrega],Vendas!C50,Tabela51011[Total Por Cliente],"&gt;0")+COUNTIFS(Tabela512[Entrega],Vendas!C50,Tabela512[Total Por Cliente],"&gt;0")</f>
        <v>7</v>
      </c>
      <c r="F50" s="74"/>
      <c r="M50" s="44"/>
    </row>
    <row r="51" spans="3:13" x14ac:dyDescent="0.2">
      <c r="C51" s="72" t="s">
        <v>116</v>
      </c>
      <c r="D51" s="77">
        <f>COUNTIFS(Tabela5[Entrega],C51,Tabela5[Total Por Cliente],"&gt;0")+COUNTIFS(Tabela510[Entrega],Vendas!C51,Tabela510[Total Por Cliente],"&gt;0")+COUNTIFS(Tabela51011[Entrega],Vendas!C51,Tabela51011[Total Por Cliente],"&gt;0")+COUNTIFS(Tabela512[Entrega],Vendas!C51,Tabela512[Total Por Cliente],"&gt;0")</f>
        <v>2</v>
      </c>
      <c r="F51" s="75"/>
      <c r="G51" s="41"/>
      <c r="M51" s="44"/>
    </row>
    <row r="52" spans="3:13" x14ac:dyDescent="0.2">
      <c r="C52" s="72" t="s">
        <v>117</v>
      </c>
      <c r="D52" s="77">
        <f>COUNTIFS(Tabela5[Entrega],C52,Tabela5[Total Por Cliente],"&gt;0")+COUNTIFS(Tabela510[Entrega],Vendas!C52,Tabela510[Total Por Cliente],"&gt;0")+COUNTIFS(Tabela51011[Entrega],Vendas!C52,Tabela51011[Total Por Cliente],"&gt;0")+COUNTIFS(Tabela512[Entrega],Vendas!C52,Tabela512[Total Por Cliente],"&gt;0")</f>
        <v>11</v>
      </c>
      <c r="E52" s="76"/>
      <c r="M52" s="44"/>
    </row>
    <row r="53" spans="3:13" x14ac:dyDescent="0.2">
      <c r="C53" s="72"/>
      <c r="D53" s="77">
        <f>COUNTIFS(Tabela5[Entrega],C53,Tabela5[Total Por Cliente],"&gt;0")</f>
        <v>0</v>
      </c>
      <c r="M53" s="44"/>
    </row>
    <row r="54" spans="3:13" x14ac:dyDescent="0.2">
      <c r="C54" s="47"/>
      <c r="D54" s="80"/>
      <c r="M54" s="44"/>
    </row>
    <row r="55" spans="3:13" x14ac:dyDescent="0.2">
      <c r="C55" s="47"/>
      <c r="D55" s="80"/>
      <c r="M55" s="44"/>
    </row>
    <row r="56" spans="3:13" x14ac:dyDescent="0.2">
      <c r="C56" s="53"/>
      <c r="D56" s="81"/>
      <c r="M56" s="44"/>
    </row>
    <row r="57" spans="3:13" x14ac:dyDescent="0.2">
      <c r="C57" s="50"/>
      <c r="J57" s="42"/>
      <c r="M57" s="44"/>
    </row>
    <row r="58" spans="3:13" x14ac:dyDescent="0.2">
      <c r="C58" s="51"/>
      <c r="D58" s="43"/>
      <c r="E58" s="43"/>
      <c r="F58" s="43"/>
      <c r="G58" s="43"/>
      <c r="H58" s="43"/>
      <c r="I58" s="43"/>
      <c r="J58" s="43"/>
      <c r="K58" s="43"/>
      <c r="L58" s="43"/>
      <c r="M58" s="45"/>
    </row>
  </sheetData>
  <mergeCells count="1">
    <mergeCell ref="A2:S2"/>
  </mergeCells>
  <phoneticPr fontId="4" type="noConversion"/>
  <dataValidations disablePrompts="1" count="1">
    <dataValidation type="whole" showInputMessage="1" showErrorMessage="1" sqref="F1 F3" xr:uid="{A3E65447-BD6F-419C-A725-8F368BFB3D83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4E162-3323-4BB4-9FA3-34C0A6728063}">
  <sheetPr codeName="Planilha8"/>
  <dimension ref="A1:N42"/>
  <sheetViews>
    <sheetView showGridLines="0" topLeftCell="A3" zoomScale="85" zoomScaleNormal="85" workbookViewId="0"/>
  </sheetViews>
  <sheetFormatPr defaultRowHeight="15" x14ac:dyDescent="0.2"/>
  <cols>
    <col min="2" max="2" width="34.83984375" customWidth="1"/>
    <col min="3" max="3" width="14.796875" style="7" customWidth="1"/>
    <col min="4" max="4" width="15.73828125" customWidth="1"/>
    <col min="5" max="5" width="13.71875" customWidth="1"/>
    <col min="6" max="6" width="10.35546875" bestFit="1" customWidth="1"/>
    <col min="7" max="7" width="14.9296875" style="1" bestFit="1" customWidth="1"/>
    <col min="8" max="8" width="13.85546875" style="1" bestFit="1" customWidth="1"/>
    <col min="9" max="9" width="9.68359375" style="3" bestFit="1" customWidth="1"/>
    <col min="10" max="10" width="17.21875" bestFit="1" customWidth="1"/>
    <col min="11" max="11" width="19.50390625" style="1" bestFit="1" customWidth="1"/>
    <col min="12" max="12" width="16.41015625" customWidth="1"/>
    <col min="13" max="13" width="19.37109375" bestFit="1" customWidth="1"/>
    <col min="14" max="14" width="20.04296875" customWidth="1"/>
  </cols>
  <sheetData>
    <row r="1" spans="1:14" ht="6.6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123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6" spans="1:14" x14ac:dyDescent="0.2">
      <c r="B6" s="23" t="s">
        <v>104</v>
      </c>
      <c r="C6" s="21" t="s">
        <v>40</v>
      </c>
      <c r="D6" s="23" t="s">
        <v>97</v>
      </c>
      <c r="E6" s="23" t="s">
        <v>55</v>
      </c>
      <c r="F6" s="23" t="s">
        <v>56</v>
      </c>
      <c r="G6" s="27" t="s">
        <v>110</v>
      </c>
      <c r="H6" s="27" t="s">
        <v>105</v>
      </c>
      <c r="I6" s="26" t="s">
        <v>58</v>
      </c>
      <c r="J6" s="23" t="s">
        <v>106</v>
      </c>
      <c r="K6" s="27" t="s">
        <v>107</v>
      </c>
      <c r="L6" s="23" t="s">
        <v>108</v>
      </c>
      <c r="M6" s="23" t="s">
        <v>109</v>
      </c>
    </row>
    <row r="7" spans="1:14" x14ac:dyDescent="0.2">
      <c r="B7" s="34">
        <v>13</v>
      </c>
      <c r="C7" s="35">
        <v>42190</v>
      </c>
      <c r="D7" s="34"/>
      <c r="E7" s="34" t="str">
        <f>IFERROR(VLOOKUP(Tabela5[[#This Row],[Produto]],cálculos!$O$3:$R$31,4,FALSE),"-")</f>
        <v>-</v>
      </c>
      <c r="F7" s="34"/>
      <c r="G7" s="37" t="str">
        <f>IFERROR(VLOOKUP(Tabela5[[#This Row],[Produto]],cálculos!$O$3:$R$29,3,FALSE),"0")</f>
        <v>0</v>
      </c>
      <c r="H7" s="37">
        <f>IFERROR(Tabela5[[#This Row],[Preço Unitário]]*Tabela5[[#This Row],[Quantidade]],"0")</f>
        <v>0</v>
      </c>
      <c r="I7" s="38"/>
      <c r="J7" s="36" t="s">
        <v>117</v>
      </c>
      <c r="K7" s="37">
        <f>IFERROR(IF(Tabela5[[#This Row],[Id da venda]]=B8,0,VLOOKUP(Tabela5[[#This Row],[Entrega]],cálculos!$B$4:$C$9,2,FALSE)),"0")</f>
        <v>0</v>
      </c>
      <c r="L7" s="37">
        <f>IFERROR(Tabela5[[#This Row],[Subtotal]]*(1-Tabela5[[#This Row],[Desconto]])+Tabela5[[#This Row],[Valor de Entrega]],"0")</f>
        <v>0</v>
      </c>
      <c r="M7" s="37" t="str">
        <f>IF(Tabela5[[#This Row],[Id da venda]]=B8,"",SUMIF(Tabela5[Id da venda],Tabela5[[#This Row],[Id da venda]],Tabela5[Total]))</f>
        <v/>
      </c>
    </row>
    <row r="8" spans="1:14" x14ac:dyDescent="0.2">
      <c r="B8" s="34">
        <v>13</v>
      </c>
      <c r="C8" s="35">
        <v>42190</v>
      </c>
      <c r="D8" s="34"/>
      <c r="E8" s="34" t="str">
        <f>IFERROR(VLOOKUP(Tabela5[[#This Row],[Produto]],cálculos!$O$3:$R$31,4,FALSE),"-")</f>
        <v>-</v>
      </c>
      <c r="F8" s="34"/>
      <c r="G8" s="37" t="str">
        <f>IFERROR(VLOOKUP(Tabela5[[#This Row],[Produto]],cálculos!$O$3:$R$29,3,FALSE),"0")</f>
        <v>0</v>
      </c>
      <c r="H8" s="37">
        <f>IFERROR(Tabela5[[#This Row],[Preço Unitário]]*Tabela5[[#This Row],[Quantidade]],"0")</f>
        <v>0</v>
      </c>
      <c r="I8" s="38"/>
      <c r="J8" s="36" t="s">
        <v>117</v>
      </c>
      <c r="K8" s="37">
        <f>IFERROR(IF(Tabela5[[#This Row],[Id da venda]]=B9,0,VLOOKUP(Tabela5[[#This Row],[Entrega]],cálculos!$B$4:$C$9,2,FALSE)),"0")</f>
        <v>0</v>
      </c>
      <c r="L8" s="37">
        <f>IFERROR(Tabela5[[#This Row],[Subtotal]]*(1-Tabela5[[#This Row],[Desconto]])+Tabela5[[#This Row],[Valor de Entrega]],"0")</f>
        <v>0</v>
      </c>
      <c r="M8" s="37" t="str">
        <f>IF(Tabela5[[#This Row],[Id da venda]]=B9,"",SUMIF(Tabela5[Id da venda],Tabela5[[#This Row],[Id da venda]],Tabela5[Total]))</f>
        <v/>
      </c>
    </row>
    <row r="9" spans="1:14" x14ac:dyDescent="0.2">
      <c r="B9" s="34">
        <v>13</v>
      </c>
      <c r="C9" s="35">
        <v>42190</v>
      </c>
      <c r="D9" s="34" t="s">
        <v>32</v>
      </c>
      <c r="E9" s="34" t="str">
        <f>IFERROR(VLOOKUP(Tabela5[[#This Row],[Produto]],cálculos!$O$3:$R$31,4,FALSE),"-")</f>
        <v>Pacote</v>
      </c>
      <c r="F9" s="36">
        <v>1</v>
      </c>
      <c r="G9" s="37">
        <f>IFERROR(VLOOKUP(Tabela5[[#This Row],[Produto]],cálculos!$O$3:$R$29,3,FALSE),"0")</f>
        <v>0.79</v>
      </c>
      <c r="H9" s="37">
        <f>IFERROR(Tabela5[[#This Row],[Preço Unitário]]*Tabela5[[#This Row],[Quantidade]],"0")</f>
        <v>0.79</v>
      </c>
      <c r="I9" s="38">
        <v>0</v>
      </c>
      <c r="J9" s="36" t="s">
        <v>117</v>
      </c>
      <c r="K9" s="37">
        <f>IFERROR(IF(Tabela5[[#This Row],[Id da venda]]=B10,0,VLOOKUP(Tabela5[[#This Row],[Entrega]],cálculos!$B$4:$C$9,2,FALSE)),"0")</f>
        <v>0</v>
      </c>
      <c r="L9" s="37">
        <f>IFERROR(Tabela5[[#This Row],[Subtotal]]*(1-Tabela5[[#This Row],[Desconto]])+Tabela5[[#This Row],[Valor de Entrega]],"0")</f>
        <v>0.79</v>
      </c>
      <c r="M9" s="37" t="str">
        <f>IF(Tabela5[[#This Row],[Id da venda]]=B10,"",SUMIF(Tabela5[Id da venda],Tabela5[[#This Row],[Id da venda]],Tabela5[Total]))</f>
        <v/>
      </c>
    </row>
    <row r="10" spans="1:14" x14ac:dyDescent="0.2">
      <c r="B10" s="34">
        <v>13</v>
      </c>
      <c r="C10" s="35">
        <v>42190</v>
      </c>
      <c r="D10" s="34" t="s">
        <v>19</v>
      </c>
      <c r="E10" s="34" t="str">
        <f>IFERROR(VLOOKUP(Tabela5[[#This Row],[Produto]],cálculos!$O$3:$R$31,4,FALSE),"-")</f>
        <v>Unidade</v>
      </c>
      <c r="F10" s="36">
        <v>10</v>
      </c>
      <c r="G10" s="37">
        <f>IFERROR(VLOOKUP(Tabela5[[#This Row],[Produto]],cálculos!$O$3:$R$29,3,FALSE),"0")</f>
        <v>2.99</v>
      </c>
      <c r="H10" s="37">
        <f>IFERROR(Tabela5[[#This Row],[Preço Unitário]]*Tabela5[[#This Row],[Quantidade]],"0")</f>
        <v>29.900000000000002</v>
      </c>
      <c r="I10" s="38">
        <v>0.01</v>
      </c>
      <c r="J10" s="36" t="s">
        <v>117</v>
      </c>
      <c r="K10" s="37">
        <f>IFERROR(IF(Tabela5[[#This Row],[Id da venda]]=B11,0,VLOOKUP(Tabela5[[#This Row],[Entrega]],cálculos!$B$4:$C$9,2,FALSE)),"0")</f>
        <v>0</v>
      </c>
      <c r="L10" s="37">
        <f>IFERROR(Tabela5[[#This Row],[Subtotal]]*(1-Tabela5[[#This Row],[Desconto]])+Tabela5[[#This Row],[Valor de Entrega]],"0")</f>
        <v>29.601000000000003</v>
      </c>
      <c r="M10" s="37" t="str">
        <f>IF(Tabela5[[#This Row],[Id da venda]]=B11,"",SUMIF(Tabela5[Id da venda],Tabela5[[#This Row],[Id da venda]],Tabela5[Total]))</f>
        <v/>
      </c>
    </row>
    <row r="11" spans="1:14" x14ac:dyDescent="0.2">
      <c r="B11" s="34">
        <v>13</v>
      </c>
      <c r="C11" s="35">
        <v>42190</v>
      </c>
      <c r="D11" s="34" t="s">
        <v>29</v>
      </c>
      <c r="E11" s="34" t="str">
        <f>IFERROR(VLOOKUP(Tabela5[[#This Row],[Produto]],cálculos!$O$3:$R$31,4,FALSE),"-")</f>
        <v>Lata</v>
      </c>
      <c r="F11" s="36">
        <v>24</v>
      </c>
      <c r="G11" s="37">
        <f>IFERROR(VLOOKUP(Tabela5[[#This Row],[Produto]],cálculos!$O$3:$R$29,3,FALSE),"0")</f>
        <v>2.19</v>
      </c>
      <c r="H11" s="37">
        <f>IFERROR(Tabela5[[#This Row],[Preço Unitário]]*Tabela5[[#This Row],[Quantidade]],"0")</f>
        <v>52.56</v>
      </c>
      <c r="I11" s="38"/>
      <c r="J11" s="36" t="s">
        <v>117</v>
      </c>
      <c r="K11" s="37">
        <f>IFERROR(IF(Tabela5[[#This Row],[Id da venda]]=B12,0,VLOOKUP(Tabela5[[#This Row],[Entrega]],cálculos!$B$4:$C$9,2,FALSE)),"0")</f>
        <v>6.5</v>
      </c>
      <c r="L11" s="37">
        <f>IFERROR(Tabela5[[#This Row],[Subtotal]]*(1-Tabela5[[#This Row],[Desconto]])+Tabela5[[#This Row],[Valor de Entrega]],"0")</f>
        <v>59.06</v>
      </c>
      <c r="M11" s="37">
        <f>IF(Tabela5[[#This Row],[Id da venda]]=B12,"",SUMIF(Tabela5[Id da venda],Tabela5[[#This Row],[Id da venda]],Tabela5[Total]))</f>
        <v>89.451000000000008</v>
      </c>
    </row>
    <row r="12" spans="1:14" x14ac:dyDescent="0.2">
      <c r="B12" s="34">
        <v>12</v>
      </c>
      <c r="C12" s="35">
        <v>42189</v>
      </c>
      <c r="D12" s="34" t="s">
        <v>29</v>
      </c>
      <c r="E12" s="34" t="str">
        <f>IFERROR(VLOOKUP(Tabela5[[#This Row],[Produto]],cálculos!$O$3:$R$31,4,FALSE),"-")</f>
        <v>Lata</v>
      </c>
      <c r="F12" s="36">
        <v>1</v>
      </c>
      <c r="G12" s="37">
        <f>IFERROR(VLOOKUP(Tabela5[[#This Row],[Produto]],cálculos!$O$3:$R$29,3,FALSE),"0")</f>
        <v>2.19</v>
      </c>
      <c r="H12" s="37">
        <f>IFERROR(Tabela5[[#This Row],[Preço Unitário]]*Tabela5[[#This Row],[Quantidade]],"0")</f>
        <v>2.19</v>
      </c>
      <c r="I12" s="38"/>
      <c r="J12" s="36" t="s">
        <v>114</v>
      </c>
      <c r="K12" s="37">
        <f>IFERROR(IF(Tabela5[[#This Row],[Id da venda]]=B13,0,VLOOKUP(Tabela5[[#This Row],[Entrega]],cálculos!$B$4:$C$9,2,FALSE)),"0")</f>
        <v>0</v>
      </c>
      <c r="L12" s="37">
        <f>IFERROR(Tabela5[[#This Row],[Subtotal]]*(1-Tabela5[[#This Row],[Desconto]])+Tabela5[[#This Row],[Valor de Entrega]],"0")</f>
        <v>2.19</v>
      </c>
      <c r="M12" s="37">
        <f>IF(Tabela5[[#This Row],[Id da venda]]=B13,"",SUMIF(Tabela5[Id da venda],Tabela5[[#This Row],[Id da venda]],Tabela5[Total]))</f>
        <v>2.19</v>
      </c>
    </row>
    <row r="13" spans="1:14" x14ac:dyDescent="0.2">
      <c r="B13" s="34">
        <v>11</v>
      </c>
      <c r="C13" s="35">
        <v>42189</v>
      </c>
      <c r="D13" s="34" t="s">
        <v>26</v>
      </c>
      <c r="E13" s="34" t="str">
        <f>IFERROR(VLOOKUP(Tabela5[[#This Row],[Produto]],cálculos!$O$3:$R$31,4,FALSE),"-")</f>
        <v>Kg</v>
      </c>
      <c r="F13" s="36">
        <v>10</v>
      </c>
      <c r="G13" s="37">
        <f>IFERROR(VLOOKUP(Tabela5[[#This Row],[Produto]],cálculos!$O$3:$R$29,3,FALSE),"0")</f>
        <v>3.99</v>
      </c>
      <c r="H13" s="37">
        <f>IFERROR(Tabela5[[#This Row],[Preço Unitário]]*Tabela5[[#This Row],[Quantidade]],"0")</f>
        <v>39.900000000000006</v>
      </c>
      <c r="I13" s="38"/>
      <c r="J13" s="36" t="s">
        <v>117</v>
      </c>
      <c r="K13" s="37">
        <f>IFERROR(IF(Tabela5[[#This Row],[Id da venda]]=B14,0,VLOOKUP(Tabela5[[#This Row],[Entrega]],cálculos!$B$4:$C$9,2,FALSE)),"0")</f>
        <v>6.5</v>
      </c>
      <c r="L13" s="37">
        <f>IFERROR(Tabela5[[#This Row],[Subtotal]]*(1-Tabela5[[#This Row],[Desconto]])+Tabela5[[#This Row],[Valor de Entrega]],"0")</f>
        <v>46.400000000000006</v>
      </c>
      <c r="M13" s="37">
        <f>IF(Tabela5[[#This Row],[Id da venda]]=B14,"",SUMIF(Tabela5[Id da venda],Tabela5[[#This Row],[Id da venda]],Tabela5[Total]))</f>
        <v>46.400000000000006</v>
      </c>
    </row>
    <row r="14" spans="1:14" x14ac:dyDescent="0.2">
      <c r="B14" s="34">
        <v>10</v>
      </c>
      <c r="C14" s="35">
        <v>42189</v>
      </c>
      <c r="D14" s="34" t="s">
        <v>33</v>
      </c>
      <c r="E14" s="34" t="str">
        <f>IFERROR(VLOOKUP(Tabela5[[#This Row],[Produto]],cálculos!$O$3:$R$31,4,FALSE),"-")</f>
        <v>Pacote</v>
      </c>
      <c r="F14" s="36">
        <v>6</v>
      </c>
      <c r="G14" s="37">
        <f>IFERROR(VLOOKUP(Tabela5[[#This Row],[Produto]],cálculos!$O$3:$R$29,3,FALSE),"0")</f>
        <v>1.99</v>
      </c>
      <c r="H14" s="37">
        <f>IFERROR(Tabela5[[#This Row],[Preço Unitário]]*Tabela5[[#This Row],[Quantidade]],"0")</f>
        <v>11.94</v>
      </c>
      <c r="I14" s="38"/>
      <c r="J14" s="36" t="s">
        <v>113</v>
      </c>
      <c r="K14" s="37">
        <f>IFERROR(IF(Tabela5[[#This Row],[Id da venda]]=B15,0,VLOOKUP(Tabela5[[#This Row],[Entrega]],cálculos!$B$4:$C$9,2,FALSE)),"0")</f>
        <v>0</v>
      </c>
      <c r="L14" s="37">
        <f>IFERROR(Tabela5[[#This Row],[Subtotal]]*(1-Tabela5[[#This Row],[Desconto]])+Tabela5[[#This Row],[Valor de Entrega]],"0")</f>
        <v>11.94</v>
      </c>
      <c r="M14" s="37" t="str">
        <f>IF(Tabela5[[#This Row],[Id da venda]]=B15,"",SUMIF(Tabela5[Id da venda],Tabela5[[#This Row],[Id da venda]],Tabela5[Total]))</f>
        <v/>
      </c>
    </row>
    <row r="15" spans="1:14" x14ac:dyDescent="0.2">
      <c r="B15" s="34">
        <v>10</v>
      </c>
      <c r="C15" s="35">
        <v>42189</v>
      </c>
      <c r="D15" s="34" t="s">
        <v>72</v>
      </c>
      <c r="E15" s="34" t="str">
        <f>IFERROR(VLOOKUP(Tabela5[[#This Row],[Produto]],cálculos!$O$3:$R$31,4,FALSE),"-")</f>
        <v>Litro</v>
      </c>
      <c r="F15" s="36">
        <v>5</v>
      </c>
      <c r="G15" s="37">
        <f>IFERROR(VLOOKUP(Tabela5[[#This Row],[Produto]],cálculos!$O$3:$R$29,3,FALSE),"0")</f>
        <v>2.39</v>
      </c>
      <c r="H15" s="37">
        <f>IFERROR(Tabela5[[#This Row],[Preço Unitário]]*Tabela5[[#This Row],[Quantidade]],"0")</f>
        <v>11.950000000000001</v>
      </c>
      <c r="I15" s="38">
        <v>0.1</v>
      </c>
      <c r="J15" s="36" t="s">
        <v>117</v>
      </c>
      <c r="K15" s="37">
        <f>IFERROR(IF(Tabela5[[#This Row],[Id da venda]]=B16,0,VLOOKUP(Tabela5[[#This Row],[Entrega]],cálculos!$B$4:$C$9,2,FALSE)),"0")</f>
        <v>6.5</v>
      </c>
      <c r="L15" s="37">
        <f>IFERROR(Tabela5[[#This Row],[Subtotal]]*(1-Tabela5[[#This Row],[Desconto]])+Tabela5[[#This Row],[Valor de Entrega]],"0")</f>
        <v>17.255000000000003</v>
      </c>
      <c r="M15" s="37">
        <f>IF(Tabela5[[#This Row],[Id da venda]]=B16,"",SUMIF(Tabela5[Id da venda],Tabela5[[#This Row],[Id da venda]],Tabela5[Total]))</f>
        <v>29.195</v>
      </c>
    </row>
    <row r="16" spans="1:14" x14ac:dyDescent="0.2">
      <c r="B16" s="34">
        <v>9</v>
      </c>
      <c r="C16" s="35">
        <v>42188</v>
      </c>
      <c r="D16" s="34" t="s">
        <v>22</v>
      </c>
      <c r="E16" s="34" t="str">
        <f>IFERROR(VLOOKUP(Tabela5[[#This Row],[Produto]],cálculos!$O$3:$R$31,4,FALSE),"-")</f>
        <v>Kg</v>
      </c>
      <c r="F16" s="36">
        <v>5</v>
      </c>
      <c r="G16" s="37">
        <f>IFERROR(VLOOKUP(Tabela5[[#This Row],[Produto]],cálculos!$O$3:$R$29,3,FALSE),"0")</f>
        <v>23.9</v>
      </c>
      <c r="H16" s="37">
        <f>IFERROR(Tabela5[[#This Row],[Preço Unitário]]*Tabela5[[#This Row],[Quantidade]],"0")</f>
        <v>119.5</v>
      </c>
      <c r="I16" s="38"/>
      <c r="J16" s="36" t="s">
        <v>115</v>
      </c>
      <c r="K16" s="37">
        <f>IFERROR(IF(Tabela5[[#This Row],[Id da venda]]=B17,0,VLOOKUP(Tabela5[[#This Row],[Entrega]],cálculos!$B$4:$C$9,2,FALSE)),"0")</f>
        <v>0</v>
      </c>
      <c r="L16" s="37">
        <f>IFERROR(Tabela5[[#This Row],[Subtotal]]*(1-Tabela5[[#This Row],[Desconto]])+Tabela5[[#This Row],[Valor de Entrega]],"0")</f>
        <v>119.5</v>
      </c>
      <c r="M16" s="37" t="str">
        <f>IF(Tabela5[[#This Row],[Id da venda]]=B17,"",SUMIF(Tabela5[Id da venda],Tabela5[[#This Row],[Id da venda]],Tabela5[Total]))</f>
        <v/>
      </c>
    </row>
    <row r="17" spans="2:13" x14ac:dyDescent="0.2">
      <c r="B17" s="34">
        <v>9</v>
      </c>
      <c r="C17" s="35">
        <v>42188</v>
      </c>
      <c r="D17" s="34" t="s">
        <v>27</v>
      </c>
      <c r="E17" s="34" t="str">
        <f>IFERROR(VLOOKUP(Tabela5[[#This Row],[Produto]],cálculos!$O$3:$R$31,4,FALSE),"-")</f>
        <v>Kg</v>
      </c>
      <c r="F17" s="36">
        <v>2</v>
      </c>
      <c r="G17" s="37">
        <f>IFERROR(VLOOKUP(Tabela5[[#This Row],[Produto]],cálculos!$O$3:$R$29,3,FALSE),"0")</f>
        <v>9.58</v>
      </c>
      <c r="H17" s="37">
        <f>IFERROR(Tabela5[[#This Row],[Preço Unitário]]*Tabela5[[#This Row],[Quantidade]],"0")</f>
        <v>19.16</v>
      </c>
      <c r="I17" s="38"/>
      <c r="J17" s="36" t="s">
        <v>115</v>
      </c>
      <c r="K17" s="37">
        <f>IFERROR(IF(Tabela5[[#This Row],[Id da venda]]=B18,0,VLOOKUP(Tabela5[[#This Row],[Entrega]],cálculos!$B$4:$C$9,2,FALSE)),"0")</f>
        <v>0</v>
      </c>
      <c r="L17" s="37">
        <f>IFERROR(Tabela5[[#This Row],[Subtotal]]*(1-Tabela5[[#This Row],[Desconto]])+Tabela5[[#This Row],[Valor de Entrega]],"0")</f>
        <v>19.16</v>
      </c>
      <c r="M17" s="37" t="str">
        <f>IF(Tabela5[[#This Row],[Id da venda]]=B18,"",SUMIF(Tabela5[Id da venda],Tabela5[[#This Row],[Id da venda]],Tabela5[Total]))</f>
        <v/>
      </c>
    </row>
    <row r="18" spans="2:13" x14ac:dyDescent="0.2">
      <c r="B18" s="34">
        <v>9</v>
      </c>
      <c r="C18" s="35">
        <v>42188</v>
      </c>
      <c r="D18" s="34" t="s">
        <v>23</v>
      </c>
      <c r="E18" s="34" t="str">
        <f>IFERROR(VLOOKUP(Tabela5[[#This Row],[Produto]],cálculos!$O$3:$R$31,4,FALSE),"-")</f>
        <v>Kg</v>
      </c>
      <c r="F18" s="36">
        <v>1.5</v>
      </c>
      <c r="G18" s="37">
        <f>IFERROR(VLOOKUP(Tabela5[[#This Row],[Produto]],cálculos!$O$3:$R$29,3,FALSE),"0")</f>
        <v>25.9</v>
      </c>
      <c r="H18" s="37">
        <f>IFERROR(Tabela5[[#This Row],[Preço Unitário]]*Tabela5[[#This Row],[Quantidade]],"0")</f>
        <v>38.849999999999994</v>
      </c>
      <c r="I18" s="38"/>
      <c r="J18" s="36" t="s">
        <v>115</v>
      </c>
      <c r="K18" s="37">
        <f>IFERROR(IF(Tabela5[[#This Row],[Id da venda]]=B19,0,VLOOKUP(Tabela5[[#This Row],[Entrega]],cálculos!$B$4:$C$9,2,FALSE)),"0")</f>
        <v>0</v>
      </c>
      <c r="L18" s="37">
        <f>IFERROR(Tabela5[[#This Row],[Subtotal]]*(1-Tabela5[[#This Row],[Desconto]])+Tabela5[[#This Row],[Valor de Entrega]],"0")</f>
        <v>38.849999999999994</v>
      </c>
      <c r="M18" s="37" t="str">
        <f>IF(Tabela5[[#This Row],[Id da venda]]=B19,"",SUMIF(Tabela5[Id da venda],Tabela5[[#This Row],[Id da venda]],Tabela5[Total]))</f>
        <v/>
      </c>
    </row>
    <row r="19" spans="2:13" x14ac:dyDescent="0.2">
      <c r="B19" s="34">
        <v>9</v>
      </c>
      <c r="C19" s="35">
        <v>42188</v>
      </c>
      <c r="D19" s="34" t="s">
        <v>17</v>
      </c>
      <c r="E19" s="34" t="str">
        <f>IFERROR(VLOOKUP(Tabela5[[#This Row],[Produto]],cálculos!$O$3:$R$31,4,FALSE),"-")</f>
        <v>Kg</v>
      </c>
      <c r="F19" s="36">
        <v>4</v>
      </c>
      <c r="G19" s="37">
        <f>IFERROR(VLOOKUP(Tabela5[[#This Row],[Produto]],cálculos!$O$3:$R$29,3,FALSE),"0")</f>
        <v>4.28</v>
      </c>
      <c r="H19" s="37">
        <f>IFERROR(Tabela5[[#This Row],[Preço Unitário]]*Tabela5[[#This Row],[Quantidade]],"0")</f>
        <v>17.12</v>
      </c>
      <c r="I19" s="38"/>
      <c r="J19" s="36" t="s">
        <v>115</v>
      </c>
      <c r="K19" s="37">
        <f>IFERROR(IF(Tabela5[[#This Row],[Id da venda]]=B20,0,VLOOKUP(Tabela5[[#This Row],[Entrega]],cálculos!$B$4:$C$9,2,FALSE)),"0")</f>
        <v>6.5</v>
      </c>
      <c r="L19" s="37">
        <f>IFERROR(Tabela5[[#This Row],[Subtotal]]*(1-Tabela5[[#This Row],[Desconto]])+Tabela5[[#This Row],[Valor de Entrega]],"0")</f>
        <v>23.62</v>
      </c>
      <c r="M19" s="37">
        <f>IF(Tabela5[[#This Row],[Id da venda]]=B20,"",SUMIF(Tabela5[Id da venda],Tabela5[[#This Row],[Id da venda]],Tabela5[Total]))</f>
        <v>201.13</v>
      </c>
    </row>
    <row r="20" spans="2:13" x14ac:dyDescent="0.2">
      <c r="B20" s="34">
        <v>8</v>
      </c>
      <c r="C20" s="35">
        <v>42188</v>
      </c>
      <c r="D20" s="34" t="s">
        <v>29</v>
      </c>
      <c r="E20" s="34" t="str">
        <f>IFERROR(VLOOKUP(Tabela5[[#This Row],[Produto]],cálculos!$O$3:$R$31,4,FALSE),"-")</f>
        <v>Lata</v>
      </c>
      <c r="F20" s="36">
        <v>20</v>
      </c>
      <c r="G20" s="37">
        <f>IFERROR(VLOOKUP(Tabela5[[#This Row],[Produto]],cálculos!$O$3:$R$29,3,FALSE),"0")</f>
        <v>2.19</v>
      </c>
      <c r="H20" s="37">
        <f>IFERROR(Tabela5[[#This Row],[Preço Unitário]]*Tabela5[[#This Row],[Quantidade]],"0")</f>
        <v>43.8</v>
      </c>
      <c r="I20" s="38"/>
      <c r="J20" s="36" t="s">
        <v>115</v>
      </c>
      <c r="K20" s="37">
        <f>IFERROR(IF(Tabela5[[#This Row],[Id da venda]]=B21,0,VLOOKUP(Tabela5[[#This Row],[Entrega]],cálculos!$B$4:$C$9,2,FALSE)),"0")</f>
        <v>6.5</v>
      </c>
      <c r="L20" s="37">
        <f>IFERROR(Tabela5[[#This Row],[Subtotal]]*(1-Tabela5[[#This Row],[Desconto]])+Tabela5[[#This Row],[Valor de Entrega]],"0")</f>
        <v>50.3</v>
      </c>
      <c r="M20" s="37">
        <f>IF(Tabela5[[#This Row],[Id da venda]]=B21,"",SUMIF(Tabela5[Id da venda],Tabela5[[#This Row],[Id da venda]],Tabela5[Total]))</f>
        <v>50.3</v>
      </c>
    </row>
    <row r="21" spans="2:13" x14ac:dyDescent="0.2">
      <c r="B21" s="34">
        <v>7</v>
      </c>
      <c r="C21" s="35">
        <v>42188</v>
      </c>
      <c r="D21" s="34" t="s">
        <v>29</v>
      </c>
      <c r="E21" s="34" t="str">
        <f>IFERROR(VLOOKUP(Tabela5[[#This Row],[Produto]],cálculos!$O$3:$R$31,4,FALSE),"-")</f>
        <v>Lata</v>
      </c>
      <c r="F21" s="36">
        <v>20</v>
      </c>
      <c r="G21" s="37">
        <f>IFERROR(VLOOKUP(Tabela5[[#This Row],[Produto]],cálculos!$O$3:$R$29,3,FALSE),"0")</f>
        <v>2.19</v>
      </c>
      <c r="H21" s="37">
        <f>IFERROR(Tabela5[[#This Row],[Preço Unitário]]*Tabela5[[#This Row],[Quantidade]],"0")</f>
        <v>43.8</v>
      </c>
      <c r="I21" s="38"/>
      <c r="J21" s="36" t="s">
        <v>113</v>
      </c>
      <c r="K21" s="37">
        <f>IFERROR(IF(Tabela5[[#This Row],[Id da venda]]=B22,0,VLOOKUP(Tabela5[[#This Row],[Entrega]],cálculos!$B$4:$C$9,2,FALSE)),"0")</f>
        <v>5</v>
      </c>
      <c r="L21" s="37">
        <f>IFERROR(Tabela5[[#This Row],[Subtotal]]*(1-Tabela5[[#This Row],[Desconto]])+Tabela5[[#This Row],[Valor de Entrega]],"0")</f>
        <v>48.8</v>
      </c>
      <c r="M21" s="37">
        <f>IF(Tabela5[[#This Row],[Id da venda]]=B22,"",SUMIF(Tabela5[Id da venda],Tabela5[[#This Row],[Id da venda]],Tabela5[Total]))</f>
        <v>48.8</v>
      </c>
    </row>
    <row r="22" spans="2:13" x14ac:dyDescent="0.2">
      <c r="B22" s="34">
        <v>6</v>
      </c>
      <c r="C22" s="35">
        <v>42188</v>
      </c>
      <c r="D22" s="34" t="s">
        <v>32</v>
      </c>
      <c r="E22" s="34" t="str">
        <f>IFERROR(VLOOKUP(Tabela5[[#This Row],[Produto]],cálculos!$O$3:$R$31,4,FALSE),"-")</f>
        <v>Pacote</v>
      </c>
      <c r="F22" s="36">
        <v>2</v>
      </c>
      <c r="G22" s="37">
        <f>IFERROR(VLOOKUP(Tabela5[[#This Row],[Produto]],cálculos!$O$3:$R$29,3,FALSE),"0")</f>
        <v>0.79</v>
      </c>
      <c r="H22" s="37">
        <f>IFERROR(Tabela5[[#This Row],[Preço Unitário]]*Tabela5[[#This Row],[Quantidade]],"0")</f>
        <v>1.58</v>
      </c>
      <c r="I22" s="38"/>
      <c r="J22" s="36" t="s">
        <v>114</v>
      </c>
      <c r="K22" s="37">
        <f>IFERROR(IF(Tabela5[[#This Row],[Id da venda]]=B23,0,VLOOKUP(Tabela5[[#This Row],[Entrega]],cálculos!$B$4:$C$9,2,FALSE)),"0")</f>
        <v>0</v>
      </c>
      <c r="L22" s="37">
        <f>IFERROR(Tabela5[[#This Row],[Subtotal]]*(1-Tabela5[[#This Row],[Desconto]])+Tabela5[[#This Row],[Valor de Entrega]],"0")</f>
        <v>1.58</v>
      </c>
      <c r="M22" s="37" t="str">
        <f>IF(Tabela5[[#This Row],[Id da venda]]=B23,"",SUMIF(Tabela5[Id da venda],Tabela5[[#This Row],[Id da venda]],Tabela5[Total]))</f>
        <v/>
      </c>
    </row>
    <row r="23" spans="2:13" x14ac:dyDescent="0.2">
      <c r="B23" s="34">
        <v>6</v>
      </c>
      <c r="C23" s="35">
        <v>42188</v>
      </c>
      <c r="D23" s="34" t="s">
        <v>16</v>
      </c>
      <c r="E23" s="34" t="str">
        <f>IFERROR(VLOOKUP(Tabela5[[#This Row],[Produto]],cálculos!$O$3:$R$31,4,FALSE),"-")</f>
        <v>Kg</v>
      </c>
      <c r="F23" s="36">
        <v>6</v>
      </c>
      <c r="G23" s="37">
        <f>IFERROR(VLOOKUP(Tabela5[[#This Row],[Produto]],cálculos!$O$3:$R$29,3,FALSE),"0")</f>
        <v>2.4900000000000002</v>
      </c>
      <c r="H23" s="37">
        <f>IFERROR(Tabela5[[#This Row],[Preço Unitário]]*Tabela5[[#This Row],[Quantidade]],"0")</f>
        <v>14.940000000000001</v>
      </c>
      <c r="I23" s="38"/>
      <c r="J23" s="36" t="s">
        <v>114</v>
      </c>
      <c r="K23" s="37">
        <f>IFERROR(IF(Tabela5[[#This Row],[Id da venda]]=B24,0,VLOOKUP(Tabela5[[#This Row],[Entrega]],cálculos!$B$4:$C$9,2,FALSE)),"0")</f>
        <v>0</v>
      </c>
      <c r="L23" s="37">
        <f>IFERROR(Tabela5[[#This Row],[Subtotal]]*(1-Tabela5[[#This Row],[Desconto]])+Tabela5[[#This Row],[Valor de Entrega]],"0")</f>
        <v>14.940000000000001</v>
      </c>
      <c r="M23" s="37" t="str">
        <f>IF(Tabela5[[#This Row],[Id da venda]]=B24,"",SUMIF(Tabela5[Id da venda],Tabela5[[#This Row],[Id da venda]],Tabela5[Total]))</f>
        <v/>
      </c>
    </row>
    <row r="24" spans="2:13" x14ac:dyDescent="0.2">
      <c r="B24" s="34">
        <v>6</v>
      </c>
      <c r="C24" s="35">
        <v>42188</v>
      </c>
      <c r="D24" s="34" t="s">
        <v>29</v>
      </c>
      <c r="E24" s="34" t="str">
        <f>IFERROR(VLOOKUP(Tabela5[[#This Row],[Produto]],cálculos!$O$3:$R$31,4,FALSE),"-")</f>
        <v>Lata</v>
      </c>
      <c r="F24" s="36">
        <v>12</v>
      </c>
      <c r="G24" s="37">
        <f>IFERROR(VLOOKUP(Tabela5[[#This Row],[Produto]],cálculos!$O$3:$R$29,3,FALSE),"0")</f>
        <v>2.19</v>
      </c>
      <c r="H24" s="37">
        <f>IFERROR(Tabela5[[#This Row],[Preço Unitário]]*Tabela5[[#This Row],[Quantidade]],"0")</f>
        <v>26.28</v>
      </c>
      <c r="I24" s="38"/>
      <c r="J24" s="36" t="s">
        <v>114</v>
      </c>
      <c r="K24" s="37">
        <f>IFERROR(IF(Tabela5[[#This Row],[Id da venda]]=B25,0,VLOOKUP(Tabela5[[#This Row],[Entrega]],cálculos!$B$4:$C$9,2,FALSE)),"0")</f>
        <v>0</v>
      </c>
      <c r="L24" s="37">
        <f>IFERROR(Tabela5[[#This Row],[Subtotal]]*(1-Tabela5[[#This Row],[Desconto]])+Tabela5[[#This Row],[Valor de Entrega]],"0")</f>
        <v>26.28</v>
      </c>
      <c r="M24" s="37">
        <f>IF(Tabela5[[#This Row],[Id da venda]]=B25,"",SUMIF(Tabela5[Id da venda],Tabela5[[#This Row],[Id da venda]],Tabela5[Total]))</f>
        <v>42.800000000000004</v>
      </c>
    </row>
    <row r="25" spans="2:13" x14ac:dyDescent="0.2">
      <c r="B25" s="34">
        <v>5</v>
      </c>
      <c r="C25" s="35">
        <v>42187</v>
      </c>
      <c r="D25" s="34" t="s">
        <v>19</v>
      </c>
      <c r="E25" s="34" t="str">
        <f>IFERROR(VLOOKUP(Tabela5[[#This Row],[Produto]],cálculos!$O$3:$R$31,4,FALSE),"-")</f>
        <v>Unidade</v>
      </c>
      <c r="F25" s="36">
        <v>3</v>
      </c>
      <c r="G25" s="37">
        <f>IFERROR(VLOOKUP(Tabela5[[#This Row],[Produto]],cálculos!$O$3:$R$29,3,FALSE),"0")</f>
        <v>2.99</v>
      </c>
      <c r="H25" s="37">
        <f>IFERROR(Tabela5[[#This Row],[Preço Unitário]]*Tabela5[[#This Row],[Quantidade]],"0")</f>
        <v>8.9700000000000006</v>
      </c>
      <c r="I25" s="38"/>
      <c r="J25" s="36" t="s">
        <v>117</v>
      </c>
      <c r="K25" s="37">
        <f>IFERROR(IF(Tabela5[[#This Row],[Id da venda]]=B26,0,VLOOKUP(Tabela5[[#This Row],[Entrega]],cálculos!$B$4:$C$9,2,FALSE)),"0")</f>
        <v>6.5</v>
      </c>
      <c r="L25" s="37">
        <f>IFERROR(Tabela5[[#This Row],[Subtotal]]*(1-Tabela5[[#This Row],[Desconto]])+Tabela5[[#This Row],[Valor de Entrega]],"0")</f>
        <v>15.47</v>
      </c>
      <c r="M25" s="37">
        <f>IF(Tabela5[[#This Row],[Id da venda]]=B26,"",SUMIF(Tabela5[Id da venda],Tabela5[[#This Row],[Id da venda]],Tabela5[Total]))</f>
        <v>15.47</v>
      </c>
    </row>
    <row r="26" spans="2:13" x14ac:dyDescent="0.2">
      <c r="B26" s="34">
        <v>4</v>
      </c>
      <c r="C26" s="35">
        <v>42187</v>
      </c>
      <c r="D26" s="34" t="s">
        <v>16</v>
      </c>
      <c r="E26" s="34" t="str">
        <f>IFERROR(VLOOKUP(Tabela5[[#This Row],[Produto]],cálculos!$O$3:$R$31,4,FALSE),"-")</f>
        <v>Kg</v>
      </c>
      <c r="F26" s="36">
        <v>2</v>
      </c>
      <c r="G26" s="37">
        <f>IFERROR(VLOOKUP(Tabela5[[#This Row],[Produto]],cálculos!$O$3:$R$29,3,FALSE),"0")</f>
        <v>2.4900000000000002</v>
      </c>
      <c r="H26" s="37">
        <f>IFERROR(Tabela5[[#This Row],[Preço Unitário]]*Tabela5[[#This Row],[Quantidade]],"0")</f>
        <v>4.9800000000000004</v>
      </c>
      <c r="I26" s="38"/>
      <c r="J26" s="36" t="s">
        <v>115</v>
      </c>
      <c r="K26" s="37">
        <f>IFERROR(IF(Tabela5[[#This Row],[Id da venda]]=B27,0,VLOOKUP(Tabela5[[#This Row],[Entrega]],cálculos!$B$4:$C$9,2,FALSE)),"0")</f>
        <v>0</v>
      </c>
      <c r="L26" s="37">
        <f>IFERROR(Tabela5[[#This Row],[Subtotal]]*(1-Tabela5[[#This Row],[Desconto]])+Tabela5[[#This Row],[Valor de Entrega]],"0")</f>
        <v>4.9800000000000004</v>
      </c>
      <c r="M26" s="37">
        <f>IF(Tabela5[[#This Row],[Id da venda]]=B33,"",SUMIF(Tabela5[Id da venda],Tabela5[[#This Row],[Id da venda]],Tabela5[Total]))</f>
        <v>23.930000000000003</v>
      </c>
    </row>
    <row r="27" spans="2:13" x14ac:dyDescent="0.2">
      <c r="B27" s="34">
        <v>4</v>
      </c>
      <c r="C27" s="35">
        <v>42187</v>
      </c>
      <c r="D27" s="34" t="s">
        <v>16</v>
      </c>
      <c r="E27" s="34" t="str">
        <f>IFERROR(VLOOKUP(Tabela5[[#This Row],[Produto]],cálculos!$O$3:$R$31,4,FALSE),"-")</f>
        <v>Kg</v>
      </c>
      <c r="F27" s="36">
        <v>5</v>
      </c>
      <c r="G27" s="37">
        <f>IFERROR(VLOOKUP(Tabela5[[#This Row],[Produto]],cálculos!$O$3:$R$29,3,FALSE),"0")</f>
        <v>2.4900000000000002</v>
      </c>
      <c r="H27" s="37">
        <f>IFERROR(Tabela5[[#This Row],[Preço Unitário]]*Tabela5[[#This Row],[Quantidade]],"0")</f>
        <v>12.450000000000001</v>
      </c>
      <c r="I27" s="38"/>
      <c r="J27" s="36" t="s">
        <v>115</v>
      </c>
      <c r="K27" s="37">
        <f>IFERROR(IF(Tabela5[[#This Row],[Id da venda]]=B28,0,VLOOKUP(Tabela5[[#This Row],[Entrega]],cálculos!$B$4:$C$9,2,FALSE)),"0")</f>
        <v>6.5</v>
      </c>
      <c r="L27" s="37">
        <f>IFERROR(Tabela5[[#This Row],[Subtotal]]*(1-Tabela5[[#This Row],[Desconto]])+Tabela5[[#This Row],[Valor de Entrega]],"0")</f>
        <v>18.950000000000003</v>
      </c>
      <c r="M27" s="37">
        <f>IF(Tabela5[[#This Row],[Id da venda]]=B28,"",SUMIF(Tabela5[Id da venda],Tabela5[[#This Row],[Id da venda]],Tabela5[Total]))</f>
        <v>23.930000000000003</v>
      </c>
    </row>
    <row r="28" spans="2:13" x14ac:dyDescent="0.2">
      <c r="B28" s="34">
        <v>3</v>
      </c>
      <c r="C28" s="35">
        <v>42187</v>
      </c>
      <c r="D28" s="34" t="s">
        <v>31</v>
      </c>
      <c r="E28" s="34" t="str">
        <f>IFERROR(VLOOKUP(Tabela5[[#This Row],[Produto]],cálculos!$O$3:$R$31,4,FALSE),"-")</f>
        <v>Unidade</v>
      </c>
      <c r="F28" s="36">
        <v>6</v>
      </c>
      <c r="G28" s="37">
        <f>IFERROR(VLOOKUP(Tabela5[[#This Row],[Produto]],cálculos!$O$3:$R$29,3,FALSE),"0")</f>
        <v>2.6</v>
      </c>
      <c r="H28" s="37">
        <f>IFERROR(Tabela5[[#This Row],[Preço Unitário]]*Tabela5[[#This Row],[Quantidade]],"0")</f>
        <v>15.600000000000001</v>
      </c>
      <c r="I28" s="38"/>
      <c r="J28" s="36" t="s">
        <v>116</v>
      </c>
      <c r="K28" s="37">
        <f>IFERROR(IF(Tabela5[[#This Row],[Id da venda]]=B29,0,VLOOKUP(Tabela5[[#This Row],[Entrega]],cálculos!$B$4:$C$9,2,FALSE)),"0")</f>
        <v>8</v>
      </c>
      <c r="L28" s="37">
        <f>IFERROR(Tabela5[[#This Row],[Subtotal]]*(1-Tabela5[[#This Row],[Desconto]])+Tabela5[[#This Row],[Valor de Entrega]],"0")</f>
        <v>23.6</v>
      </c>
      <c r="M28" s="37">
        <f>IF(Tabela5[[#This Row],[Id da venda]]=B29,"",SUMIF(Tabela5[Id da venda],Tabela5[[#This Row],[Id da venda]],Tabela5[Total]))</f>
        <v>23.6</v>
      </c>
    </row>
    <row r="29" spans="2:13" x14ac:dyDescent="0.2">
      <c r="B29" s="34">
        <v>2</v>
      </c>
      <c r="C29" s="35">
        <v>42187</v>
      </c>
      <c r="D29" s="34" t="s">
        <v>33</v>
      </c>
      <c r="E29" s="34" t="str">
        <f>IFERROR(VLOOKUP(Tabela5[[#This Row],[Produto]],cálculos!$O$3:$R$31,4,FALSE),"-")</f>
        <v>Pacote</v>
      </c>
      <c r="F29" s="36">
        <v>1</v>
      </c>
      <c r="G29" s="37">
        <f>IFERROR(VLOOKUP(Tabela5[[#This Row],[Produto]],cálculos!$O$3:$R$29,3,FALSE),"0")</f>
        <v>1.99</v>
      </c>
      <c r="H29" s="37">
        <f>IFERROR(Tabela5[[#This Row],[Preço Unitário]]*Tabela5[[#This Row],[Quantidade]],"0")</f>
        <v>1.99</v>
      </c>
      <c r="I29" s="38"/>
      <c r="J29" s="36" t="s">
        <v>113</v>
      </c>
      <c r="K29" s="37">
        <f>IFERROR(IF(Tabela5[[#This Row],[Id da venda]]=B30,0,VLOOKUP(Tabela5[[#This Row],[Entrega]],cálculos!$B$4:$C$9,2,FALSE)),"0")</f>
        <v>5</v>
      </c>
      <c r="L29" s="37">
        <f>IFERROR(Tabela5[[#This Row],[Subtotal]]*(1-Tabela5[[#This Row],[Desconto]])+Tabela5[[#This Row],[Valor de Entrega]],"0")</f>
        <v>6.99</v>
      </c>
      <c r="M29" s="37">
        <f>IF(Tabela5[[#This Row],[Id da venda]]=B30,"",SUMIF(Tabela5[Id da venda],Tabela5[[#This Row],[Id da venda]],Tabela5[Total]))</f>
        <v>6.99</v>
      </c>
    </row>
    <row r="30" spans="2:13" x14ac:dyDescent="0.2">
      <c r="B30" s="34">
        <v>1</v>
      </c>
      <c r="C30" s="35">
        <v>42187</v>
      </c>
      <c r="D30" s="34" t="s">
        <v>16</v>
      </c>
      <c r="E30" s="34" t="str">
        <f>IFERROR(VLOOKUP(Tabela5[[#This Row],[Produto]],cálculos!$O$3:$R$31,4,FALSE),"-")</f>
        <v>Kg</v>
      </c>
      <c r="F30" s="36">
        <v>2</v>
      </c>
      <c r="G30" s="37">
        <f>IFERROR(VLOOKUP(Tabela5[[#This Row],[Produto]],cálculos!$O$3:$R$29,3,FALSE),"0")</f>
        <v>2.4900000000000002</v>
      </c>
      <c r="H30" s="37">
        <f>IFERROR(Tabela5[[#This Row],[Preço Unitário]]*Tabela5[[#This Row],[Quantidade]],"0")</f>
        <v>4.9800000000000004</v>
      </c>
      <c r="I30" s="38"/>
      <c r="J30" s="36" t="s">
        <v>114</v>
      </c>
      <c r="K30" s="37">
        <f>IFERROR(IF(Tabela5[[#This Row],[Id da venda]]=B31,0,VLOOKUP(Tabela5[[#This Row],[Entrega]],cálculos!$B$4:$C$9,2,FALSE)),"0")</f>
        <v>0</v>
      </c>
      <c r="L30" s="37">
        <f>IFERROR(Tabela5[[#This Row],[Subtotal]]*(1-Tabela5[[#This Row],[Desconto]])+Tabela5[[#This Row],[Valor de Entrega]],"0")</f>
        <v>4.9800000000000004</v>
      </c>
      <c r="M30" s="37" t="str">
        <f>IF(Tabela5[[#This Row],[Id da venda]]=B31,"",SUMIF(Tabela5[Id da venda],Tabela5[[#This Row],[Id da venda]],Tabela5[Total]))</f>
        <v/>
      </c>
    </row>
    <row r="31" spans="2:13" x14ac:dyDescent="0.2">
      <c r="B31" s="34">
        <v>1</v>
      </c>
      <c r="C31" s="35">
        <v>42187</v>
      </c>
      <c r="D31" s="34" t="s">
        <v>28</v>
      </c>
      <c r="E31" s="34" t="str">
        <f>IFERROR(VLOOKUP(Tabela5[[#This Row],[Produto]],cálculos!$O$3:$R$31,4,FALSE),"-")</f>
        <v>Pacote</v>
      </c>
      <c r="F31" s="36">
        <v>3</v>
      </c>
      <c r="G31" s="37">
        <f>IFERROR(VLOOKUP(Tabela5[[#This Row],[Produto]],cálculos!$O$3:$R$29,3,FALSE),"0")</f>
        <v>1.1499999999999999</v>
      </c>
      <c r="H31" s="37">
        <f>IFERROR(Tabela5[[#This Row],[Preço Unitário]]*Tabela5[[#This Row],[Quantidade]],"0")</f>
        <v>3.4499999999999997</v>
      </c>
      <c r="I31" s="38"/>
      <c r="J31" s="36" t="s">
        <v>114</v>
      </c>
      <c r="K31" s="37">
        <f>IFERROR(IF(Tabela5[[#This Row],[Id da venda]]=B32,0,VLOOKUP(Tabela5[[#This Row],[Entrega]],cálculos!$B$4:$C$9,2,FALSE)),"0")</f>
        <v>0</v>
      </c>
      <c r="L31" s="37">
        <f>IFERROR(Tabela5[[#This Row],[Subtotal]]*(1-Tabela5[[#This Row],[Desconto]])+Tabela5[[#This Row],[Valor de Entrega]],"0")</f>
        <v>3.4499999999999997</v>
      </c>
      <c r="M31" s="37" t="str">
        <f>IF(Tabela5[[#This Row],[Id da venda]]=B32,"",SUMIF(Tabela5[Id da venda],Tabela5[[#This Row],[Id da venda]],Tabela5[Total]))</f>
        <v/>
      </c>
    </row>
    <row r="32" spans="2:13" x14ac:dyDescent="0.2">
      <c r="B32" s="34">
        <v>1</v>
      </c>
      <c r="C32" s="35">
        <v>42187</v>
      </c>
      <c r="D32" s="34" t="s">
        <v>33</v>
      </c>
      <c r="E32" s="34" t="str">
        <f>IFERROR(VLOOKUP(Tabela5[[#This Row],[Produto]],cálculos!$O$3:$R$31,4,FALSE),"-")</f>
        <v>Pacote</v>
      </c>
      <c r="F32" s="36">
        <v>1</v>
      </c>
      <c r="G32" s="37">
        <f>IFERROR(VLOOKUP(Tabela5[[#This Row],[Produto]],cálculos!$O$3:$R$29,3,FALSE),"0")</f>
        <v>1.99</v>
      </c>
      <c r="H32" s="37">
        <f>IFERROR(Tabela5[[#This Row],[Preço Unitário]]*Tabela5[[#This Row],[Quantidade]],"0")</f>
        <v>1.99</v>
      </c>
      <c r="I32" s="38"/>
      <c r="J32" s="36" t="s">
        <v>114</v>
      </c>
      <c r="K32" s="37">
        <f>IFERROR(IF(Tabela5[[#This Row],[Id da venda]]=B33,0,VLOOKUP(Tabela5[[#This Row],[Entrega]],cálculos!$B$4:$C$9,2,FALSE)),"0")</f>
        <v>0</v>
      </c>
      <c r="L32" s="37">
        <f>IFERROR(Tabela5[[#This Row],[Subtotal]]*(1-Tabela5[[#This Row],[Desconto]])+Tabela5[[#This Row],[Valor de Entrega]],"0")</f>
        <v>1.99</v>
      </c>
      <c r="M32" s="37">
        <f>IF(Tabela5[[#This Row],[Id da venda]]=B33,"",SUMIF(Tabela5[Id da venda],Tabela5[[#This Row],[Id da venda]],Tabela5[Total]))</f>
        <v>10.42</v>
      </c>
    </row>
    <row r="34" spans="2:13" ht="19.5" thickBot="1" x14ac:dyDescent="0.3">
      <c r="B34" s="32" t="s">
        <v>118</v>
      </c>
      <c r="C34" s="58"/>
      <c r="D34" s="59"/>
      <c r="E34" s="59"/>
      <c r="F34" s="60"/>
      <c r="G34" s="60"/>
      <c r="H34" s="60"/>
      <c r="I34" s="61"/>
      <c r="J34" s="59"/>
      <c r="K34" s="60"/>
      <c r="L34" s="59"/>
      <c r="M34" s="62">
        <f>SUM(Tabela5[Total Por Cliente])</f>
        <v>614.60599999999988</v>
      </c>
    </row>
    <row r="35" spans="2:13" ht="19.5" thickBot="1" x14ac:dyDescent="0.3">
      <c r="B35" s="31" t="s">
        <v>119</v>
      </c>
      <c r="C35" s="63"/>
      <c r="D35" s="64"/>
      <c r="E35" s="64"/>
      <c r="F35" s="65"/>
      <c r="G35" s="65"/>
      <c r="H35" s="65"/>
      <c r="I35" s="66"/>
      <c r="J35" s="64"/>
      <c r="K35" s="65"/>
      <c r="L35" s="64"/>
      <c r="M35" s="67">
        <f>SUM(Tabela5[Valor de Entrega])</f>
        <v>63.5</v>
      </c>
    </row>
    <row r="36" spans="2:13" ht="19.5" thickBot="1" x14ac:dyDescent="0.3">
      <c r="B36" s="31" t="s">
        <v>132</v>
      </c>
      <c r="C36" s="63"/>
      <c r="D36" s="64"/>
      <c r="E36" s="64"/>
      <c r="F36" s="65"/>
      <c r="G36" s="65"/>
      <c r="H36" s="65"/>
      <c r="I36" s="66"/>
      <c r="J36" s="64"/>
      <c r="K36" s="65"/>
      <c r="L36" s="64"/>
      <c r="M36" s="67" cm="1">
        <f t="array" ref="M36">SUM(IF(FREQUENCY(Tabela5[Id da venda],Tabela5[Id da venda])&gt;0,1,0))</f>
        <v>13</v>
      </c>
    </row>
    <row r="37" spans="2:13" x14ac:dyDescent="0.2">
      <c r="C37"/>
      <c r="F37" s="1"/>
    </row>
    <row r="38" spans="2:13" x14ac:dyDescent="0.2">
      <c r="C38"/>
      <c r="F38" s="1"/>
      <c r="H38"/>
    </row>
    <row r="39" spans="2:13" x14ac:dyDescent="0.2">
      <c r="H39"/>
    </row>
    <row r="40" spans="2:13" x14ac:dyDescent="0.2">
      <c r="H40"/>
    </row>
    <row r="41" spans="2:13" x14ac:dyDescent="0.2">
      <c r="H41"/>
    </row>
    <row r="42" spans="2:13" x14ac:dyDescent="0.2">
      <c r="H42"/>
    </row>
  </sheetData>
  <sheetProtection autoFilter="0"/>
  <protectedRanges>
    <protectedRange sqref="F9:F32" name="Quantidade"/>
    <protectedRange sqref="B9:D32 B7:C8" name="Item"/>
    <protectedRange sqref="I9:J32 J7:J8" name="DescEntrega"/>
  </protectedRanges>
  <mergeCells count="1">
    <mergeCell ref="A2:N2"/>
  </mergeCells>
  <dataValidations count="1">
    <dataValidation type="whole" showInputMessage="1" showErrorMessage="1" sqref="E34:E38 F39:F43 F49:F1048576 H38:H42 F1:F33" xr:uid="{4463302B-DE09-4B10-9E4D-AFDE8233F3C6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825241-E30C-4523-A23D-D2AE88BFD00F}">
          <x14:formula1>
            <xm:f>cálculos!$O$4:$O$27</xm:f>
          </x14:formula1>
          <xm:sqref>D7:D32</xm:sqref>
        </x14:dataValidation>
        <x14:dataValidation type="list" allowBlank="1" showInputMessage="1" showErrorMessage="1" xr:uid="{2B3EE06F-5604-4403-896B-54C019FB8FD3}">
          <x14:formula1>
            <xm:f>cálculos!$B$4:$B$8</xm:f>
          </x14:formula1>
          <xm:sqref>J6:J32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C143-D5A7-418E-A5AB-75079973FC05}">
  <dimension ref="A1:N22"/>
  <sheetViews>
    <sheetView workbookViewId="0">
      <selection activeCell="H9" sqref="H9"/>
    </sheetView>
  </sheetViews>
  <sheetFormatPr defaultRowHeight="15" x14ac:dyDescent="0.2"/>
  <cols>
    <col min="1" max="1" width="16.8125" bestFit="1" customWidth="1"/>
    <col min="2" max="2" width="18.16015625" bestFit="1" customWidth="1"/>
    <col min="3" max="3" width="12.64453125" bestFit="1" customWidth="1"/>
    <col min="4" max="4" width="20.984375" bestFit="1" customWidth="1"/>
    <col min="5" max="6" width="16.8125" bestFit="1" customWidth="1"/>
    <col min="7" max="7" width="22.1953125" bestFit="1" customWidth="1"/>
    <col min="8" max="8" width="18.16015625" customWidth="1"/>
    <col min="9" max="9" width="12.64453125" customWidth="1"/>
    <col min="10" max="11" width="8.875" customWidth="1"/>
    <col min="12" max="12" width="5.51171875" customWidth="1"/>
    <col min="13" max="13" width="16.41015625" customWidth="1"/>
    <col min="14" max="14" width="16.94921875" customWidth="1"/>
  </cols>
  <sheetData>
    <row r="1" spans="1:14" ht="4.9000000000000004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164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4" spans="1:14" x14ac:dyDescent="0.2">
      <c r="C4" s="7"/>
      <c r="G4" s="1"/>
      <c r="H4" s="1"/>
      <c r="I4" s="3"/>
      <c r="K4" s="1"/>
    </row>
    <row r="5" spans="1:14" ht="15.75" thickBot="1" x14ac:dyDescent="0.25"/>
    <row r="6" spans="1:14" ht="15.75" thickBot="1" x14ac:dyDescent="0.25">
      <c r="A6" s="109" t="s">
        <v>160</v>
      </c>
      <c r="B6" s="110"/>
      <c r="C6" s="111"/>
      <c r="F6" s="109" t="s">
        <v>163</v>
      </c>
      <c r="G6" s="110"/>
      <c r="H6" s="110"/>
      <c r="I6" s="111"/>
    </row>
    <row r="7" spans="1:14" x14ac:dyDescent="0.2">
      <c r="A7" s="103" t="s">
        <v>157</v>
      </c>
      <c r="B7" t="s">
        <v>158</v>
      </c>
      <c r="C7" t="s">
        <v>159</v>
      </c>
      <c r="D7" t="s">
        <v>162</v>
      </c>
      <c r="F7" s="103" t="s">
        <v>157</v>
      </c>
      <c r="G7" t="s">
        <v>161</v>
      </c>
      <c r="H7" t="s">
        <v>158</v>
      </c>
      <c r="I7" t="s">
        <v>159</v>
      </c>
    </row>
    <row r="8" spans="1:14" x14ac:dyDescent="0.2">
      <c r="A8" s="104" t="s">
        <v>19</v>
      </c>
      <c r="B8" s="23">
        <v>13</v>
      </c>
      <c r="C8" s="27">
        <v>45.071000000000005</v>
      </c>
      <c r="D8" s="27">
        <v>2.99</v>
      </c>
      <c r="F8" s="104" t="s">
        <v>113</v>
      </c>
      <c r="G8" s="1">
        <v>10</v>
      </c>
      <c r="H8">
        <v>27</v>
      </c>
      <c r="I8" s="1">
        <v>67.72999999999999</v>
      </c>
    </row>
    <row r="9" spans="1:14" x14ac:dyDescent="0.2">
      <c r="A9" s="104" t="s">
        <v>28</v>
      </c>
      <c r="B9" s="23">
        <v>3</v>
      </c>
      <c r="C9" s="27">
        <v>3.4499999999999997</v>
      </c>
      <c r="D9" s="27">
        <v>1.1499999999999999</v>
      </c>
      <c r="F9" s="104" t="s">
        <v>114</v>
      </c>
      <c r="G9" s="1">
        <v>0</v>
      </c>
      <c r="H9">
        <v>27</v>
      </c>
      <c r="I9" s="1">
        <v>55.410000000000004</v>
      </c>
    </row>
    <row r="10" spans="1:14" x14ac:dyDescent="0.2">
      <c r="A10" s="104" t="s">
        <v>16</v>
      </c>
      <c r="B10" s="23">
        <v>15</v>
      </c>
      <c r="C10" s="27">
        <v>43.850000000000009</v>
      </c>
      <c r="D10" s="27">
        <v>2.4900000000000002</v>
      </c>
      <c r="F10" s="104" t="s">
        <v>115</v>
      </c>
      <c r="G10" s="1">
        <v>19.5</v>
      </c>
      <c r="H10">
        <v>39.5</v>
      </c>
      <c r="I10" s="1">
        <v>275.36</v>
      </c>
    </row>
    <row r="11" spans="1:14" x14ac:dyDescent="0.2">
      <c r="A11" s="104" t="s">
        <v>33</v>
      </c>
      <c r="B11" s="23">
        <v>8</v>
      </c>
      <c r="C11" s="27">
        <v>20.919999999999998</v>
      </c>
      <c r="D11" s="27">
        <v>1.99</v>
      </c>
      <c r="F11" s="104" t="s">
        <v>116</v>
      </c>
      <c r="G11" s="1">
        <v>8</v>
      </c>
      <c r="H11">
        <v>6</v>
      </c>
      <c r="I11" s="1">
        <v>23.6</v>
      </c>
    </row>
    <row r="12" spans="1:14" x14ac:dyDescent="0.2">
      <c r="A12" s="104" t="s">
        <v>32</v>
      </c>
      <c r="B12" s="23">
        <v>3</v>
      </c>
      <c r="C12" s="27">
        <v>2.37</v>
      </c>
      <c r="D12" s="27">
        <v>0.79</v>
      </c>
      <c r="F12" s="104" t="s">
        <v>117</v>
      </c>
      <c r="G12" s="1">
        <v>26</v>
      </c>
      <c r="H12">
        <v>53</v>
      </c>
      <c r="I12" s="1">
        <v>168.57599999999999</v>
      </c>
    </row>
    <row r="13" spans="1:14" x14ac:dyDescent="0.2">
      <c r="A13" s="104" t="s">
        <v>26</v>
      </c>
      <c r="B13" s="23">
        <v>10</v>
      </c>
      <c r="C13" s="27">
        <v>46.400000000000006</v>
      </c>
      <c r="D13" s="27">
        <v>3.99</v>
      </c>
      <c r="F13" s="104" t="s">
        <v>156</v>
      </c>
      <c r="G13" s="1">
        <v>63.5</v>
      </c>
      <c r="H13">
        <v>152.5</v>
      </c>
      <c r="I13" s="1">
        <v>590.67600000000004</v>
      </c>
    </row>
    <row r="14" spans="1:14" x14ac:dyDescent="0.2">
      <c r="A14" s="104" t="s">
        <v>29</v>
      </c>
      <c r="B14" s="23">
        <v>77</v>
      </c>
      <c r="C14" s="27">
        <v>186.63</v>
      </c>
      <c r="D14" s="27">
        <v>2.19</v>
      </c>
    </row>
    <row r="15" spans="1:14" x14ac:dyDescent="0.2">
      <c r="A15" s="104" t="s">
        <v>31</v>
      </c>
      <c r="B15" s="23">
        <v>6</v>
      </c>
      <c r="C15" s="27">
        <v>23.6</v>
      </c>
      <c r="D15" s="27">
        <v>2.6</v>
      </c>
    </row>
    <row r="16" spans="1:14" x14ac:dyDescent="0.2">
      <c r="A16" s="104" t="s">
        <v>17</v>
      </c>
      <c r="B16" s="23">
        <v>4</v>
      </c>
      <c r="C16" s="27">
        <v>23.62</v>
      </c>
      <c r="D16" s="27">
        <v>4.28</v>
      </c>
    </row>
    <row r="17" spans="1:4" x14ac:dyDescent="0.2">
      <c r="A17" s="104" t="s">
        <v>22</v>
      </c>
      <c r="B17" s="23">
        <v>5</v>
      </c>
      <c r="C17" s="27">
        <v>119.5</v>
      </c>
      <c r="D17" s="27">
        <v>23.9</v>
      </c>
    </row>
    <row r="18" spans="1:4" x14ac:dyDescent="0.2">
      <c r="A18" s="104" t="s">
        <v>23</v>
      </c>
      <c r="B18" s="23">
        <v>1.5</v>
      </c>
      <c r="C18" s="27">
        <v>38.849999999999994</v>
      </c>
      <c r="D18" s="27">
        <v>25.9</v>
      </c>
    </row>
    <row r="19" spans="1:4" x14ac:dyDescent="0.2">
      <c r="A19" s="104" t="s">
        <v>72</v>
      </c>
      <c r="B19" s="23">
        <v>5</v>
      </c>
      <c r="C19" s="27">
        <v>17.255000000000003</v>
      </c>
      <c r="D19" s="27">
        <v>2.39</v>
      </c>
    </row>
    <row r="20" spans="1:4" x14ac:dyDescent="0.2">
      <c r="A20" s="104" t="s">
        <v>27</v>
      </c>
      <c r="B20" s="23">
        <v>2</v>
      </c>
      <c r="C20" s="27">
        <v>19.16</v>
      </c>
      <c r="D20" s="27">
        <v>9.58</v>
      </c>
    </row>
    <row r="21" spans="1:4" x14ac:dyDescent="0.2">
      <c r="A21" s="104" t="s">
        <v>155</v>
      </c>
      <c r="B21" s="23"/>
      <c r="C21" s="27">
        <v>0</v>
      </c>
      <c r="D21" s="27" t="e">
        <v>#DIV/0!</v>
      </c>
    </row>
    <row r="22" spans="1:4" x14ac:dyDescent="0.2">
      <c r="A22" s="104" t="s">
        <v>156</v>
      </c>
      <c r="B22">
        <v>152.5</v>
      </c>
      <c r="C22" s="1">
        <v>590.67600000000004</v>
      </c>
      <c r="D22" s="1">
        <v>4.5095833333333326</v>
      </c>
    </row>
  </sheetData>
  <mergeCells count="3">
    <mergeCell ref="A6:C6"/>
    <mergeCell ref="F6:I6"/>
    <mergeCell ref="A2:N2"/>
  </mergeCells>
  <dataValidations count="1">
    <dataValidation type="whole" showInputMessage="1" showErrorMessage="1" sqref="F1:F4" xr:uid="{5A0BCF17-4AB1-416D-9BEC-49C650916811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33F43-96C7-4F78-A240-6D8B1A7DB2FA}">
  <sheetPr codeName="Planilha9"/>
  <dimension ref="A1:N20"/>
  <sheetViews>
    <sheetView showGridLines="0" zoomScale="85" zoomScaleNormal="85" workbookViewId="0"/>
  </sheetViews>
  <sheetFormatPr defaultRowHeight="15" x14ac:dyDescent="0.2"/>
  <cols>
    <col min="2" max="2" width="34.83984375" customWidth="1"/>
    <col min="3" max="3" width="14.796875" style="7" customWidth="1"/>
    <col min="4" max="4" width="15.73828125" customWidth="1"/>
    <col min="5" max="5" width="13.71875" customWidth="1"/>
    <col min="6" max="6" width="10.35546875" bestFit="1" customWidth="1"/>
    <col min="7" max="7" width="14.9296875" style="1" bestFit="1" customWidth="1"/>
    <col min="8" max="8" width="13.85546875" style="1" bestFit="1" customWidth="1"/>
    <col min="9" max="9" width="9.68359375" style="3" bestFit="1" customWidth="1"/>
    <col min="10" max="10" width="17.21875" bestFit="1" customWidth="1"/>
    <col min="11" max="11" width="19.50390625" style="1" customWidth="1"/>
    <col min="12" max="12" width="16.41015625" customWidth="1"/>
    <col min="13" max="13" width="19.37109375" bestFit="1" customWidth="1"/>
    <col min="14" max="14" width="20.04296875" customWidth="1"/>
  </cols>
  <sheetData>
    <row r="1" spans="1:14" ht="6.6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120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6" spans="1:14" x14ac:dyDescent="0.2">
      <c r="B6" s="23" t="s">
        <v>104</v>
      </c>
      <c r="C6" s="21" t="s">
        <v>40</v>
      </c>
      <c r="D6" s="23" t="s">
        <v>97</v>
      </c>
      <c r="E6" s="23" t="s">
        <v>55</v>
      </c>
      <c r="F6" s="23" t="s">
        <v>56</v>
      </c>
      <c r="G6" s="27" t="s">
        <v>110</v>
      </c>
      <c r="H6" s="27" t="s">
        <v>105</v>
      </c>
      <c r="I6" s="26" t="s">
        <v>58</v>
      </c>
      <c r="J6" s="23" t="s">
        <v>106</v>
      </c>
      <c r="K6" s="27" t="s">
        <v>107</v>
      </c>
      <c r="L6" s="23" t="s">
        <v>108</v>
      </c>
      <c r="M6" s="23" t="s">
        <v>109</v>
      </c>
    </row>
    <row r="7" spans="1:14" x14ac:dyDescent="0.2">
      <c r="B7" s="23">
        <v>1</v>
      </c>
      <c r="C7" s="21">
        <v>45390</v>
      </c>
      <c r="D7" s="23" t="s">
        <v>16</v>
      </c>
      <c r="E7" s="23" t="str">
        <f>IFERROR(VLOOKUP(Tabela510[[#This Row],[Produto]],cálculos!$O$3:$R$31,4,FALSE),"-")</f>
        <v>Kg</v>
      </c>
      <c r="F7" s="23">
        <v>15</v>
      </c>
      <c r="G7" s="27">
        <f>IFERROR(VLOOKUP(Tabela510[[#This Row],[Produto]],cálculos!$O$3:$R$29,3,FALSE),"-")</f>
        <v>2.4900000000000002</v>
      </c>
      <c r="H7" s="27">
        <f>IFERROR(Tabela510[[#This Row],[Preço Unitário]]*Tabela510[[#This Row],[Quantidade]],"-")</f>
        <v>37.35</v>
      </c>
      <c r="I7" s="26"/>
      <c r="J7" s="23" t="s">
        <v>117</v>
      </c>
      <c r="K7" s="27">
        <f>IFERROR(IF(Tabela510[[#This Row],[Id da venda]]=B8,0,VLOOKUP(Tabela510[[#This Row],[Entrega]],cálculos!$B$3:$C$9,2,FALSE)),"-")</f>
        <v>6.5</v>
      </c>
      <c r="L7" s="27">
        <f>IFERROR(Tabela510[[#This Row],[Subtotal]]*(1-Tabela510[[#This Row],[Desconto]])+Tabela510[[#This Row],[Valor de Entrega]],"")</f>
        <v>43.85</v>
      </c>
      <c r="M7" s="27">
        <f>IF(Tabela510[[#This Row],[Id da venda]]=B8,"",SUMIF(Tabela510[Id da venda],Tabela510[[#This Row],[Id da venda]],Tabela510[Total]))</f>
        <v>43.85</v>
      </c>
    </row>
    <row r="8" spans="1:14" x14ac:dyDescent="0.2">
      <c r="B8" s="23">
        <v>0</v>
      </c>
      <c r="C8" s="21">
        <v>45390</v>
      </c>
      <c r="D8" s="23" t="s">
        <v>18</v>
      </c>
      <c r="E8" s="23" t="str">
        <f>IFERROR(VLOOKUP(Tabela510[[#This Row],[Produto]],cálculos!$O$3:$R$31,4,FALSE),"-")</f>
        <v>Kg</v>
      </c>
      <c r="F8" s="23">
        <v>100</v>
      </c>
      <c r="G8" s="27">
        <f>IFERROR(VLOOKUP(Tabela510[[#This Row],[Produto]],cálculos!$O$3:$R$29,3,FALSE),"-")</f>
        <v>5.82</v>
      </c>
      <c r="H8" s="27">
        <f>IFERROR(Tabela510[[#This Row],[Preço Unitário]]*Tabela510[[#This Row],[Quantidade]],"-")</f>
        <v>582</v>
      </c>
      <c r="I8" s="26"/>
      <c r="J8" s="23" t="s">
        <v>114</v>
      </c>
      <c r="K8" s="27">
        <f>IFERROR(IF(Tabela510[[#This Row],[Id da venda]]=B9,0,VLOOKUP(Tabela510[[#This Row],[Entrega]],cálculos!$B$3:$C$9,2,FALSE)),"-")</f>
        <v>0</v>
      </c>
      <c r="L8" s="27">
        <f>IFERROR(Tabela510[[#This Row],[Subtotal]]*(1-Tabela510[[#This Row],[Desconto]])+Tabela510[[#This Row],[Valor de Entrega]],"")</f>
        <v>582</v>
      </c>
      <c r="M8" s="27">
        <f>IF(Tabela510[[#This Row],[Id da venda]]=B9,"",SUMIF(Tabela510[Id da venda],Tabela510[[#This Row],[Id da venda]],Tabela510[Total]))</f>
        <v>582</v>
      </c>
    </row>
    <row r="9" spans="1:14" x14ac:dyDescent="0.2">
      <c r="B9" s="23">
        <v>5</v>
      </c>
      <c r="C9" s="21">
        <v>45390</v>
      </c>
      <c r="D9" s="23"/>
      <c r="E9" s="23" t="str">
        <f>IFERROR(VLOOKUP(Tabela510[[#This Row],[Produto]],cálculos!$O$3:$R$31,4,FALSE),"-")</f>
        <v>-</v>
      </c>
      <c r="F9" s="23"/>
      <c r="G9" s="27" t="str">
        <f>IFERROR(VLOOKUP(Tabela510[[#This Row],[Produto]],cálculos!$O$3:$R$29,3,FALSE),"-")</f>
        <v>-</v>
      </c>
      <c r="H9" s="27" t="str">
        <f>IFERROR(Tabela510[[#This Row],[Preço Unitário]]*Tabela510[[#This Row],[Quantidade]],"-")</f>
        <v>-</v>
      </c>
      <c r="I9" s="26"/>
      <c r="J9" s="23"/>
      <c r="K9" s="27" t="str">
        <f>IFERROR(IF(Tabela510[[#This Row],[Id da venda]]=#REF!,0,VLOOKUP(Tabela510[[#This Row],[Entrega]],cálculos!$B$3:$C$9,2,FALSE)),"-")</f>
        <v>-</v>
      </c>
      <c r="L9" s="27" t="str">
        <f>IFERROR(Tabela510[[#This Row],[Subtotal]]*(1-Tabela510[[#This Row],[Desconto]])+Tabela510[[#This Row],[Valor de Entrega]],"")</f>
        <v/>
      </c>
      <c r="M9" s="27">
        <f>IF(Tabela510[[#This Row],[Id da venda]]=B10,"",SUMIF(Tabela510[Id da venda],Tabela510[[#This Row],[Id da venda]],Tabela510[Total]))</f>
        <v>0</v>
      </c>
    </row>
    <row r="10" spans="1:14" x14ac:dyDescent="0.2">
      <c r="B10" s="23">
        <f t="shared" ref="B10" si="0">B11+1</f>
        <v>1</v>
      </c>
      <c r="C10" s="68">
        <f t="shared" ref="C10" ca="1" si="1">TODAY()</f>
        <v>45411</v>
      </c>
      <c r="D10" s="23"/>
      <c r="E10" s="23" t="str">
        <f>IFERROR(VLOOKUP(Tabela510[[#This Row],[Produto]],cálculos!$O$3:$R$31,4,FALSE),"-")</f>
        <v>-</v>
      </c>
      <c r="F10" s="23"/>
      <c r="G10" s="27" t="str">
        <f>IFERROR(VLOOKUP(Tabela510[[#This Row],[Produto]],cálculos!$O$3:$R$29,3,FALSE),"-")</f>
        <v>-</v>
      </c>
      <c r="H10" s="27" t="str">
        <f>IFERROR(Tabela510[[#This Row],[Preço Unitário]]*Tabela510[[#This Row],[Quantidade]],"-")</f>
        <v>-</v>
      </c>
      <c r="I10" s="26"/>
      <c r="J10" s="23"/>
      <c r="K10" s="27" t="str">
        <f>IFERROR(IF(Tabela510[[#This Row],[Id da venda]]=B11,0,VLOOKUP(Tabela510[[#This Row],[Entrega]],cálculos!$B$3:$C$9,2,FALSE)),"-")</f>
        <v>-</v>
      </c>
      <c r="L10" s="27" t="str">
        <f>IFERROR(Tabela510[[#This Row],[Subtotal]]*(1-Tabela510[[#This Row],[Desconto]])+Tabela510[[#This Row],[Valor de Entrega]],"")</f>
        <v/>
      </c>
      <c r="M10" s="27">
        <f>IF(Tabela510[[#This Row],[Id da venda]]=B11,"",SUMIF(Tabela510[Id da venda],Tabela510[[#This Row],[Id da venda]],Tabela510[Total]))</f>
        <v>43.85</v>
      </c>
    </row>
    <row r="12" spans="1:14" ht="19.5" thickBot="1" x14ac:dyDescent="0.3">
      <c r="B12" s="32" t="s">
        <v>118</v>
      </c>
      <c r="C12" s="58"/>
      <c r="D12" s="59"/>
      <c r="E12" s="59"/>
      <c r="F12" s="60"/>
      <c r="G12" s="60"/>
      <c r="H12" s="60"/>
      <c r="I12" s="61"/>
      <c r="J12" s="59"/>
      <c r="K12" s="60"/>
      <c r="L12" s="59"/>
      <c r="M12" s="62">
        <f>SUM(Tabela510[Total Por Cliente])</f>
        <v>669.7</v>
      </c>
    </row>
    <row r="13" spans="1:14" ht="19.5" thickBot="1" x14ac:dyDescent="0.3">
      <c r="B13" s="31" t="s">
        <v>119</v>
      </c>
      <c r="C13" s="63"/>
      <c r="D13" s="64"/>
      <c r="E13" s="64"/>
      <c r="F13" s="65"/>
      <c r="G13" s="65"/>
      <c r="H13" s="65"/>
      <c r="I13" s="66"/>
      <c r="J13" s="64"/>
      <c r="K13" s="65"/>
      <c r="L13" s="64"/>
      <c r="M13" s="67">
        <f>SUM(Tabela510[Valor de Entrega])</f>
        <v>6.5</v>
      </c>
    </row>
    <row r="14" spans="1:14" ht="19.5" thickBot="1" x14ac:dyDescent="0.3">
      <c r="B14" s="31" t="s">
        <v>132</v>
      </c>
      <c r="C14" s="63"/>
      <c r="D14" s="64"/>
      <c r="E14" s="64"/>
      <c r="F14" s="65"/>
      <c r="G14" s="65"/>
      <c r="H14" s="65"/>
      <c r="I14" s="66"/>
      <c r="J14" s="64"/>
      <c r="K14" s="65"/>
      <c r="L14" s="64"/>
      <c r="M14" s="67" cm="1">
        <f t="array" ref="M14">SUM(IF(FREQUENCY(Tabela5[Id da venda],Tabela510[Id da venda])&gt;0,1,0))</f>
        <v>3</v>
      </c>
    </row>
    <row r="15" spans="1:14" x14ac:dyDescent="0.2">
      <c r="C15"/>
      <c r="F15" s="1"/>
    </row>
    <row r="16" spans="1:14" x14ac:dyDescent="0.2">
      <c r="C16"/>
      <c r="F16" s="1"/>
      <c r="H16"/>
    </row>
    <row r="17" spans="8:8" x14ac:dyDescent="0.2">
      <c r="H17"/>
    </row>
    <row r="18" spans="8:8" x14ac:dyDescent="0.2">
      <c r="H18"/>
    </row>
    <row r="19" spans="8:8" x14ac:dyDescent="0.2">
      <c r="H19"/>
    </row>
    <row r="20" spans="8:8" x14ac:dyDescent="0.2">
      <c r="H20"/>
    </row>
  </sheetData>
  <mergeCells count="1">
    <mergeCell ref="A2:N2"/>
  </mergeCells>
  <dataValidations count="1">
    <dataValidation type="whole" showInputMessage="1" showErrorMessage="1" sqref="F17:F21 F27:F1048576 H16:H20 E12:E16 F1:F11" xr:uid="{6176E309-07D2-419D-B1F1-A52C889FA8D6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1875D7-151D-41C6-86C4-E9BD91C8399D}">
          <x14:formula1>
            <xm:f>cálculos!$O$4:$O$27</xm:f>
          </x14:formula1>
          <xm:sqref>D7:D10</xm:sqref>
        </x14:dataValidation>
        <x14:dataValidation type="list" allowBlank="1" showInputMessage="1" showErrorMessage="1" xr:uid="{38A33533-5F40-4F36-9803-AFF610216AF9}">
          <x14:formula1>
            <xm:f>cálculos!$B$4:$B$8</xm:f>
          </x14:formula1>
          <xm:sqref>J6:J10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554A-6BE8-403C-A1ED-BDAE6194F695}">
  <dimension ref="A1:N12"/>
  <sheetViews>
    <sheetView topLeftCell="J1" workbookViewId="0">
      <selection activeCell="D16" sqref="D16"/>
    </sheetView>
  </sheetViews>
  <sheetFormatPr defaultRowHeight="15" x14ac:dyDescent="0.2"/>
  <cols>
    <col min="1" max="1" width="16.8125" bestFit="1" customWidth="1"/>
    <col min="2" max="2" width="18.16015625" bestFit="1" customWidth="1"/>
    <col min="3" max="3" width="12.64453125" bestFit="1" customWidth="1"/>
    <col min="4" max="4" width="20.984375" bestFit="1" customWidth="1"/>
    <col min="5" max="6" width="16.8125" bestFit="1" customWidth="1"/>
    <col min="7" max="7" width="22.1953125" bestFit="1" customWidth="1"/>
    <col min="8" max="8" width="18.16015625" customWidth="1"/>
    <col min="9" max="9" width="12.64453125" customWidth="1"/>
    <col min="10" max="11" width="8.875" customWidth="1"/>
    <col min="12" max="12" width="5.51171875" customWidth="1"/>
    <col min="13" max="13" width="16.41015625" customWidth="1"/>
    <col min="14" max="14" width="16.94921875" customWidth="1"/>
  </cols>
  <sheetData>
    <row r="1" spans="1:14" ht="4.9000000000000004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167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4" spans="1:14" x14ac:dyDescent="0.2">
      <c r="C4" s="7"/>
      <c r="G4" s="1"/>
      <c r="H4" s="1"/>
      <c r="I4" s="3"/>
      <c r="K4" s="1"/>
    </row>
    <row r="5" spans="1:14" ht="15.75" thickBot="1" x14ac:dyDescent="0.25"/>
    <row r="6" spans="1:14" ht="15.75" thickBot="1" x14ac:dyDescent="0.25">
      <c r="A6" s="109" t="s">
        <v>160</v>
      </c>
      <c r="B6" s="110"/>
      <c r="C6" s="111"/>
      <c r="F6" s="109" t="s">
        <v>163</v>
      </c>
      <c r="G6" s="110"/>
      <c r="H6" s="110"/>
      <c r="I6" s="111"/>
    </row>
    <row r="7" spans="1:14" x14ac:dyDescent="0.2">
      <c r="A7" s="103" t="s">
        <v>157</v>
      </c>
      <c r="B7" t="s">
        <v>158</v>
      </c>
      <c r="C7" t="s">
        <v>159</v>
      </c>
      <c r="D7" t="s">
        <v>162</v>
      </c>
      <c r="F7" s="103" t="s">
        <v>157</v>
      </c>
      <c r="G7" t="s">
        <v>161</v>
      </c>
      <c r="H7" t="s">
        <v>158</v>
      </c>
      <c r="I7" t="s">
        <v>159</v>
      </c>
    </row>
    <row r="8" spans="1:14" x14ac:dyDescent="0.2">
      <c r="A8" s="104" t="s">
        <v>16</v>
      </c>
      <c r="B8" s="23">
        <v>15</v>
      </c>
      <c r="C8" s="27">
        <v>43.85</v>
      </c>
      <c r="D8" s="27">
        <v>2.4900000000000002</v>
      </c>
      <c r="F8" s="104" t="s">
        <v>114</v>
      </c>
      <c r="G8" s="1">
        <v>0</v>
      </c>
      <c r="H8">
        <v>100</v>
      </c>
      <c r="I8" s="1">
        <v>582</v>
      </c>
    </row>
    <row r="9" spans="1:14" x14ac:dyDescent="0.2">
      <c r="A9" s="104" t="s">
        <v>18</v>
      </c>
      <c r="B9" s="23">
        <v>100</v>
      </c>
      <c r="C9" s="27">
        <v>582</v>
      </c>
      <c r="D9" s="27">
        <v>5.82</v>
      </c>
      <c r="F9" s="104" t="s">
        <v>117</v>
      </c>
      <c r="G9" s="1">
        <v>6.5</v>
      </c>
      <c r="H9">
        <v>15</v>
      </c>
      <c r="I9" s="1">
        <v>43.85</v>
      </c>
    </row>
    <row r="10" spans="1:14" x14ac:dyDescent="0.2">
      <c r="A10" s="104" t="s">
        <v>156</v>
      </c>
      <c r="B10">
        <v>115</v>
      </c>
      <c r="C10" s="1">
        <v>625.85</v>
      </c>
      <c r="D10" s="1">
        <v>4.1550000000000002</v>
      </c>
      <c r="F10" s="104" t="s">
        <v>155</v>
      </c>
      <c r="G10" s="1">
        <v>0</v>
      </c>
      <c r="I10" s="1">
        <v>0</v>
      </c>
    </row>
    <row r="11" spans="1:14" x14ac:dyDescent="0.2">
      <c r="F11" s="105" t="s">
        <v>155</v>
      </c>
      <c r="G11" s="1">
        <v>0</v>
      </c>
      <c r="I11" s="1">
        <v>0</v>
      </c>
    </row>
    <row r="12" spans="1:14" x14ac:dyDescent="0.2">
      <c r="F12" s="104" t="s">
        <v>156</v>
      </c>
      <c r="G12" s="1">
        <v>6.5</v>
      </c>
      <c r="H12">
        <v>115</v>
      </c>
      <c r="I12" s="1">
        <v>625.85</v>
      </c>
    </row>
  </sheetData>
  <mergeCells count="3">
    <mergeCell ref="A2:N2"/>
    <mergeCell ref="A6:C6"/>
    <mergeCell ref="F6:I6"/>
  </mergeCells>
  <dataValidations count="1">
    <dataValidation type="whole" showInputMessage="1" showErrorMessage="1" sqref="F1:F4" xr:uid="{1AC4FAE2-273C-41F3-B70B-CE08F5478838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EFC92-6163-4CBB-AB9F-6E1BAAD78CAC}">
  <sheetPr codeName="Planilha10"/>
  <dimension ref="A1:N41"/>
  <sheetViews>
    <sheetView showGridLines="0" zoomScale="70" zoomScaleNormal="70" workbookViewId="0"/>
  </sheetViews>
  <sheetFormatPr defaultRowHeight="15" x14ac:dyDescent="0.2"/>
  <cols>
    <col min="2" max="2" width="34.83984375" customWidth="1"/>
    <col min="3" max="3" width="14.796875" style="7" customWidth="1"/>
    <col min="4" max="4" width="15.73828125" customWidth="1"/>
    <col min="5" max="5" width="13.71875" customWidth="1"/>
    <col min="6" max="6" width="10.35546875" bestFit="1" customWidth="1"/>
    <col min="7" max="7" width="14.9296875" style="1" bestFit="1" customWidth="1"/>
    <col min="8" max="8" width="13.85546875" style="1" bestFit="1" customWidth="1"/>
    <col min="9" max="9" width="9.68359375" style="3" bestFit="1" customWidth="1"/>
    <col min="10" max="10" width="17.21875" bestFit="1" customWidth="1"/>
    <col min="11" max="11" width="19.50390625" style="1" bestFit="1" customWidth="1"/>
    <col min="12" max="12" width="16.41015625" customWidth="1"/>
    <col min="13" max="13" width="19.37109375" bestFit="1" customWidth="1"/>
    <col min="14" max="14" width="20.04296875" customWidth="1"/>
  </cols>
  <sheetData>
    <row r="1" spans="1:14" ht="6.6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121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6" spans="1:14" x14ac:dyDescent="0.2">
      <c r="B6" s="23" t="s">
        <v>104</v>
      </c>
      <c r="C6" s="21" t="s">
        <v>40</v>
      </c>
      <c r="D6" s="23" t="s">
        <v>97</v>
      </c>
      <c r="E6" s="23" t="s">
        <v>55</v>
      </c>
      <c r="F6" s="23" t="s">
        <v>56</v>
      </c>
      <c r="G6" s="27" t="s">
        <v>110</v>
      </c>
      <c r="H6" s="27" t="s">
        <v>105</v>
      </c>
      <c r="I6" s="26" t="s">
        <v>58</v>
      </c>
      <c r="J6" s="23" t="s">
        <v>106</v>
      </c>
      <c r="K6" s="27" t="s">
        <v>107</v>
      </c>
      <c r="L6" s="23" t="s">
        <v>108</v>
      </c>
      <c r="M6" s="23" t="s">
        <v>109</v>
      </c>
    </row>
    <row r="7" spans="1:14" x14ac:dyDescent="0.2">
      <c r="B7" s="23">
        <v>13</v>
      </c>
      <c r="C7" s="33">
        <v>42190</v>
      </c>
      <c r="D7" s="23" t="s">
        <v>28</v>
      </c>
      <c r="E7" s="23" t="str">
        <f>IFERROR(VLOOKUP(Tabela51011[[#This Row],[Produto]],cálculos!$O$3:$R$31,4,FALSE),"-")</f>
        <v>Pacote</v>
      </c>
      <c r="F7" s="23">
        <v>10</v>
      </c>
      <c r="G7" s="27">
        <f>IFERROR(VLOOKUP(Tabela51011[[#This Row],[Produto]],cálculos!$O$3:$R$29,3,FALSE),"-")</f>
        <v>1.1499999999999999</v>
      </c>
      <c r="H7" s="27">
        <f>IFERROR(Tabela51011[[#This Row],[Preço Unitário]]*Tabela51011[[#This Row],[Quantidade]],"-")</f>
        <v>11.5</v>
      </c>
      <c r="I7" s="26">
        <v>0.03</v>
      </c>
      <c r="J7" s="23" t="s">
        <v>117</v>
      </c>
      <c r="K7" s="27">
        <f>IFERROR(IF(Tabela51011[[#This Row],[Id da venda]]=B8,0,VLOOKUP(Tabela51011[[#This Row],[Entrega]],cálculos!$B$3:$C$9,2,FALSE)),"-")</f>
        <v>0</v>
      </c>
      <c r="L7" s="27">
        <f>IFERROR(Tabela51011[[#This Row],[Subtotal]]*(1-Tabela51011[[#This Row],[Desconto]])+Tabela51011[[#This Row],[Valor de Entrega]],"")</f>
        <v>11.154999999999999</v>
      </c>
      <c r="M7" s="27" t="str">
        <f>IF(Tabela51011[[#This Row],[Id da venda]]=B8,"",SUMIF(Tabela51011[Id da venda],Tabela51011[[#This Row],[Id da venda]],Tabela51011[Total]))</f>
        <v/>
      </c>
    </row>
    <row r="8" spans="1:14" x14ac:dyDescent="0.2">
      <c r="B8" s="23">
        <v>13</v>
      </c>
      <c r="C8" s="33">
        <v>42190</v>
      </c>
      <c r="D8" s="23" t="s">
        <v>32</v>
      </c>
      <c r="E8" s="23" t="str">
        <f>IFERROR(VLOOKUP(Tabela51011[[#This Row],[Produto]],cálculos!$O$3:$R$31,4,FALSE),"-")</f>
        <v>Pacote</v>
      </c>
      <c r="F8" s="23">
        <v>1</v>
      </c>
      <c r="G8" s="27">
        <f>IFERROR(VLOOKUP(Tabela51011[[#This Row],[Produto]],cálculos!$O$3:$R$29,3,FALSE),"-")</f>
        <v>0.79</v>
      </c>
      <c r="H8" s="27">
        <f>IFERROR(Tabela51011[[#This Row],[Preço Unitário]]*Tabela51011[[#This Row],[Quantidade]],"-")</f>
        <v>0.79</v>
      </c>
      <c r="I8" s="26">
        <v>0</v>
      </c>
      <c r="J8" s="23" t="s">
        <v>117</v>
      </c>
      <c r="K8" s="27">
        <f>IFERROR(IF(Tabela51011[[#This Row],[Id da venda]]=B9,0,VLOOKUP(Tabela51011[[#This Row],[Entrega]],cálculos!$B$3:$C$9,2,FALSE)),"-")</f>
        <v>0</v>
      </c>
      <c r="L8" s="27">
        <f>IFERROR(Tabela51011[[#This Row],[Subtotal]]*(1-Tabela51011[[#This Row],[Desconto]])+Tabela51011[[#This Row],[Valor de Entrega]],"")</f>
        <v>0.79</v>
      </c>
      <c r="M8" s="27" t="str">
        <f>IF(Tabela51011[[#This Row],[Id da venda]]=B9,"",SUMIF(Tabela51011[Id da venda],Tabela51011[[#This Row],[Id da venda]],Tabela51011[Total]))</f>
        <v/>
      </c>
    </row>
    <row r="9" spans="1:14" x14ac:dyDescent="0.2">
      <c r="B9" s="23">
        <v>13</v>
      </c>
      <c r="C9" s="33">
        <v>42190</v>
      </c>
      <c r="D9" s="23" t="s">
        <v>19</v>
      </c>
      <c r="E9" s="23" t="str">
        <f>IFERROR(VLOOKUP(Tabela51011[[#This Row],[Produto]],cálculos!$O$3:$R$31,4,FALSE),"-")</f>
        <v>Unidade</v>
      </c>
      <c r="F9" s="23">
        <v>10</v>
      </c>
      <c r="G9" s="27">
        <f>IFERROR(VLOOKUP(Tabela51011[[#This Row],[Produto]],cálculos!$O$3:$R$29,3,FALSE),"-")</f>
        <v>2.99</v>
      </c>
      <c r="H9" s="27">
        <f>IFERROR(Tabela51011[[#This Row],[Preço Unitário]]*Tabela51011[[#This Row],[Quantidade]],"-")</f>
        <v>29.900000000000002</v>
      </c>
      <c r="I9" s="26">
        <v>0.01</v>
      </c>
      <c r="J9" s="23" t="s">
        <v>117</v>
      </c>
      <c r="K9" s="27">
        <f>IFERROR(IF(Tabela51011[[#This Row],[Id da venda]]=B10,0,VLOOKUP(Tabela51011[[#This Row],[Entrega]],cálculos!$B$3:$C$9,2,FALSE)),"-")</f>
        <v>0</v>
      </c>
      <c r="L9" s="27">
        <f>IFERROR(Tabela51011[[#This Row],[Subtotal]]*(1-Tabela51011[[#This Row],[Desconto]])+Tabela51011[[#This Row],[Valor de Entrega]],"")</f>
        <v>29.601000000000003</v>
      </c>
      <c r="M9" s="27" t="str">
        <f>IF(Tabela51011[[#This Row],[Id da venda]]=B10,"",SUMIF(Tabela51011[Id da venda],Tabela51011[[#This Row],[Id da venda]],Tabela51011[Total]))</f>
        <v/>
      </c>
    </row>
    <row r="10" spans="1:14" x14ac:dyDescent="0.2">
      <c r="B10" s="23">
        <v>13</v>
      </c>
      <c r="C10" s="33">
        <v>42190</v>
      </c>
      <c r="D10" s="23" t="s">
        <v>29</v>
      </c>
      <c r="E10" s="23" t="str">
        <f>IFERROR(VLOOKUP(Tabela51011[[#This Row],[Produto]],cálculos!$O$3:$R$31,4,FALSE),"-")</f>
        <v>Lata</v>
      </c>
      <c r="F10" s="23">
        <v>24</v>
      </c>
      <c r="G10" s="27">
        <f>IFERROR(VLOOKUP(Tabela51011[[#This Row],[Produto]],cálculos!$O$3:$R$29,3,FALSE),"-")</f>
        <v>2.19</v>
      </c>
      <c r="H10" s="27">
        <f>IFERROR(Tabela51011[[#This Row],[Preço Unitário]]*Tabela51011[[#This Row],[Quantidade]],"-")</f>
        <v>52.56</v>
      </c>
      <c r="I10" s="26"/>
      <c r="J10" s="23" t="s">
        <v>117</v>
      </c>
      <c r="K10" s="27">
        <f>IFERROR(IF(Tabela51011[[#This Row],[Id da venda]]=B11,0,VLOOKUP(Tabela51011[[#This Row],[Entrega]],cálculos!$B$3:$C$9,2,FALSE)),"-")</f>
        <v>6.5</v>
      </c>
      <c r="L10" s="27">
        <f>IFERROR(Tabela51011[[#This Row],[Subtotal]]*(1-Tabela51011[[#This Row],[Desconto]])+Tabela51011[[#This Row],[Valor de Entrega]],"")</f>
        <v>59.06</v>
      </c>
      <c r="M10" s="27">
        <f>IF(Tabela51011[[#This Row],[Id da venda]]=B11,"",SUMIF(Tabela51011[Id da venda],Tabela51011[[#This Row],[Id da venda]],Tabela51011[Total]))</f>
        <v>100.60600000000001</v>
      </c>
    </row>
    <row r="11" spans="1:14" x14ac:dyDescent="0.2">
      <c r="B11" s="23">
        <v>12</v>
      </c>
      <c r="C11" s="33">
        <v>42189</v>
      </c>
      <c r="D11" s="23" t="s">
        <v>29</v>
      </c>
      <c r="E11" s="23" t="str">
        <f>IFERROR(VLOOKUP(Tabela51011[[#This Row],[Produto]],cálculos!$O$3:$R$31,4,FALSE),"-")</f>
        <v>Lata</v>
      </c>
      <c r="F11" s="23">
        <v>1</v>
      </c>
      <c r="G11" s="27">
        <f>IFERROR(VLOOKUP(Tabela51011[[#This Row],[Produto]],cálculos!$O$3:$R$29,3,FALSE),"-")</f>
        <v>2.19</v>
      </c>
      <c r="H11" s="27">
        <f>IFERROR(Tabela51011[[#This Row],[Preço Unitário]]*Tabela51011[[#This Row],[Quantidade]],"-")</f>
        <v>2.19</v>
      </c>
      <c r="I11" s="26"/>
      <c r="J11" s="23" t="s">
        <v>114</v>
      </c>
      <c r="K11" s="27">
        <f>IFERROR(IF(Tabela51011[[#This Row],[Id da venda]]=B12,0,VLOOKUP(Tabela51011[[#This Row],[Entrega]],cálculos!$B$3:$C$9,2,FALSE)),"-")</f>
        <v>0</v>
      </c>
      <c r="L11" s="27">
        <f>IFERROR(Tabela51011[[#This Row],[Subtotal]]*(1-Tabela51011[[#This Row],[Desconto]])+Tabela51011[[#This Row],[Valor de Entrega]],"")</f>
        <v>2.19</v>
      </c>
      <c r="M11" s="27">
        <f>IF(Tabela51011[[#This Row],[Id da venda]]=B12,"",SUMIF(Tabela51011[Id da venda],Tabela51011[[#This Row],[Id da venda]],Tabela51011[Total]))</f>
        <v>2.19</v>
      </c>
    </row>
    <row r="12" spans="1:14" x14ac:dyDescent="0.2">
      <c r="B12" s="23">
        <v>11</v>
      </c>
      <c r="C12" s="33">
        <v>42189</v>
      </c>
      <c r="D12" s="23" t="s">
        <v>29</v>
      </c>
      <c r="E12" s="23" t="str">
        <f>IFERROR(VLOOKUP(Tabela51011[[#This Row],[Produto]],cálculos!$O$3:$R$31,4,FALSE),"-")</f>
        <v>Lata</v>
      </c>
      <c r="F12" s="23">
        <v>10</v>
      </c>
      <c r="G12" s="27">
        <f>IFERROR(VLOOKUP(Tabela51011[[#This Row],[Produto]],cálculos!$O$3:$R$29,3,FALSE),"-")</f>
        <v>2.19</v>
      </c>
      <c r="H12" s="27">
        <f>IFERROR(Tabela51011[[#This Row],[Preço Unitário]]*Tabela51011[[#This Row],[Quantidade]],"-")</f>
        <v>21.9</v>
      </c>
      <c r="I12" s="26"/>
      <c r="J12" s="23" t="s">
        <v>114</v>
      </c>
      <c r="K12" s="27">
        <f>IFERROR(IF(Tabela51011[[#This Row],[Id da venda]]=B13,0,VLOOKUP(Tabela51011[[#This Row],[Entrega]],cálculos!$B$3:$C$9,2,FALSE)),"-")</f>
        <v>0</v>
      </c>
      <c r="L12" s="27">
        <f>IFERROR(Tabela51011[[#This Row],[Subtotal]]*(1-Tabela51011[[#This Row],[Desconto]])+Tabela51011[[#This Row],[Valor de Entrega]],"")</f>
        <v>21.9</v>
      </c>
      <c r="M12" s="27">
        <f>IF(Tabela51011[[#This Row],[Id da venda]]=B13,"",SUMIF(Tabela51011[Id da venda],Tabela51011[[#This Row],[Id da venda]],Tabela51011[Total]))</f>
        <v>21.9</v>
      </c>
    </row>
    <row r="13" spans="1:14" x14ac:dyDescent="0.2">
      <c r="B13" s="23">
        <v>10</v>
      </c>
      <c r="C13" s="33">
        <v>42189</v>
      </c>
      <c r="D13" s="23" t="s">
        <v>17</v>
      </c>
      <c r="E13" s="23" t="str">
        <f>IFERROR(VLOOKUP(Tabela51011[[#This Row],[Produto]],cálculos!$O$3:$R$31,4,FALSE),"-")</f>
        <v>Kg</v>
      </c>
      <c r="F13" s="23">
        <v>6</v>
      </c>
      <c r="G13" s="27">
        <f>IFERROR(VLOOKUP(Tabela51011[[#This Row],[Produto]],cálculos!$O$3:$R$29,3,FALSE),"-")</f>
        <v>4.28</v>
      </c>
      <c r="H13" s="27">
        <f>IFERROR(Tabela51011[[#This Row],[Preço Unitário]]*Tabela51011[[#This Row],[Quantidade]],"-")</f>
        <v>25.68</v>
      </c>
      <c r="I13" s="26"/>
      <c r="J13" s="23" t="s">
        <v>114</v>
      </c>
      <c r="K13" s="27">
        <f>IFERROR(IF(Tabela51011[[#This Row],[Id da venda]]=B14,0,VLOOKUP(Tabela51011[[#This Row],[Entrega]],cálculos!$B$3:$C$9,2,FALSE)),"-")</f>
        <v>0</v>
      </c>
      <c r="L13" s="27">
        <f>IFERROR(Tabela51011[[#This Row],[Subtotal]]*(1-Tabela51011[[#This Row],[Desconto]])+Tabela51011[[#This Row],[Valor de Entrega]],"")</f>
        <v>25.68</v>
      </c>
      <c r="M13" s="27" t="str">
        <f>IF(Tabela51011[[#This Row],[Id da venda]]=B14,"",SUMIF(Tabela51011[Id da venda],Tabela51011[[#This Row],[Id da venda]],Tabela51011[Total]))</f>
        <v/>
      </c>
    </row>
    <row r="14" spans="1:14" x14ac:dyDescent="0.2">
      <c r="B14" s="23">
        <v>10</v>
      </c>
      <c r="C14" s="33">
        <v>42189</v>
      </c>
      <c r="D14" s="23" t="s">
        <v>72</v>
      </c>
      <c r="E14" s="23" t="str">
        <f>IFERROR(VLOOKUP(Tabela51011[[#This Row],[Produto]],cálculos!$O$3:$R$31,4,FALSE),"-")</f>
        <v>Litro</v>
      </c>
      <c r="F14" s="23">
        <v>4</v>
      </c>
      <c r="G14" s="27">
        <f>IFERROR(VLOOKUP(Tabela51011[[#This Row],[Produto]],cálculos!$O$3:$R$29,3,FALSE),"-")</f>
        <v>2.39</v>
      </c>
      <c r="H14" s="27">
        <f>IFERROR(Tabela51011[[#This Row],[Preço Unitário]]*Tabela51011[[#This Row],[Quantidade]],"-")</f>
        <v>9.56</v>
      </c>
      <c r="I14" s="26"/>
      <c r="J14" s="23" t="s">
        <v>114</v>
      </c>
      <c r="K14" s="27">
        <f>IFERROR(IF(Tabela51011[[#This Row],[Id da venda]]=B15,0,VLOOKUP(Tabela51011[[#This Row],[Entrega]],cálculos!$B$3:$C$9,2,FALSE)),"-")</f>
        <v>0</v>
      </c>
      <c r="L14" s="27">
        <f>IFERROR(Tabela51011[[#This Row],[Subtotal]]*(1-Tabela51011[[#This Row],[Desconto]])+Tabela51011[[#This Row],[Valor de Entrega]],"")</f>
        <v>9.56</v>
      </c>
      <c r="M14" s="27">
        <f>IF(Tabela51011[[#This Row],[Id da venda]]=B15,"",SUMIF(Tabela51011[Id da venda],Tabela51011[[#This Row],[Id da venda]],Tabela51011[Total]))</f>
        <v>35.24</v>
      </c>
    </row>
    <row r="15" spans="1:14" x14ac:dyDescent="0.2">
      <c r="B15" s="23">
        <v>9</v>
      </c>
      <c r="C15" s="33">
        <v>42188</v>
      </c>
      <c r="D15" s="23" t="s">
        <v>71</v>
      </c>
      <c r="E15" s="23" t="str">
        <f>IFERROR(VLOOKUP(Tabela51011[[#This Row],[Produto]],cálculos!$O$3:$R$31,4,FALSE),"-")</f>
        <v>Unidade</v>
      </c>
      <c r="F15" s="23">
        <v>5</v>
      </c>
      <c r="G15" s="27">
        <f>IFERROR(VLOOKUP(Tabela51011[[#This Row],[Produto]],cálculos!$O$3:$R$29,3,FALSE),"-")</f>
        <v>2.89</v>
      </c>
      <c r="H15" s="27">
        <f>IFERROR(Tabela51011[[#This Row],[Preço Unitário]]*Tabela51011[[#This Row],[Quantidade]],"-")</f>
        <v>14.450000000000001</v>
      </c>
      <c r="I15" s="26"/>
      <c r="J15" s="23" t="s">
        <v>114</v>
      </c>
      <c r="K15" s="27">
        <f>IFERROR(IF(Tabela51011[[#This Row],[Id da venda]]=B16,0,VLOOKUP(Tabela51011[[#This Row],[Entrega]],cálculos!$B$3:$C$9,2,FALSE)),"-")</f>
        <v>0</v>
      </c>
      <c r="L15" s="27">
        <f>IFERROR(Tabela51011[[#This Row],[Subtotal]]*(1-Tabela51011[[#This Row],[Desconto]])+Tabela51011[[#This Row],[Valor de Entrega]],"")</f>
        <v>14.450000000000001</v>
      </c>
      <c r="M15" s="27" t="str">
        <f>IF(Tabela51011[[#This Row],[Id da venda]]=B16,"",SUMIF(Tabela51011[Id da venda],Tabela51011[[#This Row],[Id da venda]],Tabela51011[Total]))</f>
        <v/>
      </c>
    </row>
    <row r="16" spans="1:14" x14ac:dyDescent="0.2">
      <c r="B16" s="23">
        <v>9</v>
      </c>
      <c r="C16" s="33">
        <v>42188</v>
      </c>
      <c r="D16" s="23" t="s">
        <v>27</v>
      </c>
      <c r="E16" s="23" t="str">
        <f>IFERROR(VLOOKUP(Tabela51011[[#This Row],[Produto]],cálculos!$O$3:$R$31,4,FALSE),"-")</f>
        <v>Kg</v>
      </c>
      <c r="F16" s="23">
        <v>2</v>
      </c>
      <c r="G16" s="27">
        <f>IFERROR(VLOOKUP(Tabela51011[[#This Row],[Produto]],cálculos!$O$3:$R$29,3,FALSE),"-")</f>
        <v>9.58</v>
      </c>
      <c r="H16" s="27">
        <f>IFERROR(Tabela51011[[#This Row],[Preço Unitário]]*Tabela51011[[#This Row],[Quantidade]],"-")</f>
        <v>19.16</v>
      </c>
      <c r="I16" s="26"/>
      <c r="J16" s="23" t="s">
        <v>114</v>
      </c>
      <c r="K16" s="27">
        <f>IFERROR(IF(Tabela51011[[#This Row],[Id da venda]]=B17,0,VLOOKUP(Tabela51011[[#This Row],[Entrega]],cálculos!$B$3:$C$9,2,FALSE)),"-")</f>
        <v>0</v>
      </c>
      <c r="L16" s="27">
        <f>IFERROR(Tabela51011[[#This Row],[Subtotal]]*(1-Tabela51011[[#This Row],[Desconto]])+Tabela51011[[#This Row],[Valor de Entrega]],"")</f>
        <v>19.16</v>
      </c>
      <c r="M16" s="27" t="str">
        <f>IF(Tabela51011[[#This Row],[Id da venda]]=B17,"",SUMIF(Tabela51011[Id da venda],Tabela51011[[#This Row],[Id da venda]],Tabela51011[Total]))</f>
        <v/>
      </c>
    </row>
    <row r="17" spans="2:13" x14ac:dyDescent="0.2">
      <c r="B17" s="23">
        <v>9</v>
      </c>
      <c r="C17" s="33">
        <v>42188</v>
      </c>
      <c r="D17" s="23" t="s">
        <v>23</v>
      </c>
      <c r="E17" s="23" t="str">
        <f>IFERROR(VLOOKUP(Tabela51011[[#This Row],[Produto]],cálculos!$O$3:$R$31,4,FALSE),"-")</f>
        <v>Kg</v>
      </c>
      <c r="F17" s="23">
        <v>1.5</v>
      </c>
      <c r="G17" s="27">
        <f>IFERROR(VLOOKUP(Tabela51011[[#This Row],[Produto]],cálculos!$O$3:$R$29,3,FALSE),"-")</f>
        <v>25.9</v>
      </c>
      <c r="H17" s="27">
        <f>IFERROR(Tabela51011[[#This Row],[Preço Unitário]]*Tabela51011[[#This Row],[Quantidade]],"-")</f>
        <v>38.849999999999994</v>
      </c>
      <c r="I17" s="26"/>
      <c r="J17" s="23" t="s">
        <v>114</v>
      </c>
      <c r="K17" s="27">
        <f>IFERROR(IF(Tabela51011[[#This Row],[Id da venda]]=B18,0,VLOOKUP(Tabela51011[[#This Row],[Entrega]],cálculos!$B$3:$C$9,2,FALSE)),"-")</f>
        <v>0</v>
      </c>
      <c r="L17" s="27">
        <f>IFERROR(Tabela51011[[#This Row],[Subtotal]]*(1-Tabela51011[[#This Row],[Desconto]])+Tabela51011[[#This Row],[Valor de Entrega]],"")</f>
        <v>38.849999999999994</v>
      </c>
      <c r="M17" s="27" t="str">
        <f>IF(Tabela51011[[#This Row],[Id da venda]]=B18,"",SUMIF(Tabela51011[Id da venda],Tabela51011[[#This Row],[Id da venda]],Tabela51011[Total]))</f>
        <v/>
      </c>
    </row>
    <row r="18" spans="2:13" x14ac:dyDescent="0.2">
      <c r="B18" s="23">
        <v>9</v>
      </c>
      <c r="C18" s="33">
        <v>42188</v>
      </c>
      <c r="D18" s="23" t="s">
        <v>17</v>
      </c>
      <c r="E18" s="23" t="str">
        <f>IFERROR(VLOOKUP(Tabela51011[[#This Row],[Produto]],cálculos!$O$3:$R$31,4,FALSE),"-")</f>
        <v>Kg</v>
      </c>
      <c r="F18" s="23">
        <v>4</v>
      </c>
      <c r="G18" s="27">
        <f>IFERROR(VLOOKUP(Tabela51011[[#This Row],[Produto]],cálculos!$O$3:$R$29,3,FALSE),"-")</f>
        <v>4.28</v>
      </c>
      <c r="H18" s="27">
        <f>IFERROR(Tabela51011[[#This Row],[Preço Unitário]]*Tabela51011[[#This Row],[Quantidade]],"-")</f>
        <v>17.12</v>
      </c>
      <c r="I18" s="26"/>
      <c r="J18" s="23" t="s">
        <v>114</v>
      </c>
      <c r="K18" s="27">
        <f>IFERROR(IF(Tabela51011[[#This Row],[Id da venda]]=B19,0,VLOOKUP(Tabela51011[[#This Row],[Entrega]],cálculos!$B$3:$C$9,2,FALSE)),"-")</f>
        <v>0</v>
      </c>
      <c r="L18" s="27">
        <f>IFERROR(Tabela51011[[#This Row],[Subtotal]]*(1-Tabela51011[[#This Row],[Desconto]])+Tabela51011[[#This Row],[Valor de Entrega]],"")</f>
        <v>17.12</v>
      </c>
      <c r="M18" s="27">
        <f>IF(Tabela51011[[#This Row],[Id da venda]]=B19,"",SUMIF(Tabela51011[Id da venda],Tabela51011[[#This Row],[Id da venda]],Tabela51011[Total]))</f>
        <v>89.58</v>
      </c>
    </row>
    <row r="19" spans="2:13" x14ac:dyDescent="0.2">
      <c r="B19" s="23">
        <v>8</v>
      </c>
      <c r="C19" s="33">
        <v>42188</v>
      </c>
      <c r="D19" s="23" t="s">
        <v>29</v>
      </c>
      <c r="E19" s="23" t="str">
        <f>IFERROR(VLOOKUP(Tabela51011[[#This Row],[Produto]],cálculos!$O$3:$R$31,4,FALSE),"-")</f>
        <v>Lata</v>
      </c>
      <c r="F19" s="23">
        <v>20</v>
      </c>
      <c r="G19" s="27">
        <f>IFERROR(VLOOKUP(Tabela51011[[#This Row],[Produto]],cálculos!$O$3:$R$29,3,FALSE),"-")</f>
        <v>2.19</v>
      </c>
      <c r="H19" s="27">
        <f>IFERROR(Tabela51011[[#This Row],[Preço Unitário]]*Tabela51011[[#This Row],[Quantidade]],"-")</f>
        <v>43.8</v>
      </c>
      <c r="I19" s="26"/>
      <c r="J19" s="23" t="s">
        <v>117</v>
      </c>
      <c r="K19" s="27">
        <f>IFERROR(IF(Tabela51011[[#This Row],[Id da venda]]=B20,0,VLOOKUP(Tabela51011[[#This Row],[Entrega]],cálculos!$B$3:$C$9,2,FALSE)),"-")</f>
        <v>6.5</v>
      </c>
      <c r="L19" s="27">
        <f>IFERROR(Tabela51011[[#This Row],[Subtotal]]*(1-Tabela51011[[#This Row],[Desconto]])+Tabela51011[[#This Row],[Valor de Entrega]],"")</f>
        <v>50.3</v>
      </c>
      <c r="M19" s="27">
        <f>IF(Tabela51011[[#This Row],[Id da venda]]=B20,"",SUMIF(Tabela51011[Id da venda],Tabela51011[[#This Row],[Id da venda]],Tabela51011[Total]))</f>
        <v>50.3</v>
      </c>
    </row>
    <row r="20" spans="2:13" x14ac:dyDescent="0.2">
      <c r="B20" s="23">
        <v>7</v>
      </c>
      <c r="C20" s="33">
        <v>42188</v>
      </c>
      <c r="D20" s="23" t="s">
        <v>29</v>
      </c>
      <c r="E20" s="23" t="str">
        <f>IFERROR(VLOOKUP(Tabela51011[[#This Row],[Produto]],cálculos!$O$3:$R$31,4,FALSE),"-")</f>
        <v>Lata</v>
      </c>
      <c r="F20" s="23">
        <v>20</v>
      </c>
      <c r="G20" s="27">
        <f>IFERROR(VLOOKUP(Tabela51011[[#This Row],[Produto]],cálculos!$O$3:$R$29,3,FALSE),"-")</f>
        <v>2.19</v>
      </c>
      <c r="H20" s="27">
        <f>IFERROR(Tabela51011[[#This Row],[Preço Unitário]]*Tabela51011[[#This Row],[Quantidade]],"-")</f>
        <v>43.8</v>
      </c>
      <c r="I20" s="26"/>
      <c r="J20" s="23" t="s">
        <v>114</v>
      </c>
      <c r="K20" s="27">
        <f>IFERROR(IF(Tabela51011[[#This Row],[Id da venda]]=B21,0,VLOOKUP(Tabela51011[[#This Row],[Entrega]],cálculos!$B$3:$C$9,2,FALSE)),"-")</f>
        <v>0</v>
      </c>
      <c r="L20" s="27">
        <f>IFERROR(Tabela51011[[#This Row],[Subtotal]]*(1-Tabela51011[[#This Row],[Desconto]])+Tabela51011[[#This Row],[Valor de Entrega]],"")</f>
        <v>43.8</v>
      </c>
      <c r="M20" s="27">
        <f>IF(Tabela51011[[#This Row],[Id da venda]]=B21,"",SUMIF(Tabela51011[Id da venda],Tabela51011[[#This Row],[Id da venda]],Tabela51011[Total]))</f>
        <v>43.8</v>
      </c>
    </row>
    <row r="21" spans="2:13" x14ac:dyDescent="0.2">
      <c r="B21" s="23">
        <v>6</v>
      </c>
      <c r="C21" s="33">
        <v>42188</v>
      </c>
      <c r="D21" s="23" t="s">
        <v>32</v>
      </c>
      <c r="E21" s="23" t="str">
        <f>IFERROR(VLOOKUP(Tabela51011[[#This Row],[Produto]],cálculos!$O$3:$R$31,4,FALSE),"-")</f>
        <v>Pacote</v>
      </c>
      <c r="F21" s="23">
        <v>2</v>
      </c>
      <c r="G21" s="27">
        <f>IFERROR(VLOOKUP(Tabela51011[[#This Row],[Produto]],cálculos!$O$3:$R$29,3,FALSE),"-")</f>
        <v>0.79</v>
      </c>
      <c r="H21" s="27">
        <f>IFERROR(Tabela51011[[#This Row],[Preço Unitário]]*Tabela51011[[#This Row],[Quantidade]],"-")</f>
        <v>1.58</v>
      </c>
      <c r="I21" s="26"/>
      <c r="J21" s="23" t="s">
        <v>114</v>
      </c>
      <c r="K21" s="27">
        <f>IFERROR(IF(Tabela51011[[#This Row],[Id da venda]]=B22,0,VLOOKUP(Tabela51011[[#This Row],[Entrega]],cálculos!$B$3:$C$9,2,FALSE)),"-")</f>
        <v>0</v>
      </c>
      <c r="L21" s="27">
        <f>IFERROR(Tabela51011[[#This Row],[Subtotal]]*(1-Tabela51011[[#This Row],[Desconto]])+Tabela51011[[#This Row],[Valor de Entrega]],"")</f>
        <v>1.58</v>
      </c>
      <c r="M21" s="27" t="str">
        <f>IF(Tabela51011[[#This Row],[Id da venda]]=B22,"",SUMIF(Tabela51011[Id da venda],Tabela51011[[#This Row],[Id da venda]],Tabela51011[Total]))</f>
        <v/>
      </c>
    </row>
    <row r="22" spans="2:13" x14ac:dyDescent="0.2">
      <c r="B22" s="23">
        <v>6</v>
      </c>
      <c r="C22" s="33">
        <v>42188</v>
      </c>
      <c r="D22" s="23" t="s">
        <v>20</v>
      </c>
      <c r="E22" s="23" t="str">
        <f>IFERROR(VLOOKUP(Tabela51011[[#This Row],[Produto]],cálculos!$O$3:$R$31,4,FALSE),"-")</f>
        <v>Kg</v>
      </c>
      <c r="F22" s="23">
        <v>6</v>
      </c>
      <c r="G22" s="27">
        <f>IFERROR(VLOOKUP(Tabela51011[[#This Row],[Produto]],cálculos!$O$3:$R$29,3,FALSE),"-")</f>
        <v>15.9</v>
      </c>
      <c r="H22" s="27">
        <f>IFERROR(Tabela51011[[#This Row],[Preço Unitário]]*Tabela51011[[#This Row],[Quantidade]],"-")</f>
        <v>95.4</v>
      </c>
      <c r="I22" s="26"/>
      <c r="J22" s="23" t="s">
        <v>114</v>
      </c>
      <c r="K22" s="27">
        <f>IFERROR(IF(Tabela51011[[#This Row],[Id da venda]]=B23,0,VLOOKUP(Tabela51011[[#This Row],[Entrega]],cálculos!$B$3:$C$9,2,FALSE)),"-")</f>
        <v>0</v>
      </c>
      <c r="L22" s="27">
        <f>IFERROR(Tabela51011[[#This Row],[Subtotal]]*(1-Tabela51011[[#This Row],[Desconto]])+Tabela51011[[#This Row],[Valor de Entrega]],"")</f>
        <v>95.4</v>
      </c>
      <c r="M22" s="27" t="str">
        <f>IF(Tabela51011[[#This Row],[Id da venda]]=B23,"",SUMIF(Tabela51011[Id da venda],Tabela51011[[#This Row],[Id da venda]],Tabela51011[Total]))</f>
        <v/>
      </c>
    </row>
    <row r="23" spans="2:13" x14ac:dyDescent="0.2">
      <c r="B23" s="23">
        <v>6</v>
      </c>
      <c r="C23" s="33">
        <v>42188</v>
      </c>
      <c r="D23" s="23" t="s">
        <v>29</v>
      </c>
      <c r="E23" s="23" t="str">
        <f>IFERROR(VLOOKUP(Tabela51011[[#This Row],[Produto]],cálculos!$O$3:$R$31,4,FALSE),"-")</f>
        <v>Lata</v>
      </c>
      <c r="F23" s="23">
        <v>12</v>
      </c>
      <c r="G23" s="27">
        <f>IFERROR(VLOOKUP(Tabela51011[[#This Row],[Produto]],cálculos!$O$3:$R$29,3,FALSE),"-")</f>
        <v>2.19</v>
      </c>
      <c r="H23" s="27">
        <f>IFERROR(Tabela51011[[#This Row],[Preço Unitário]]*Tabela51011[[#This Row],[Quantidade]],"-")</f>
        <v>26.28</v>
      </c>
      <c r="I23" s="26"/>
      <c r="J23" s="23" t="s">
        <v>114</v>
      </c>
      <c r="K23" s="27">
        <f>IFERROR(IF(Tabela51011[[#This Row],[Id da venda]]=B24,0,VLOOKUP(Tabela51011[[#This Row],[Entrega]],cálculos!$B$3:$C$9,2,FALSE)),"-")</f>
        <v>0</v>
      </c>
      <c r="L23" s="27">
        <f>IFERROR(Tabela51011[[#This Row],[Subtotal]]*(1-Tabela51011[[#This Row],[Desconto]])+Tabela51011[[#This Row],[Valor de Entrega]],"")</f>
        <v>26.28</v>
      </c>
      <c r="M23" s="27">
        <f>IF(Tabela51011[[#This Row],[Id da venda]]=B24,"",SUMIF(Tabela51011[Id da venda],Tabela51011[[#This Row],[Id da venda]],Tabela51011[Total]))</f>
        <v>123.26</v>
      </c>
    </row>
    <row r="24" spans="2:13" x14ac:dyDescent="0.2">
      <c r="B24" s="23">
        <v>5</v>
      </c>
      <c r="C24" s="33">
        <v>42187</v>
      </c>
      <c r="D24" s="23" t="s">
        <v>19</v>
      </c>
      <c r="E24" s="23" t="str">
        <f>IFERROR(VLOOKUP(Tabela51011[[#This Row],[Produto]],cálculos!$O$3:$R$31,4,FALSE),"-")</f>
        <v>Unidade</v>
      </c>
      <c r="F24" s="23">
        <v>3</v>
      </c>
      <c r="G24" s="27">
        <f>IFERROR(VLOOKUP(Tabela51011[[#This Row],[Produto]],cálculos!$O$3:$R$29,3,FALSE),"-")</f>
        <v>2.99</v>
      </c>
      <c r="H24" s="27">
        <f>IFERROR(Tabela51011[[#This Row],[Preço Unitário]]*Tabela51011[[#This Row],[Quantidade]],"-")</f>
        <v>8.9700000000000006</v>
      </c>
      <c r="I24" s="26"/>
      <c r="J24" s="23" t="s">
        <v>117</v>
      </c>
      <c r="K24" s="27">
        <f>IFERROR(IF(Tabela51011[[#This Row],[Id da venda]]=B25,0,VLOOKUP(Tabela51011[[#This Row],[Entrega]],cálculos!$B$3:$C$9,2,FALSE)),"-")</f>
        <v>6.5</v>
      </c>
      <c r="L24" s="27">
        <f>IFERROR(Tabela51011[[#This Row],[Subtotal]]*(1-Tabela51011[[#This Row],[Desconto]])+Tabela51011[[#This Row],[Valor de Entrega]],"")</f>
        <v>15.47</v>
      </c>
      <c r="M24" s="27">
        <f>IF(Tabela51011[[#This Row],[Id da venda]]=B25,"",SUMIF(Tabela51011[Id da venda],Tabela51011[[#This Row],[Id da venda]],Tabela51011[Total]))</f>
        <v>15.47</v>
      </c>
    </row>
    <row r="25" spans="2:13" x14ac:dyDescent="0.2">
      <c r="B25" s="23">
        <v>4</v>
      </c>
      <c r="C25" s="33">
        <v>42187</v>
      </c>
      <c r="D25" s="23" t="s">
        <v>33</v>
      </c>
      <c r="E25" s="23" t="str">
        <f>IFERROR(VLOOKUP(Tabela51011[[#This Row],[Produto]],cálculos!$O$3:$R$31,4,FALSE),"-")</f>
        <v>Pacote</v>
      </c>
      <c r="F25" s="23">
        <v>2</v>
      </c>
      <c r="G25" s="27">
        <f>IFERROR(VLOOKUP(Tabela51011[[#This Row],[Produto]],cálculos!$O$3:$R$29,3,FALSE),"-")</f>
        <v>1.99</v>
      </c>
      <c r="H25" s="27">
        <f>IFERROR(Tabela51011[[#This Row],[Preço Unitário]]*Tabela51011[[#This Row],[Quantidade]],"-")</f>
        <v>3.98</v>
      </c>
      <c r="I25" s="26"/>
      <c r="J25" s="23" t="s">
        <v>115</v>
      </c>
      <c r="K25" s="27">
        <f>IFERROR(IF(Tabela51011[[#This Row],[Id da venda]]=B32,0,VLOOKUP(Tabela51011[[#This Row],[Entrega]],cálculos!$B$3:$C$9,2,FALSE)),"-")</f>
        <v>6.5</v>
      </c>
      <c r="L25" s="27">
        <f>IFERROR(Tabela51011[[#This Row],[Subtotal]]*(1-Tabela51011[[#This Row],[Desconto]])+Tabela51011[[#This Row],[Valor de Entrega]],"")</f>
        <v>10.48</v>
      </c>
      <c r="M25" s="27">
        <f>IF(Tabela51011[[#This Row],[Id da venda]]=B32,"",SUMIF(Tabela51011[Id da venda],Tabela51011[[#This Row],[Id da venda]],Tabela51011[Total]))</f>
        <v>10.48</v>
      </c>
    </row>
    <row r="26" spans="2:13" x14ac:dyDescent="0.2">
      <c r="B26" s="23"/>
      <c r="C26" s="33"/>
      <c r="D26" s="23" t="s">
        <v>31</v>
      </c>
      <c r="E26" s="23" t="str">
        <f>IFERROR(VLOOKUP(Tabela51011[[#This Row],[Produto]],cálculos!$O$3:$R$31,4,FALSE),"-")</f>
        <v>Unidade</v>
      </c>
      <c r="F26" s="23"/>
      <c r="G26" s="27"/>
      <c r="H26" s="27"/>
      <c r="I26" s="26"/>
      <c r="J26" s="23"/>
      <c r="K26" s="27"/>
      <c r="L26" s="27"/>
      <c r="M26" s="27"/>
    </row>
    <row r="27" spans="2:13" x14ac:dyDescent="0.2">
      <c r="B27" s="23">
        <v>3</v>
      </c>
      <c r="C27" s="33">
        <v>42187</v>
      </c>
      <c r="D27" s="23" t="s">
        <v>34</v>
      </c>
      <c r="E27" s="23" t="str">
        <f>IFERROR(VLOOKUP(Tabela51011[[#This Row],[Produto]],cálculos!$O$3:$R$31,4,FALSE),"-")</f>
        <v>Barra</v>
      </c>
      <c r="F27" s="23"/>
      <c r="G27" s="27"/>
      <c r="H27" s="27"/>
      <c r="I27" s="26"/>
      <c r="J27" s="23"/>
      <c r="K27" s="27"/>
      <c r="L27" s="27"/>
      <c r="M27" s="27"/>
    </row>
    <row r="28" spans="2:13" x14ac:dyDescent="0.2">
      <c r="B28" s="23"/>
      <c r="C28" s="33"/>
      <c r="D28" s="23"/>
      <c r="E28" s="23" t="str">
        <f>IFERROR(VLOOKUP(Tabela51011[[#This Row],[Produto]],cálculos!$O$3:$R$31,4,FALSE),"-")</f>
        <v>-</v>
      </c>
      <c r="F28" s="23"/>
      <c r="G28" s="27"/>
      <c r="H28" s="27"/>
      <c r="I28" s="26"/>
      <c r="J28" s="23"/>
      <c r="K28" s="27"/>
      <c r="L28" s="27"/>
      <c r="M28" s="27"/>
    </row>
    <row r="29" spans="2:13" x14ac:dyDescent="0.2">
      <c r="B29" s="23">
        <v>1</v>
      </c>
      <c r="C29" s="33">
        <v>42187</v>
      </c>
      <c r="D29" s="23" t="s">
        <v>16</v>
      </c>
      <c r="E29" s="23" t="str">
        <f>IFERROR(VLOOKUP(Tabela51011[[#This Row],[Produto]],cálculos!$O$3:$R$31,4,FALSE),"-")</f>
        <v>Kg</v>
      </c>
      <c r="F29" s="23">
        <v>2</v>
      </c>
      <c r="G29" s="27">
        <f>IFERROR(VLOOKUP(Tabela51011[[#This Row],[Produto]],cálculos!$O$3:$R$29,3,FALSE),"-")</f>
        <v>2.4900000000000002</v>
      </c>
      <c r="H29" s="27">
        <f>IFERROR(Tabela51011[[#This Row],[Preço Unitário]]*Tabela51011[[#This Row],[Quantidade]],"-")</f>
        <v>4.9800000000000004</v>
      </c>
      <c r="I29" s="26"/>
      <c r="J29" s="23" t="s">
        <v>113</v>
      </c>
      <c r="K29" s="27">
        <f>IFERROR(IF(Tabela51011[[#This Row],[Id da venda]]=B30,0,VLOOKUP(Tabela51011[[#This Row],[Entrega]],cálculos!$B$3:$C$9,2,FALSE)),"-")</f>
        <v>5</v>
      </c>
      <c r="L29" s="27">
        <f>IFERROR(Tabela51011[[#This Row],[Subtotal]]*(1-Tabela51011[[#This Row],[Desconto]])+Tabela51011[[#This Row],[Valor de Entrega]],"")</f>
        <v>9.98</v>
      </c>
      <c r="M29" s="27">
        <f>IF(Tabela51011[[#This Row],[Id da venda]]=B30,"",SUMIF(Tabela51011[Id da venda],Tabela51011[[#This Row],[Id da venda]],Tabela51011[Total]))</f>
        <v>9.98</v>
      </c>
    </row>
    <row r="30" spans="2:13" x14ac:dyDescent="0.2">
      <c r="B30" s="23"/>
      <c r="C30" s="33"/>
      <c r="D30" s="23"/>
      <c r="E30" s="23" t="str">
        <f>IFERROR(VLOOKUP(Tabela51011[[#This Row],[Produto]],cálculos!$O$3:$R$31,4,FALSE),"-")</f>
        <v>-</v>
      </c>
      <c r="F30" s="23"/>
      <c r="G30" s="27"/>
      <c r="H30" s="27"/>
      <c r="I30" s="26"/>
      <c r="J30" s="23"/>
      <c r="K30" s="27"/>
      <c r="L30" s="27"/>
      <c r="M30" s="27"/>
    </row>
    <row r="31" spans="2:13" x14ac:dyDescent="0.2">
      <c r="B31" s="23"/>
      <c r="C31" s="33"/>
      <c r="D31" s="23"/>
      <c r="E31" s="23" t="str">
        <f>IFERROR(VLOOKUP(Tabela51011[[#This Row],[Produto]],cálculos!$O$3:$R$31,4,FALSE),"-")</f>
        <v>-</v>
      </c>
      <c r="F31" s="23"/>
      <c r="G31" s="27"/>
      <c r="H31" s="27"/>
      <c r="I31" s="26"/>
      <c r="J31" s="23"/>
      <c r="K31" s="27"/>
      <c r="L31" s="27"/>
      <c r="M31" s="27"/>
    </row>
    <row r="33" spans="2:13" ht="19.5" thickBot="1" x14ac:dyDescent="0.3">
      <c r="B33" s="32" t="s">
        <v>118</v>
      </c>
      <c r="C33" s="58"/>
      <c r="D33" s="59"/>
      <c r="E33" s="59"/>
      <c r="F33" s="60"/>
      <c r="G33" s="60"/>
      <c r="H33" s="60"/>
      <c r="I33" s="61"/>
      <c r="J33" s="59"/>
      <c r="K33" s="60"/>
      <c r="L33" s="59"/>
      <c r="M33" s="62">
        <f>SUM(Tabela51011[Total Por Cliente])</f>
        <v>502.8060000000001</v>
      </c>
    </row>
    <row r="34" spans="2:13" ht="19.5" thickBot="1" x14ac:dyDescent="0.3">
      <c r="B34" s="31" t="s">
        <v>119</v>
      </c>
      <c r="C34" s="63"/>
      <c r="D34" s="64"/>
      <c r="E34" s="64"/>
      <c r="F34" s="65"/>
      <c r="G34" s="65"/>
      <c r="H34" s="65"/>
      <c r="I34" s="66"/>
      <c r="J34" s="64"/>
      <c r="K34" s="65"/>
      <c r="L34" s="64"/>
      <c r="M34" s="67">
        <f>SUM(Tabela51011[Valor de Entrega])</f>
        <v>31</v>
      </c>
    </row>
    <row r="35" spans="2:13" ht="19.5" thickBot="1" x14ac:dyDescent="0.3">
      <c r="B35" s="31" t="s">
        <v>132</v>
      </c>
      <c r="C35" s="63"/>
      <c r="D35" s="64"/>
      <c r="E35" s="64"/>
      <c r="F35" s="65"/>
      <c r="G35" s="65"/>
      <c r="H35" s="65"/>
      <c r="I35" s="66"/>
      <c r="J35" s="64"/>
      <c r="K35" s="65"/>
      <c r="L35" s="64"/>
      <c r="M35" s="67" cm="1">
        <f t="array" ref="M35">SUM(IF(FREQUENCY(Tabela51011[Id da venda],Tabela51011[Id da venda])&gt;0,1,0))</f>
        <v>12</v>
      </c>
    </row>
    <row r="36" spans="2:13" x14ac:dyDescent="0.2">
      <c r="C36"/>
      <c r="F36" s="1"/>
    </row>
    <row r="37" spans="2:13" x14ac:dyDescent="0.2">
      <c r="C37"/>
      <c r="F37" s="1"/>
      <c r="H37"/>
    </row>
    <row r="38" spans="2:13" x14ac:dyDescent="0.2">
      <c r="H38"/>
    </row>
    <row r="39" spans="2:13" x14ac:dyDescent="0.2">
      <c r="H39"/>
    </row>
    <row r="40" spans="2:13" x14ac:dyDescent="0.2">
      <c r="H40"/>
    </row>
    <row r="41" spans="2:13" x14ac:dyDescent="0.2">
      <c r="H41"/>
    </row>
  </sheetData>
  <mergeCells count="1">
    <mergeCell ref="A2:N2"/>
  </mergeCells>
  <dataValidations count="1">
    <dataValidation type="whole" showInputMessage="1" showErrorMessage="1" sqref="F1:F32 F38:F42 F48:F1048576 H37:H41 E33:E37" xr:uid="{C124FDEA-23B4-43DC-B895-234EABF966AE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01ECCC-D6FE-497F-A69B-6BE5B60D698C}">
          <x14:formula1>
            <xm:f>cálculos!$B$4:$B$8</xm:f>
          </x14:formula1>
          <xm:sqref>J6:J31</xm:sqref>
        </x14:dataValidation>
        <x14:dataValidation type="list" allowBlank="1" showInputMessage="1" showErrorMessage="1" xr:uid="{37665B67-518F-4DF2-8EC9-EAE873BC1CF5}">
          <x14:formula1>
            <xm:f>cálculos!$O$4:$O$27</xm:f>
          </x14:formula1>
          <xm:sqref>D7:D31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E2B00-BE7C-4840-A352-C116E3FCDAA3}">
  <dimension ref="A1:N23"/>
  <sheetViews>
    <sheetView workbookViewId="0">
      <selection activeCell="L23" sqref="L23"/>
    </sheetView>
  </sheetViews>
  <sheetFormatPr defaultRowHeight="15" x14ac:dyDescent="0.2"/>
  <cols>
    <col min="1" max="1" width="16.8125" bestFit="1" customWidth="1"/>
    <col min="2" max="2" width="18.16015625" bestFit="1" customWidth="1"/>
    <col min="3" max="3" width="12.64453125" bestFit="1" customWidth="1"/>
    <col min="4" max="4" width="20.984375" bestFit="1" customWidth="1"/>
    <col min="5" max="6" width="16.8125" bestFit="1" customWidth="1"/>
    <col min="7" max="7" width="22.1953125" bestFit="1" customWidth="1"/>
    <col min="8" max="8" width="18.16015625" customWidth="1"/>
    <col min="9" max="9" width="12.64453125" customWidth="1"/>
    <col min="10" max="11" width="8.875" customWidth="1"/>
    <col min="12" max="12" width="5.51171875" customWidth="1"/>
    <col min="13" max="13" width="16.41015625" customWidth="1"/>
    <col min="14" max="14" width="16.94921875" customWidth="1"/>
  </cols>
  <sheetData>
    <row r="1" spans="1:14" ht="4.9000000000000004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166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4" spans="1:14" x14ac:dyDescent="0.2">
      <c r="C4" s="7"/>
      <c r="G4" s="1"/>
      <c r="H4" s="1"/>
      <c r="I4" s="3"/>
      <c r="K4" s="1"/>
    </row>
    <row r="5" spans="1:14" ht="15.75" thickBot="1" x14ac:dyDescent="0.25"/>
    <row r="6" spans="1:14" ht="15.75" thickBot="1" x14ac:dyDescent="0.25">
      <c r="A6" s="109" t="s">
        <v>160</v>
      </c>
      <c r="B6" s="110"/>
      <c r="C6" s="111"/>
      <c r="F6" s="109" t="s">
        <v>163</v>
      </c>
      <c r="G6" s="110"/>
      <c r="H6" s="110"/>
      <c r="I6" s="111"/>
    </row>
    <row r="7" spans="1:14" x14ac:dyDescent="0.2">
      <c r="A7" s="103" t="s">
        <v>157</v>
      </c>
      <c r="B7" t="s">
        <v>158</v>
      </c>
      <c r="C7" t="s">
        <v>159</v>
      </c>
      <c r="D7" t="s">
        <v>162</v>
      </c>
      <c r="F7" s="103" t="s">
        <v>157</v>
      </c>
      <c r="G7" t="s">
        <v>161</v>
      </c>
      <c r="H7" t="s">
        <v>158</v>
      </c>
      <c r="I7" t="s">
        <v>159</v>
      </c>
    </row>
    <row r="8" spans="1:14" x14ac:dyDescent="0.2">
      <c r="A8" s="104" t="s">
        <v>19</v>
      </c>
      <c r="B8" s="23">
        <v>13</v>
      </c>
      <c r="C8" s="27">
        <v>45.071000000000005</v>
      </c>
      <c r="D8" s="27">
        <v>2.99</v>
      </c>
      <c r="F8" s="104" t="s">
        <v>113</v>
      </c>
      <c r="G8" s="1">
        <v>5</v>
      </c>
      <c r="H8">
        <v>2</v>
      </c>
      <c r="I8" s="1">
        <v>9.98</v>
      </c>
    </row>
    <row r="9" spans="1:14" x14ac:dyDescent="0.2">
      <c r="A9" s="104" t="s">
        <v>28</v>
      </c>
      <c r="B9" s="23">
        <v>10</v>
      </c>
      <c r="C9" s="27">
        <v>11.154999999999999</v>
      </c>
      <c r="D9" s="27">
        <v>1.1499999999999999</v>
      </c>
      <c r="F9" s="104" t="s">
        <v>114</v>
      </c>
      <c r="G9" s="1">
        <v>0</v>
      </c>
      <c r="H9">
        <v>73.5</v>
      </c>
      <c r="I9" s="1">
        <v>315.97000000000003</v>
      </c>
    </row>
    <row r="10" spans="1:14" x14ac:dyDescent="0.2">
      <c r="A10" s="104" t="s">
        <v>16</v>
      </c>
      <c r="B10" s="23">
        <v>2</v>
      </c>
      <c r="C10" s="27">
        <v>9.98</v>
      </c>
      <c r="D10" s="27">
        <v>2.4900000000000002</v>
      </c>
      <c r="F10" s="104" t="s">
        <v>115</v>
      </c>
      <c r="G10" s="1">
        <v>6.5</v>
      </c>
      <c r="H10">
        <v>2</v>
      </c>
      <c r="I10" s="1">
        <v>10.48</v>
      </c>
    </row>
    <row r="11" spans="1:14" x14ac:dyDescent="0.2">
      <c r="A11" s="104" t="s">
        <v>33</v>
      </c>
      <c r="B11" s="23">
        <v>2</v>
      </c>
      <c r="C11" s="27">
        <v>10.48</v>
      </c>
      <c r="D11" s="27">
        <v>1.99</v>
      </c>
      <c r="F11" s="104" t="s">
        <v>117</v>
      </c>
      <c r="G11" s="1">
        <v>19.5</v>
      </c>
      <c r="H11">
        <v>68</v>
      </c>
      <c r="I11" s="1">
        <v>166.376</v>
      </c>
    </row>
    <row r="12" spans="1:14" x14ac:dyDescent="0.2">
      <c r="A12" s="104" t="s">
        <v>32</v>
      </c>
      <c r="B12" s="23">
        <v>3</v>
      </c>
      <c r="C12" s="27">
        <v>2.37</v>
      </c>
      <c r="D12" s="27">
        <v>0.79</v>
      </c>
      <c r="F12" s="104" t="s">
        <v>155</v>
      </c>
      <c r="G12" s="1"/>
      <c r="I12" s="1"/>
    </row>
    <row r="13" spans="1:14" x14ac:dyDescent="0.2">
      <c r="A13" s="104" t="s">
        <v>29</v>
      </c>
      <c r="B13" s="23">
        <v>87</v>
      </c>
      <c r="C13" s="27">
        <v>203.53</v>
      </c>
      <c r="D13" s="27">
        <v>2.19</v>
      </c>
      <c r="F13" s="105" t="s">
        <v>31</v>
      </c>
      <c r="G13" s="1"/>
      <c r="I13" s="1"/>
    </row>
    <row r="14" spans="1:14" x14ac:dyDescent="0.2">
      <c r="A14" s="104" t="s">
        <v>31</v>
      </c>
      <c r="B14" s="23"/>
      <c r="C14" s="27"/>
      <c r="D14" s="27"/>
      <c r="F14" s="105" t="s">
        <v>155</v>
      </c>
      <c r="G14" s="1"/>
      <c r="I14" s="1"/>
    </row>
    <row r="15" spans="1:14" x14ac:dyDescent="0.2">
      <c r="A15" s="104" t="s">
        <v>17</v>
      </c>
      <c r="B15" s="23">
        <v>10</v>
      </c>
      <c r="C15" s="27">
        <v>42.8</v>
      </c>
      <c r="D15" s="27">
        <v>4.28</v>
      </c>
      <c r="F15" s="105" t="s">
        <v>34</v>
      </c>
      <c r="G15" s="1"/>
      <c r="I15" s="1"/>
    </row>
    <row r="16" spans="1:14" x14ac:dyDescent="0.2">
      <c r="A16" s="104" t="s">
        <v>23</v>
      </c>
      <c r="B16" s="23">
        <v>1.5</v>
      </c>
      <c r="C16" s="27">
        <v>38.849999999999994</v>
      </c>
      <c r="D16" s="27">
        <v>25.9</v>
      </c>
      <c r="F16" s="104" t="s">
        <v>156</v>
      </c>
      <c r="G16" s="1">
        <v>31</v>
      </c>
      <c r="H16">
        <v>145.5</v>
      </c>
      <c r="I16" s="1">
        <v>502.80600000000004</v>
      </c>
    </row>
    <row r="17" spans="1:4" x14ac:dyDescent="0.2">
      <c r="A17" s="104" t="s">
        <v>72</v>
      </c>
      <c r="B17" s="23">
        <v>4</v>
      </c>
      <c r="C17" s="27">
        <v>9.56</v>
      </c>
      <c r="D17" s="27">
        <v>2.39</v>
      </c>
    </row>
    <row r="18" spans="1:4" x14ac:dyDescent="0.2">
      <c r="A18" s="104" t="s">
        <v>27</v>
      </c>
      <c r="B18" s="23">
        <v>2</v>
      </c>
      <c r="C18" s="27">
        <v>19.16</v>
      </c>
      <c r="D18" s="27">
        <v>9.58</v>
      </c>
    </row>
    <row r="19" spans="1:4" x14ac:dyDescent="0.2">
      <c r="A19" s="104" t="s">
        <v>155</v>
      </c>
      <c r="B19" s="23"/>
      <c r="C19" s="27"/>
      <c r="D19" s="27"/>
    </row>
    <row r="20" spans="1:4" x14ac:dyDescent="0.2">
      <c r="A20" s="104" t="s">
        <v>71</v>
      </c>
      <c r="B20" s="23">
        <v>5</v>
      </c>
      <c r="C20" s="27">
        <v>14.450000000000001</v>
      </c>
      <c r="D20" s="27">
        <v>2.89</v>
      </c>
    </row>
    <row r="21" spans="1:4" x14ac:dyDescent="0.2">
      <c r="A21" s="104" t="s">
        <v>20</v>
      </c>
      <c r="B21" s="23">
        <v>6</v>
      </c>
      <c r="C21" s="27">
        <v>95.4</v>
      </c>
      <c r="D21" s="27">
        <v>15.9</v>
      </c>
    </row>
    <row r="22" spans="1:4" x14ac:dyDescent="0.2">
      <c r="A22" s="104" t="s">
        <v>34</v>
      </c>
      <c r="B22" s="23"/>
      <c r="C22" s="27"/>
      <c r="D22" s="27"/>
    </row>
    <row r="23" spans="1:4" x14ac:dyDescent="0.2">
      <c r="A23" s="104" t="s">
        <v>156</v>
      </c>
      <c r="B23">
        <v>145.5</v>
      </c>
      <c r="C23" s="1">
        <v>502.80600000000004</v>
      </c>
      <c r="D23" s="1">
        <v>4.5775000000000006</v>
      </c>
    </row>
  </sheetData>
  <mergeCells count="3">
    <mergeCell ref="A2:N2"/>
    <mergeCell ref="A6:C6"/>
    <mergeCell ref="F6:I6"/>
  </mergeCells>
  <dataValidations count="1">
    <dataValidation type="whole" showInputMessage="1" showErrorMessage="1" sqref="F1:F4" xr:uid="{C827FCF6-31B8-4200-B835-27DAA67BC5AF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95EE2-4CED-49EC-B765-EE348DAD611D}">
  <sheetPr codeName="Planilha11"/>
  <dimension ref="A1:N41"/>
  <sheetViews>
    <sheetView showGridLines="0" zoomScale="70" zoomScaleNormal="70" workbookViewId="0"/>
  </sheetViews>
  <sheetFormatPr defaultColWidth="8.875" defaultRowHeight="15" x14ac:dyDescent="0.2"/>
  <cols>
    <col min="1" max="1" width="8.875" style="23"/>
    <col min="2" max="2" width="34.83984375" style="23" customWidth="1"/>
    <col min="3" max="3" width="14.796875" style="21" customWidth="1"/>
    <col min="4" max="4" width="15.73828125" style="23" customWidth="1"/>
    <col min="5" max="5" width="13.71875" style="23" customWidth="1"/>
    <col min="6" max="6" width="10.35546875" style="23" bestFit="1" customWidth="1"/>
    <col min="7" max="7" width="14.9296875" style="27" bestFit="1" customWidth="1"/>
    <col min="8" max="8" width="13.85546875" style="27" bestFit="1" customWidth="1"/>
    <col min="9" max="9" width="9.68359375" style="26" bestFit="1" customWidth="1"/>
    <col min="10" max="10" width="17.21875" style="23" bestFit="1" customWidth="1"/>
    <col min="11" max="11" width="19.50390625" style="27" bestFit="1" customWidth="1"/>
    <col min="12" max="12" width="16.41015625" style="23" customWidth="1"/>
    <col min="13" max="13" width="19.37109375" style="23" bestFit="1" customWidth="1"/>
    <col min="14" max="14" width="20.04296875" style="23" customWidth="1"/>
    <col min="15" max="16384" width="8.875" style="23"/>
  </cols>
  <sheetData>
    <row r="1" spans="1:14" customFormat="1" ht="6.6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customFormat="1" ht="36.75" x14ac:dyDescent="0.2">
      <c r="A2" s="106" t="s">
        <v>122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customFormat="1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6" spans="1:14" x14ac:dyDescent="0.2">
      <c r="B6" s="23" t="s">
        <v>104</v>
      </c>
      <c r="C6" s="21" t="s">
        <v>40</v>
      </c>
      <c r="D6" s="23" t="s">
        <v>97</v>
      </c>
      <c r="E6" s="23" t="s">
        <v>55</v>
      </c>
      <c r="F6" s="23" t="s">
        <v>56</v>
      </c>
      <c r="G6" s="27" t="s">
        <v>110</v>
      </c>
      <c r="H6" s="27" t="s">
        <v>105</v>
      </c>
      <c r="I6" s="26" t="s">
        <v>58</v>
      </c>
      <c r="J6" s="23" t="s">
        <v>106</v>
      </c>
      <c r="K6" s="27" t="s">
        <v>107</v>
      </c>
      <c r="L6" s="23" t="s">
        <v>108</v>
      </c>
      <c r="M6" s="23" t="s">
        <v>109</v>
      </c>
    </row>
    <row r="7" spans="1:14" x14ac:dyDescent="0.2">
      <c r="B7" s="23">
        <v>13</v>
      </c>
      <c r="C7" s="33">
        <v>42190</v>
      </c>
      <c r="D7" s="23" t="s">
        <v>28</v>
      </c>
      <c r="E7" s="23" t="str">
        <f>IFERROR(VLOOKUP(Tabela512[[#This Row],[Produto]],cálculos!$O$3:$R$31,4,FALSE),"-")</f>
        <v>Pacote</v>
      </c>
      <c r="F7" s="23">
        <v>10</v>
      </c>
      <c r="G7" s="27">
        <f>IFERROR(VLOOKUP(Tabela512[[#This Row],[Produto]],cálculos!$O$3:$R$29,3,FALSE),"-")</f>
        <v>1.1499999999999999</v>
      </c>
      <c r="H7" s="27">
        <f>IFERROR(Tabela512[[#This Row],[Preço Unitário]]*Tabela512[[#This Row],[Quantidade]],"-")</f>
        <v>11.5</v>
      </c>
      <c r="I7" s="26">
        <v>0.03</v>
      </c>
      <c r="J7" s="23" t="s">
        <v>117</v>
      </c>
      <c r="K7" s="27">
        <f>IFERROR(IF(Tabela512[[#This Row],[Id da venda]]=B8,0,VLOOKUP(Tabela512[[#This Row],[Entrega]],cálculos!$B$3:$C$9,2,FALSE)),"-")</f>
        <v>0</v>
      </c>
      <c r="L7" s="27">
        <f>IFERROR(Tabela512[[#This Row],[Subtotal]]*(1-Tabela512[[#This Row],[Desconto]])+Tabela512[[#This Row],[Valor de Entrega]],"")</f>
        <v>11.154999999999999</v>
      </c>
      <c r="M7" s="27" t="str">
        <f>IF(Tabela512[[#This Row],[Id da venda]]=B8,"",SUMIF(Tabela512[Id da venda],Tabela512[[#This Row],[Id da venda]],Tabela512[Total]))</f>
        <v/>
      </c>
    </row>
    <row r="8" spans="1:14" x14ac:dyDescent="0.2">
      <c r="B8" s="23">
        <v>13</v>
      </c>
      <c r="C8" s="33">
        <v>42190</v>
      </c>
      <c r="D8" s="23" t="s">
        <v>32</v>
      </c>
      <c r="E8" s="23" t="str">
        <f>IFERROR(VLOOKUP(Tabela512[[#This Row],[Produto]],cálculos!$O$3:$R$31,4,FALSE),"-")</f>
        <v>Pacote</v>
      </c>
      <c r="F8" s="23">
        <v>1</v>
      </c>
      <c r="G8" s="27">
        <f>IFERROR(VLOOKUP(Tabela512[[#This Row],[Produto]],cálculos!$O$3:$R$29,3,FALSE),"-")</f>
        <v>0.79</v>
      </c>
      <c r="H8" s="27">
        <f>IFERROR(Tabela512[[#This Row],[Preço Unitário]]*Tabela512[[#This Row],[Quantidade]],"-")</f>
        <v>0.79</v>
      </c>
      <c r="I8" s="26">
        <v>0</v>
      </c>
      <c r="J8" s="23" t="s">
        <v>117</v>
      </c>
      <c r="K8" s="27">
        <f>IFERROR(IF(Tabela512[[#This Row],[Id da venda]]=B9,0,VLOOKUP(Tabela512[[#This Row],[Entrega]],cálculos!$B$3:$C$9,2,FALSE)),"-")</f>
        <v>0</v>
      </c>
      <c r="L8" s="27">
        <f>IFERROR(Tabela512[[#This Row],[Subtotal]]*(1-Tabela512[[#This Row],[Desconto]])+Tabela512[[#This Row],[Valor de Entrega]],"")</f>
        <v>0.79</v>
      </c>
      <c r="M8" s="27" t="str">
        <f>IF(Tabela512[[#This Row],[Id da venda]]=B9,"",SUMIF(Tabela512[Id da venda],Tabela512[[#This Row],[Id da venda]],Tabela512[Total]))</f>
        <v/>
      </c>
    </row>
    <row r="9" spans="1:14" x14ac:dyDescent="0.2">
      <c r="B9" s="23">
        <v>13</v>
      </c>
      <c r="C9" s="33">
        <v>42190</v>
      </c>
      <c r="D9" s="23" t="s">
        <v>19</v>
      </c>
      <c r="E9" s="23" t="str">
        <f>IFERROR(VLOOKUP(Tabela512[[#This Row],[Produto]],cálculos!$O$3:$R$31,4,FALSE),"-")</f>
        <v>Unidade</v>
      </c>
      <c r="F9" s="23">
        <v>10</v>
      </c>
      <c r="G9" s="27">
        <f>IFERROR(VLOOKUP(Tabela512[[#This Row],[Produto]],cálculos!$O$3:$R$29,3,FALSE),"-")</f>
        <v>2.99</v>
      </c>
      <c r="H9" s="27">
        <f>IFERROR(Tabela512[[#This Row],[Preço Unitário]]*Tabela512[[#This Row],[Quantidade]],"-")</f>
        <v>29.900000000000002</v>
      </c>
      <c r="I9" s="26">
        <v>0.01</v>
      </c>
      <c r="J9" s="23" t="s">
        <v>117</v>
      </c>
      <c r="K9" s="27">
        <f>IFERROR(IF(Tabela512[[#This Row],[Id da venda]]=B10,0,VLOOKUP(Tabela512[[#This Row],[Entrega]],cálculos!$B$3:$C$9,2,FALSE)),"-")</f>
        <v>0</v>
      </c>
      <c r="L9" s="27">
        <f>IFERROR(Tabela512[[#This Row],[Subtotal]]*(1-Tabela512[[#This Row],[Desconto]])+Tabela512[[#This Row],[Valor de Entrega]],"")</f>
        <v>29.601000000000003</v>
      </c>
      <c r="M9" s="27" t="str">
        <f>IF(Tabela512[[#This Row],[Id da venda]]=B10,"",SUMIF(Tabela512[Id da venda],Tabela512[[#This Row],[Id da venda]],Tabela512[Total]))</f>
        <v/>
      </c>
    </row>
    <row r="10" spans="1:14" x14ac:dyDescent="0.2">
      <c r="B10" s="23">
        <v>13</v>
      </c>
      <c r="C10" s="33">
        <v>42190</v>
      </c>
      <c r="D10" s="23" t="s">
        <v>29</v>
      </c>
      <c r="E10" s="23" t="str">
        <f>IFERROR(VLOOKUP(Tabela512[[#This Row],[Produto]],cálculos!$O$3:$R$31,4,FALSE),"-")</f>
        <v>Lata</v>
      </c>
      <c r="F10" s="23">
        <v>24</v>
      </c>
      <c r="G10" s="27">
        <f>IFERROR(VLOOKUP(Tabela512[[#This Row],[Produto]],cálculos!$O$3:$R$29,3,FALSE),"-")</f>
        <v>2.19</v>
      </c>
      <c r="H10" s="27">
        <f>IFERROR(Tabela512[[#This Row],[Preço Unitário]]*Tabela512[[#This Row],[Quantidade]],"-")</f>
        <v>52.56</v>
      </c>
      <c r="J10" s="23" t="s">
        <v>117</v>
      </c>
      <c r="K10" s="27">
        <f>IFERROR(IF(Tabela512[[#This Row],[Id da venda]]=B11,0,VLOOKUP(Tabela512[[#This Row],[Entrega]],cálculos!$B$3:$C$9,2,FALSE)),"-")</f>
        <v>6.5</v>
      </c>
      <c r="L10" s="27">
        <f>IFERROR(Tabela512[[#This Row],[Subtotal]]*(1-Tabela512[[#This Row],[Desconto]])+Tabela512[[#This Row],[Valor de Entrega]],"")</f>
        <v>59.06</v>
      </c>
      <c r="M10" s="27">
        <f>IF(Tabela512[[#This Row],[Id da venda]]=B11,"",SUMIF(Tabela512[Id da venda],Tabela512[[#This Row],[Id da venda]],Tabela512[Total]))</f>
        <v>100.60600000000001</v>
      </c>
    </row>
    <row r="11" spans="1:14" x14ac:dyDescent="0.2">
      <c r="B11" s="23">
        <v>12</v>
      </c>
      <c r="C11" s="33">
        <v>42189</v>
      </c>
      <c r="D11" s="23" t="s">
        <v>29</v>
      </c>
      <c r="E11" s="23" t="str">
        <f>IFERROR(VLOOKUP(Tabela512[[#This Row],[Produto]],cálculos!$O$3:$R$31,4,FALSE),"-")</f>
        <v>Lata</v>
      </c>
      <c r="F11" s="23">
        <v>1</v>
      </c>
      <c r="G11" s="27">
        <f>IFERROR(VLOOKUP(Tabela512[[#This Row],[Produto]],cálculos!$O$3:$R$29,3,FALSE),"-")</f>
        <v>2.19</v>
      </c>
      <c r="H11" s="27">
        <f>IFERROR(Tabela512[[#This Row],[Preço Unitário]]*Tabela512[[#This Row],[Quantidade]],"-")</f>
        <v>2.19</v>
      </c>
      <c r="J11" s="23" t="s">
        <v>114</v>
      </c>
      <c r="K11" s="27">
        <f>IFERROR(IF(Tabela512[[#This Row],[Id da venda]]=B12,0,VLOOKUP(Tabela512[[#This Row],[Entrega]],cálculos!$B$3:$C$9,2,FALSE)),"-")</f>
        <v>0</v>
      </c>
      <c r="L11" s="27">
        <f>IFERROR(Tabela512[[#This Row],[Subtotal]]*(1-Tabela512[[#This Row],[Desconto]])+Tabela512[[#This Row],[Valor de Entrega]],"")</f>
        <v>2.19</v>
      </c>
      <c r="M11" s="27">
        <f>IF(Tabela512[[#This Row],[Id da venda]]=B12,"",SUMIF(Tabela512[Id da venda],Tabela512[[#This Row],[Id da venda]],Tabela512[Total]))</f>
        <v>2.19</v>
      </c>
    </row>
    <row r="12" spans="1:14" x14ac:dyDescent="0.2">
      <c r="B12" s="23">
        <v>11</v>
      </c>
      <c r="C12" s="33">
        <v>42189</v>
      </c>
      <c r="D12" s="23" t="s">
        <v>29</v>
      </c>
      <c r="E12" s="23" t="str">
        <f>IFERROR(VLOOKUP(Tabela512[[#This Row],[Produto]],cálculos!$O$3:$R$31,4,FALSE),"-")</f>
        <v>Lata</v>
      </c>
      <c r="F12" s="23">
        <v>10</v>
      </c>
      <c r="G12" s="27">
        <f>IFERROR(VLOOKUP(Tabela512[[#This Row],[Produto]],cálculos!$O$3:$R$29,3,FALSE),"-")</f>
        <v>2.19</v>
      </c>
      <c r="H12" s="27">
        <f>IFERROR(Tabela512[[#This Row],[Preço Unitário]]*Tabela512[[#This Row],[Quantidade]],"-")</f>
        <v>21.9</v>
      </c>
      <c r="J12" s="23" t="s">
        <v>114</v>
      </c>
      <c r="K12" s="27">
        <f>IFERROR(IF(Tabela512[[#This Row],[Id da venda]]=B13,0,VLOOKUP(Tabela512[[#This Row],[Entrega]],cálculos!$B$3:$C$9,2,FALSE)),"-")</f>
        <v>0</v>
      </c>
      <c r="L12" s="27">
        <f>IFERROR(Tabela512[[#This Row],[Subtotal]]*(1-Tabela512[[#This Row],[Desconto]])+Tabela512[[#This Row],[Valor de Entrega]],"")</f>
        <v>21.9</v>
      </c>
      <c r="M12" s="27">
        <f>IF(Tabela512[[#This Row],[Id da venda]]=B13,"",SUMIF(Tabela512[Id da venda],Tabela512[[#This Row],[Id da venda]],Tabela512[Total]))</f>
        <v>21.9</v>
      </c>
    </row>
    <row r="13" spans="1:14" x14ac:dyDescent="0.2">
      <c r="B13" s="23">
        <v>10</v>
      </c>
      <c r="C13" s="33">
        <v>42189</v>
      </c>
      <c r="D13" s="23" t="s">
        <v>17</v>
      </c>
      <c r="E13" s="23" t="str">
        <f>IFERROR(VLOOKUP(Tabela512[[#This Row],[Produto]],cálculos!$O$3:$R$31,4,FALSE),"-")</f>
        <v>Kg</v>
      </c>
      <c r="F13" s="23">
        <v>6</v>
      </c>
      <c r="G13" s="27">
        <f>IFERROR(VLOOKUP(Tabela512[[#This Row],[Produto]],cálculos!$O$3:$R$29,3,FALSE),"-")</f>
        <v>4.28</v>
      </c>
      <c r="H13" s="27">
        <f>IFERROR(Tabela512[[#This Row],[Preço Unitário]]*Tabela512[[#This Row],[Quantidade]],"-")</f>
        <v>25.68</v>
      </c>
      <c r="J13" s="23" t="s">
        <v>114</v>
      </c>
      <c r="K13" s="27">
        <f>IFERROR(IF(Tabela512[[#This Row],[Id da venda]]=B14,0,VLOOKUP(Tabela512[[#This Row],[Entrega]],cálculos!$B$3:$C$9,2,FALSE)),"-")</f>
        <v>0</v>
      </c>
      <c r="L13" s="27">
        <f>IFERROR(Tabela512[[#This Row],[Subtotal]]*(1-Tabela512[[#This Row],[Desconto]])+Tabela512[[#This Row],[Valor de Entrega]],"")</f>
        <v>25.68</v>
      </c>
      <c r="M13" s="27" t="str">
        <f>IF(Tabela512[[#This Row],[Id da venda]]=B14,"",SUMIF(Tabela512[Id da venda],Tabela512[[#This Row],[Id da venda]],Tabela512[Total]))</f>
        <v/>
      </c>
    </row>
    <row r="14" spans="1:14" x14ac:dyDescent="0.2">
      <c r="B14" s="23">
        <v>10</v>
      </c>
      <c r="C14" s="33">
        <v>42189</v>
      </c>
      <c r="D14" s="23" t="s">
        <v>72</v>
      </c>
      <c r="E14" s="23" t="str">
        <f>IFERROR(VLOOKUP(Tabela512[[#This Row],[Produto]],cálculos!$O$3:$R$31,4,FALSE),"-")</f>
        <v>Litro</v>
      </c>
      <c r="F14" s="23">
        <v>4</v>
      </c>
      <c r="G14" s="27">
        <f>IFERROR(VLOOKUP(Tabela512[[#This Row],[Produto]],cálculos!$O$3:$R$29,3,FALSE),"-")</f>
        <v>2.39</v>
      </c>
      <c r="H14" s="27">
        <f>IFERROR(Tabela512[[#This Row],[Preço Unitário]]*Tabela512[[#This Row],[Quantidade]],"-")</f>
        <v>9.56</v>
      </c>
      <c r="J14" s="23" t="s">
        <v>114</v>
      </c>
      <c r="K14" s="27">
        <f>IFERROR(IF(Tabela512[[#This Row],[Id da venda]]=B15,0,VLOOKUP(Tabela512[[#This Row],[Entrega]],cálculos!$B$3:$C$9,2,FALSE)),"-")</f>
        <v>0</v>
      </c>
      <c r="L14" s="27">
        <f>IFERROR(Tabela512[[#This Row],[Subtotal]]*(1-Tabela512[[#This Row],[Desconto]])+Tabela512[[#This Row],[Valor de Entrega]],"")</f>
        <v>9.56</v>
      </c>
      <c r="M14" s="27">
        <f>IF(Tabela512[[#This Row],[Id da venda]]=B15,"",SUMIF(Tabela512[Id da venda],Tabela512[[#This Row],[Id da venda]],Tabela512[Total]))</f>
        <v>35.24</v>
      </c>
    </row>
    <row r="15" spans="1:14" x14ac:dyDescent="0.2">
      <c r="B15" s="23">
        <v>9</v>
      </c>
      <c r="C15" s="33">
        <v>42188</v>
      </c>
      <c r="D15" s="23" t="s">
        <v>71</v>
      </c>
      <c r="E15" s="23" t="str">
        <f>IFERROR(VLOOKUP(Tabela512[[#This Row],[Produto]],cálculos!$O$3:$R$31,4,FALSE),"-")</f>
        <v>Unidade</v>
      </c>
      <c r="F15" s="23">
        <v>5</v>
      </c>
      <c r="G15" s="27">
        <f>IFERROR(VLOOKUP(Tabela512[[#This Row],[Produto]],cálculos!$O$3:$R$29,3,FALSE),"-")</f>
        <v>2.89</v>
      </c>
      <c r="H15" s="27">
        <f>IFERROR(Tabela512[[#This Row],[Preço Unitário]]*Tabela512[[#This Row],[Quantidade]],"-")</f>
        <v>14.450000000000001</v>
      </c>
      <c r="J15" s="23" t="s">
        <v>113</v>
      </c>
      <c r="K15" s="27">
        <f>IFERROR(IF(Tabela512[[#This Row],[Id da venda]]=B16,0,VLOOKUP(Tabela512[[#This Row],[Entrega]],cálculos!$B$3:$C$9,2,FALSE)),"-")</f>
        <v>0</v>
      </c>
      <c r="L15" s="27">
        <f>IFERROR(Tabela512[[#This Row],[Subtotal]]*(1-Tabela512[[#This Row],[Desconto]])+Tabela512[[#This Row],[Valor de Entrega]],"")</f>
        <v>14.450000000000001</v>
      </c>
      <c r="M15" s="27" t="str">
        <f>IF(Tabela512[[#This Row],[Id da venda]]=B16,"",SUMIF(Tabela512[Id da venda],Tabela512[[#This Row],[Id da venda]],Tabela512[Total]))</f>
        <v/>
      </c>
    </row>
    <row r="16" spans="1:14" x14ac:dyDescent="0.2">
      <c r="B16" s="23">
        <v>9</v>
      </c>
      <c r="C16" s="33">
        <v>42188</v>
      </c>
      <c r="D16" s="23" t="s">
        <v>27</v>
      </c>
      <c r="E16" s="23" t="str">
        <f>IFERROR(VLOOKUP(Tabela512[[#This Row],[Produto]],cálculos!$O$3:$R$31,4,FALSE),"-")</f>
        <v>Kg</v>
      </c>
      <c r="F16" s="23">
        <v>2</v>
      </c>
      <c r="G16" s="27">
        <f>IFERROR(VLOOKUP(Tabela512[[#This Row],[Produto]],cálculos!$O$3:$R$29,3,FALSE),"-")</f>
        <v>9.58</v>
      </c>
      <c r="H16" s="27">
        <f>IFERROR(Tabela512[[#This Row],[Preço Unitário]]*Tabela512[[#This Row],[Quantidade]],"-")</f>
        <v>19.16</v>
      </c>
      <c r="J16" s="23" t="s">
        <v>113</v>
      </c>
      <c r="K16" s="27">
        <f>IFERROR(IF(Tabela512[[#This Row],[Id da venda]]=B17,0,VLOOKUP(Tabela512[[#This Row],[Entrega]],cálculos!$B$3:$C$9,2,FALSE)),"-")</f>
        <v>0</v>
      </c>
      <c r="L16" s="27">
        <f>IFERROR(Tabela512[[#This Row],[Subtotal]]*(1-Tabela512[[#This Row],[Desconto]])+Tabela512[[#This Row],[Valor de Entrega]],"")</f>
        <v>19.16</v>
      </c>
      <c r="M16" s="27" t="str">
        <f>IF(Tabela512[[#This Row],[Id da venda]]=B17,"",SUMIF(Tabela512[Id da venda],Tabela512[[#This Row],[Id da venda]],Tabela512[Total]))</f>
        <v/>
      </c>
    </row>
    <row r="17" spans="2:13" x14ac:dyDescent="0.2">
      <c r="B17" s="23">
        <v>9</v>
      </c>
      <c r="C17" s="33">
        <v>42188</v>
      </c>
      <c r="D17" s="23" t="s">
        <v>23</v>
      </c>
      <c r="E17" s="23" t="str">
        <f>IFERROR(VLOOKUP(Tabela512[[#This Row],[Produto]],cálculos!$O$3:$R$31,4,FALSE),"-")</f>
        <v>Kg</v>
      </c>
      <c r="F17" s="23">
        <v>1.5</v>
      </c>
      <c r="G17" s="27">
        <f>IFERROR(VLOOKUP(Tabela512[[#This Row],[Produto]],cálculos!$O$3:$R$29,3,FALSE),"-")</f>
        <v>25.9</v>
      </c>
      <c r="H17" s="27">
        <f>IFERROR(Tabela512[[#This Row],[Preço Unitário]]*Tabela512[[#This Row],[Quantidade]],"-")</f>
        <v>38.849999999999994</v>
      </c>
      <c r="J17" s="23" t="s">
        <v>113</v>
      </c>
      <c r="K17" s="27">
        <f>IFERROR(IF(Tabela512[[#This Row],[Id da venda]]=B18,0,VLOOKUP(Tabela512[[#This Row],[Entrega]],cálculos!$B$3:$C$9,2,FALSE)),"-")</f>
        <v>0</v>
      </c>
      <c r="L17" s="27">
        <f>IFERROR(Tabela512[[#This Row],[Subtotal]]*(1-Tabela512[[#This Row],[Desconto]])+Tabela512[[#This Row],[Valor de Entrega]],"")</f>
        <v>38.849999999999994</v>
      </c>
      <c r="M17" s="27" t="str">
        <f>IF(Tabela512[[#This Row],[Id da venda]]=B18,"",SUMIF(Tabela512[Id da venda],Tabela512[[#This Row],[Id da venda]],Tabela512[Total]))</f>
        <v/>
      </c>
    </row>
    <row r="18" spans="2:13" x14ac:dyDescent="0.2">
      <c r="B18" s="23">
        <v>9</v>
      </c>
      <c r="C18" s="33">
        <v>42188</v>
      </c>
      <c r="D18" s="23" t="s">
        <v>17</v>
      </c>
      <c r="E18" s="23" t="str">
        <f>IFERROR(VLOOKUP(Tabela512[[#This Row],[Produto]],cálculos!$O$3:$R$31,4,FALSE),"-")</f>
        <v>Kg</v>
      </c>
      <c r="F18" s="23">
        <v>4</v>
      </c>
      <c r="G18" s="27">
        <f>IFERROR(VLOOKUP(Tabela512[[#This Row],[Produto]],cálculos!$O$3:$R$29,3,FALSE),"-")</f>
        <v>4.28</v>
      </c>
      <c r="H18" s="27">
        <f>IFERROR(Tabela512[[#This Row],[Preço Unitário]]*Tabela512[[#This Row],[Quantidade]],"-")</f>
        <v>17.12</v>
      </c>
      <c r="J18" s="23" t="s">
        <v>113</v>
      </c>
      <c r="K18" s="27">
        <f>IFERROR(IF(Tabela512[[#This Row],[Id da venda]]=B19,0,VLOOKUP(Tabela512[[#This Row],[Entrega]],cálculos!$B$3:$C$9,2,FALSE)),"-")</f>
        <v>5</v>
      </c>
      <c r="L18" s="27">
        <f>IFERROR(Tabela512[[#This Row],[Subtotal]]*(1-Tabela512[[#This Row],[Desconto]])+Tabela512[[#This Row],[Valor de Entrega]],"")</f>
        <v>22.12</v>
      </c>
      <c r="M18" s="27">
        <f>IF(Tabela512[[#This Row],[Id da venda]]=B19,"",SUMIF(Tabela512[Id da venda],Tabela512[[#This Row],[Id da venda]],Tabela512[Total]))</f>
        <v>94.58</v>
      </c>
    </row>
    <row r="19" spans="2:13" x14ac:dyDescent="0.2">
      <c r="B19" s="23">
        <v>8</v>
      </c>
      <c r="C19" s="33">
        <v>42188</v>
      </c>
      <c r="D19" s="23" t="s">
        <v>29</v>
      </c>
      <c r="E19" s="23" t="str">
        <f>IFERROR(VLOOKUP(Tabela512[[#This Row],[Produto]],cálculos!$O$3:$R$31,4,FALSE),"-")</f>
        <v>Lata</v>
      </c>
      <c r="F19" s="23">
        <v>20</v>
      </c>
      <c r="G19" s="27">
        <f>IFERROR(VLOOKUP(Tabela512[[#This Row],[Produto]],cálculos!$O$3:$R$29,3,FALSE),"-")</f>
        <v>2.19</v>
      </c>
      <c r="H19" s="27">
        <f>IFERROR(Tabela512[[#This Row],[Preço Unitário]]*Tabela512[[#This Row],[Quantidade]],"-")</f>
        <v>43.8</v>
      </c>
      <c r="J19" s="23" t="s">
        <v>117</v>
      </c>
      <c r="K19" s="27">
        <f>IFERROR(IF(Tabela512[[#This Row],[Id da venda]]=B20,0,VLOOKUP(Tabela512[[#This Row],[Entrega]],cálculos!$B$3:$C$9,2,FALSE)),"-")</f>
        <v>6.5</v>
      </c>
      <c r="L19" s="27">
        <f>IFERROR(Tabela512[[#This Row],[Subtotal]]*(1-Tabela512[[#This Row],[Desconto]])+Tabela512[[#This Row],[Valor de Entrega]],"")</f>
        <v>50.3</v>
      </c>
      <c r="M19" s="27">
        <f>IF(Tabela512[[#This Row],[Id da venda]]=B20,"",SUMIF(Tabela512[Id da venda],Tabela512[[#This Row],[Id da venda]],Tabela512[Total]))</f>
        <v>50.3</v>
      </c>
    </row>
    <row r="20" spans="2:13" x14ac:dyDescent="0.2">
      <c r="B20" s="23">
        <v>7</v>
      </c>
      <c r="C20" s="33">
        <v>42188</v>
      </c>
      <c r="D20" s="23" t="s">
        <v>29</v>
      </c>
      <c r="E20" s="23" t="str">
        <f>IFERROR(VLOOKUP(Tabela512[[#This Row],[Produto]],cálculos!$O$3:$R$31,4,FALSE),"-")</f>
        <v>Lata</v>
      </c>
      <c r="F20" s="23">
        <v>20</v>
      </c>
      <c r="G20" s="27">
        <f>IFERROR(VLOOKUP(Tabela512[[#This Row],[Produto]],cálculos!$O$3:$R$29,3,FALSE),"-")</f>
        <v>2.19</v>
      </c>
      <c r="H20" s="27">
        <f>IFERROR(Tabela512[[#This Row],[Preço Unitário]]*Tabela512[[#This Row],[Quantidade]],"-")</f>
        <v>43.8</v>
      </c>
      <c r="J20" s="23" t="s">
        <v>114</v>
      </c>
      <c r="K20" s="27">
        <f>IFERROR(IF(Tabela512[[#This Row],[Id da venda]]=B21,0,VLOOKUP(Tabela512[[#This Row],[Entrega]],cálculos!$B$3:$C$9,2,FALSE)),"-")</f>
        <v>0</v>
      </c>
      <c r="L20" s="27">
        <f>IFERROR(Tabela512[[#This Row],[Subtotal]]*(1-Tabela512[[#This Row],[Desconto]])+Tabela512[[#This Row],[Valor de Entrega]],"")</f>
        <v>43.8</v>
      </c>
      <c r="M20" s="27">
        <f>IF(Tabela512[[#This Row],[Id da venda]]=B21,"",SUMIF(Tabela512[Id da venda],Tabela512[[#This Row],[Id da venda]],Tabela512[Total]))</f>
        <v>43.8</v>
      </c>
    </row>
    <row r="21" spans="2:13" x14ac:dyDescent="0.2">
      <c r="B21" s="23">
        <v>6</v>
      </c>
      <c r="C21" s="33">
        <v>42188</v>
      </c>
      <c r="D21" s="23" t="s">
        <v>32</v>
      </c>
      <c r="E21" s="23" t="str">
        <f>IFERROR(VLOOKUP(Tabela512[[#This Row],[Produto]],cálculos!$O$3:$R$31,4,FALSE),"-")</f>
        <v>Pacote</v>
      </c>
      <c r="F21" s="23">
        <v>2</v>
      </c>
      <c r="G21" s="27">
        <f>IFERROR(VLOOKUP(Tabela512[[#This Row],[Produto]],cálculos!$O$3:$R$29,3,FALSE),"-")</f>
        <v>0.79</v>
      </c>
      <c r="H21" s="27">
        <f>IFERROR(Tabela512[[#This Row],[Preço Unitário]]*Tabela512[[#This Row],[Quantidade]],"-")</f>
        <v>1.58</v>
      </c>
      <c r="J21" s="23" t="s">
        <v>114</v>
      </c>
      <c r="K21" s="27">
        <f>IFERROR(IF(Tabela512[[#This Row],[Id da venda]]=B22,0,VLOOKUP(Tabela512[[#This Row],[Entrega]],cálculos!$B$3:$C$9,2,FALSE)),"-")</f>
        <v>0</v>
      </c>
      <c r="L21" s="27">
        <f>IFERROR(Tabela512[[#This Row],[Subtotal]]*(1-Tabela512[[#This Row],[Desconto]])+Tabela512[[#This Row],[Valor de Entrega]],"")</f>
        <v>1.58</v>
      </c>
      <c r="M21" s="27" t="str">
        <f>IF(Tabela512[[#This Row],[Id da venda]]=B22,"",SUMIF(Tabela512[Id da venda],Tabela512[[#This Row],[Id da venda]],Tabela512[Total]))</f>
        <v/>
      </c>
    </row>
    <row r="22" spans="2:13" x14ac:dyDescent="0.2">
      <c r="B22" s="23">
        <v>6</v>
      </c>
      <c r="C22" s="33">
        <v>42188</v>
      </c>
      <c r="D22" s="23" t="s">
        <v>20</v>
      </c>
      <c r="E22" s="23" t="str">
        <f>IFERROR(VLOOKUP(Tabela512[[#This Row],[Produto]],cálculos!$O$3:$R$31,4,FALSE),"-")</f>
        <v>Kg</v>
      </c>
      <c r="F22" s="23">
        <v>6</v>
      </c>
      <c r="G22" s="27">
        <f>IFERROR(VLOOKUP(Tabela512[[#This Row],[Produto]],cálculos!$O$3:$R$29,3,FALSE),"-")</f>
        <v>15.9</v>
      </c>
      <c r="H22" s="27">
        <f>IFERROR(Tabela512[[#This Row],[Preço Unitário]]*Tabela512[[#This Row],[Quantidade]],"-")</f>
        <v>95.4</v>
      </c>
      <c r="J22" s="23" t="s">
        <v>114</v>
      </c>
      <c r="K22" s="27">
        <f>IFERROR(IF(Tabela512[[#This Row],[Id da venda]]=B23,0,VLOOKUP(Tabela512[[#This Row],[Entrega]],cálculos!$B$3:$C$9,2,FALSE)),"-")</f>
        <v>0</v>
      </c>
      <c r="L22" s="27">
        <f>IFERROR(Tabela512[[#This Row],[Subtotal]]*(1-Tabela512[[#This Row],[Desconto]])+Tabela512[[#This Row],[Valor de Entrega]],"")</f>
        <v>95.4</v>
      </c>
      <c r="M22" s="27" t="str">
        <f>IF(Tabela512[[#This Row],[Id da venda]]=B23,"",SUMIF(Tabela512[Id da venda],Tabela512[[#This Row],[Id da venda]],Tabela512[Total]))</f>
        <v/>
      </c>
    </row>
    <row r="23" spans="2:13" x14ac:dyDescent="0.2">
      <c r="B23" s="23">
        <v>6</v>
      </c>
      <c r="C23" s="33">
        <v>42188</v>
      </c>
      <c r="D23" s="23" t="s">
        <v>29</v>
      </c>
      <c r="E23" s="23" t="str">
        <f>IFERROR(VLOOKUP(Tabela512[[#This Row],[Produto]],cálculos!$O$3:$R$31,4,FALSE),"-")</f>
        <v>Lata</v>
      </c>
      <c r="F23" s="23">
        <v>12</v>
      </c>
      <c r="G23" s="27">
        <f>IFERROR(VLOOKUP(Tabela512[[#This Row],[Produto]],cálculos!$O$3:$R$29,3,FALSE),"-")</f>
        <v>2.19</v>
      </c>
      <c r="H23" s="27">
        <f>IFERROR(Tabela512[[#This Row],[Preço Unitário]]*Tabela512[[#This Row],[Quantidade]],"-")</f>
        <v>26.28</v>
      </c>
      <c r="J23" s="23" t="s">
        <v>114</v>
      </c>
      <c r="K23" s="27">
        <f>IFERROR(IF(Tabela512[[#This Row],[Id da venda]]=B24,0,VLOOKUP(Tabela512[[#This Row],[Entrega]],cálculos!$B$3:$C$9,2,FALSE)),"-")</f>
        <v>0</v>
      </c>
      <c r="L23" s="27">
        <f>IFERROR(Tabela512[[#This Row],[Subtotal]]*(1-Tabela512[[#This Row],[Desconto]])+Tabela512[[#This Row],[Valor de Entrega]],"")</f>
        <v>26.28</v>
      </c>
      <c r="M23" s="27">
        <f>IF(Tabela512[[#This Row],[Id da venda]]=B24,"",SUMIF(Tabela512[Id da venda],Tabela512[[#This Row],[Id da venda]],Tabela512[Total]))</f>
        <v>123.26</v>
      </c>
    </row>
    <row r="24" spans="2:13" x14ac:dyDescent="0.2">
      <c r="B24" s="23">
        <v>5</v>
      </c>
      <c r="C24" s="33">
        <v>42187</v>
      </c>
      <c r="D24" s="23" t="s">
        <v>19</v>
      </c>
      <c r="E24" s="23" t="str">
        <f>IFERROR(VLOOKUP(Tabela512[[#This Row],[Produto]],cálculos!$O$3:$R$31,4,FALSE),"-")</f>
        <v>Unidade</v>
      </c>
      <c r="F24" s="23">
        <v>3</v>
      </c>
      <c r="G24" s="27">
        <f>IFERROR(VLOOKUP(Tabela512[[#This Row],[Produto]],cálculos!$O$3:$R$29,3,FALSE),"-")</f>
        <v>2.99</v>
      </c>
      <c r="H24" s="27">
        <f>IFERROR(Tabela512[[#This Row],[Preço Unitário]]*Tabela512[[#This Row],[Quantidade]],"-")</f>
        <v>8.9700000000000006</v>
      </c>
      <c r="J24" s="23" t="s">
        <v>117</v>
      </c>
      <c r="K24" s="27">
        <f>IFERROR(IF(Tabela512[[#This Row],[Id da venda]]=B25,0,VLOOKUP(Tabela512[[#This Row],[Entrega]],cálculos!$B$3:$C$9,2,FALSE)),"-")</f>
        <v>6.5</v>
      </c>
      <c r="L24" s="27">
        <f>IFERROR(Tabela512[[#This Row],[Subtotal]]*(1-Tabela512[[#This Row],[Desconto]])+Tabela512[[#This Row],[Valor de Entrega]],"")</f>
        <v>15.47</v>
      </c>
      <c r="M24" s="27">
        <f>IF(Tabela512[[#This Row],[Id da venda]]=B25,"",SUMIF(Tabela512[Id da venda],Tabela512[[#This Row],[Id da venda]],Tabela512[Total]))</f>
        <v>15.47</v>
      </c>
    </row>
    <row r="25" spans="2:13" x14ac:dyDescent="0.2">
      <c r="B25" s="23">
        <v>4</v>
      </c>
      <c r="C25" s="33">
        <v>42187</v>
      </c>
      <c r="D25" s="23" t="s">
        <v>33</v>
      </c>
      <c r="E25" s="23" t="str">
        <f>IFERROR(VLOOKUP(Tabela512[[#This Row],[Produto]],cálculos!$O$3:$R$31,4,FALSE),"-")</f>
        <v>Pacote</v>
      </c>
      <c r="F25" s="23">
        <v>2</v>
      </c>
      <c r="G25" s="27">
        <f>IFERROR(VLOOKUP(Tabela512[[#This Row],[Produto]],cálculos!$O$3:$R$29,3,FALSE),"-")</f>
        <v>1.99</v>
      </c>
      <c r="H25" s="27">
        <f>IFERROR(Tabela512[[#This Row],[Preço Unitário]]*Tabela512[[#This Row],[Quantidade]],"-")</f>
        <v>3.98</v>
      </c>
      <c r="J25" s="23" t="s">
        <v>115</v>
      </c>
      <c r="K25" s="27">
        <f>IFERROR(IF(Tabela512[[#This Row],[Id da venda]]=B32,0,VLOOKUP(Tabela512[[#This Row],[Entrega]],cálculos!$B$3:$C$9,2,FALSE)),"-")</f>
        <v>6.5</v>
      </c>
      <c r="L25" s="27">
        <f>IFERROR(Tabela512[[#This Row],[Subtotal]]*(1-Tabela512[[#This Row],[Desconto]])+Tabela512[[#This Row],[Valor de Entrega]],"")</f>
        <v>10.48</v>
      </c>
      <c r="M25" s="27">
        <f>IF(Tabela512[[#This Row],[Id da venda]]=B32,"",SUMIF(Tabela512[Id da venda],Tabela512[[#This Row],[Id da venda]],Tabela512[Total]))</f>
        <v>29.430000000000003</v>
      </c>
    </row>
    <row r="26" spans="2:13" x14ac:dyDescent="0.2">
      <c r="B26" s="23">
        <v>4</v>
      </c>
      <c r="C26" s="33">
        <v>42187</v>
      </c>
      <c r="D26" s="23" t="s">
        <v>16</v>
      </c>
      <c r="E26" s="23" t="str">
        <f>IFERROR(VLOOKUP(Tabela512[[#This Row],[Produto]],cálculos!$O$3:$R$31,4,FALSE),"-")</f>
        <v>Kg</v>
      </c>
      <c r="F26" s="23">
        <v>5</v>
      </c>
      <c r="G26" s="27">
        <f>IFERROR(VLOOKUP(Tabela512[[#This Row],[Produto]],cálculos!$O$3:$R$29,3,FALSE),"-")</f>
        <v>2.4900000000000002</v>
      </c>
      <c r="H26" s="27">
        <f>IFERROR(Tabela512[[#This Row],[Preço Unitário]]*Tabela512[[#This Row],[Quantidade]],"-")</f>
        <v>12.450000000000001</v>
      </c>
      <c r="J26" s="23" t="s">
        <v>115</v>
      </c>
      <c r="K26" s="27">
        <f>IFERROR(IF(Tabela512[[#This Row],[Id da venda]]=B27,0,VLOOKUP(Tabela512[[#This Row],[Entrega]],cálculos!$B$3:$C$9,2,FALSE)),"-")</f>
        <v>6.5</v>
      </c>
      <c r="L26" s="27">
        <f>IFERROR(Tabela512[[#This Row],[Subtotal]]*(1-Tabela512[[#This Row],[Desconto]])+Tabela512[[#This Row],[Valor de Entrega]],"")</f>
        <v>18.950000000000003</v>
      </c>
      <c r="M26" s="27">
        <f>IF(Tabela512[[#This Row],[Id da venda]]=B27,"",SUMIF(Tabela512[Id da venda],Tabela512[[#This Row],[Id da venda]],Tabela512[Total]))</f>
        <v>29.430000000000003</v>
      </c>
    </row>
    <row r="27" spans="2:13" x14ac:dyDescent="0.2">
      <c r="B27" s="23">
        <v>3</v>
      </c>
      <c r="C27" s="33">
        <v>42187</v>
      </c>
      <c r="D27" s="23" t="s">
        <v>31</v>
      </c>
      <c r="E27" s="23" t="str">
        <f>IFERROR(VLOOKUP(Tabela512[[#This Row],[Produto]],cálculos!$O$3:$R$31,4,FALSE),"-")</f>
        <v>Unidade</v>
      </c>
      <c r="F27" s="23">
        <v>6</v>
      </c>
      <c r="G27" s="27">
        <f>IFERROR(VLOOKUP(Tabela512[[#This Row],[Produto]],cálculos!$O$3:$R$29,3,FALSE),"-")</f>
        <v>2.6</v>
      </c>
      <c r="H27" s="27">
        <f>IFERROR(Tabela512[[#This Row],[Preço Unitário]]*Tabela512[[#This Row],[Quantidade]],"-")</f>
        <v>15.600000000000001</v>
      </c>
      <c r="J27" s="23" t="s">
        <v>116</v>
      </c>
      <c r="K27" s="27">
        <f>IFERROR(IF(Tabela512[[#This Row],[Id da venda]]=B28,0,VLOOKUP(Tabela512[[#This Row],[Entrega]],cálculos!$B$3:$C$9,2,FALSE)),"-")</f>
        <v>8</v>
      </c>
      <c r="L27" s="27">
        <f>IFERROR(Tabela512[[#This Row],[Subtotal]]*(1-Tabela512[[#This Row],[Desconto]])+Tabela512[[#This Row],[Valor de Entrega]],"")</f>
        <v>23.6</v>
      </c>
      <c r="M27" s="27">
        <f>IF(Tabela512[[#This Row],[Id da venda]]=B28,"",SUMIF(Tabela512[Id da venda],Tabela512[[#This Row],[Id da venda]],Tabela512[Total]))</f>
        <v>23.6</v>
      </c>
    </row>
    <row r="28" spans="2:13" x14ac:dyDescent="0.2">
      <c r="B28" s="23">
        <v>2</v>
      </c>
      <c r="C28" s="33">
        <v>42187</v>
      </c>
      <c r="D28" s="23" t="s">
        <v>33</v>
      </c>
      <c r="E28" s="23" t="str">
        <f>IFERROR(VLOOKUP(Tabela512[[#This Row],[Produto]],cálculos!$O$3:$R$31,4,FALSE),"-")</f>
        <v>Pacote</v>
      </c>
      <c r="F28" s="23">
        <v>1</v>
      </c>
      <c r="G28" s="27">
        <f>IFERROR(VLOOKUP(Tabela512[[#This Row],[Produto]],cálculos!$O$3:$R$29,3,FALSE),"-")</f>
        <v>1.99</v>
      </c>
      <c r="H28" s="27">
        <f>IFERROR(Tabela512[[#This Row],[Preço Unitário]]*Tabela512[[#This Row],[Quantidade]],"-")</f>
        <v>1.99</v>
      </c>
      <c r="J28" s="23" t="s">
        <v>113</v>
      </c>
      <c r="K28" s="27">
        <f>IFERROR(IF(Tabela512[[#This Row],[Id da venda]]=B29,0,VLOOKUP(Tabela512[[#This Row],[Entrega]],cálculos!$B$3:$C$9,2,FALSE)),"-")</f>
        <v>5</v>
      </c>
      <c r="L28" s="27">
        <f>IFERROR(Tabela512[[#This Row],[Subtotal]]*(1-Tabela512[[#This Row],[Desconto]])+Tabela512[[#This Row],[Valor de Entrega]],"")</f>
        <v>6.99</v>
      </c>
      <c r="M28" s="27">
        <f>IF(Tabela512[[#This Row],[Id da venda]]=B29,"",SUMIF(Tabela512[Id da venda],Tabela512[[#This Row],[Id da venda]],Tabela512[Total]))</f>
        <v>6.99</v>
      </c>
    </row>
    <row r="29" spans="2:13" x14ac:dyDescent="0.2">
      <c r="B29" s="23">
        <v>1</v>
      </c>
      <c r="C29" s="33">
        <v>42187</v>
      </c>
      <c r="D29" s="23" t="s">
        <v>16</v>
      </c>
      <c r="E29" s="23" t="str">
        <f>IFERROR(VLOOKUP(Tabela512[[#This Row],[Produto]],cálculos!$O$3:$R$31,4,FALSE),"-")</f>
        <v>Kg</v>
      </c>
      <c r="F29" s="23">
        <v>2</v>
      </c>
      <c r="G29" s="27">
        <f>IFERROR(VLOOKUP(Tabela512[[#This Row],[Produto]],cálculos!$O$3:$R$29,3,FALSE),"-")</f>
        <v>2.4900000000000002</v>
      </c>
      <c r="H29" s="27">
        <f>IFERROR(Tabela512[[#This Row],[Preço Unitário]]*Tabela512[[#This Row],[Quantidade]],"-")</f>
        <v>4.9800000000000004</v>
      </c>
      <c r="J29" s="23" t="s">
        <v>114</v>
      </c>
      <c r="K29" s="27">
        <f>IFERROR(IF(Tabela512[[#This Row],[Id da venda]]=B30,0,VLOOKUP(Tabela512[[#This Row],[Entrega]],cálculos!$B$3:$C$9,2,FALSE)),"-")</f>
        <v>0</v>
      </c>
      <c r="L29" s="27">
        <f>IFERROR(Tabela512[[#This Row],[Subtotal]]*(1-Tabela512[[#This Row],[Desconto]])+Tabela512[[#This Row],[Valor de Entrega]],"")</f>
        <v>4.9800000000000004</v>
      </c>
      <c r="M29" s="27">
        <f>IF(Tabela512[[#This Row],[Id da venda]]=B30,"",SUMIF(Tabela512[Id da venda],Tabela512[[#This Row],[Id da venda]],Tabela512[Total]))</f>
        <v>6.9700000000000006</v>
      </c>
    </row>
    <row r="30" spans="2:13" x14ac:dyDescent="0.2">
      <c r="B30" s="23">
        <v>11111</v>
      </c>
      <c r="C30" s="33">
        <v>42187</v>
      </c>
      <c r="D30" s="23" t="s">
        <v>28</v>
      </c>
      <c r="E30" s="23" t="str">
        <f>IFERROR(VLOOKUP(Tabela512[[#This Row],[Produto]],cálculos!$O$3:$R$31,4,FALSE),"-")</f>
        <v>Pacote</v>
      </c>
      <c r="F30" s="23">
        <v>3</v>
      </c>
      <c r="G30" s="27">
        <f>IFERROR(VLOOKUP(Tabela512[[#This Row],[Produto]],cálculos!$O$3:$R$29,3,FALSE),"-")</f>
        <v>1.1499999999999999</v>
      </c>
      <c r="H30" s="27">
        <f>IFERROR(Tabela512[[#This Row],[Preço Unitário]]*Tabela512[[#This Row],[Quantidade]],"-")</f>
        <v>3.4499999999999997</v>
      </c>
      <c r="J30" s="23" t="s">
        <v>113</v>
      </c>
      <c r="K30" s="27">
        <f>IFERROR(IF(Tabela512[[#This Row],[Id da venda]]=B31,0,VLOOKUP(Tabela512[[#This Row],[Entrega]],cálculos!$B$3:$C$9,2,FALSE)),"-")</f>
        <v>5</v>
      </c>
      <c r="L30" s="27">
        <f>IFERROR(Tabela512[[#This Row],[Subtotal]]*(1-Tabela512[[#This Row],[Desconto]])+Tabela512[[#This Row],[Valor de Entrega]],"")</f>
        <v>8.4499999999999993</v>
      </c>
      <c r="M30" s="27">
        <f>IF(Tabela512[[#This Row],[Id da venda]]=B31,"",SUMIF(Tabela512[Id da venda],Tabela512[[#This Row],[Id da venda]],Tabela512[Total]))</f>
        <v>8.4499999999999993</v>
      </c>
    </row>
    <row r="31" spans="2:13" x14ac:dyDescent="0.2">
      <c r="B31" s="23">
        <v>1</v>
      </c>
      <c r="C31" s="33">
        <v>42187</v>
      </c>
      <c r="D31" s="23" t="s">
        <v>33</v>
      </c>
      <c r="E31" s="23" t="str">
        <f>IFERROR(VLOOKUP(Tabela512[[#This Row],[Produto]],cálculos!$O$3:$R$31,4,FALSE),"-")</f>
        <v>Pacote</v>
      </c>
      <c r="F31" s="23">
        <v>1</v>
      </c>
      <c r="G31" s="27">
        <f>IFERROR(VLOOKUP(Tabela512[[#This Row],[Produto]],cálculos!$O$3:$R$29,3,FALSE),"-")</f>
        <v>1.99</v>
      </c>
      <c r="H31" s="27">
        <f>IFERROR(Tabela512[[#This Row],[Preço Unitário]]*Tabela512[[#This Row],[Quantidade]],"-")</f>
        <v>1.99</v>
      </c>
      <c r="J31" s="23" t="s">
        <v>114</v>
      </c>
      <c r="K31" s="27">
        <f>IFERROR(IF(Tabela512[[#This Row],[Id da venda]]=B32,0,VLOOKUP(Tabela512[[#This Row],[Entrega]],cálculos!$B$3:$C$9,2,FALSE)),"-")</f>
        <v>0</v>
      </c>
      <c r="L31" s="27">
        <f>IFERROR(Tabela512[[#This Row],[Subtotal]]*(1-Tabela512[[#This Row],[Desconto]])+Tabela512[[#This Row],[Valor de Entrega]],"")</f>
        <v>1.99</v>
      </c>
      <c r="M31" s="27">
        <f>IF(Tabela512[[#This Row],[Id da venda]]=B32,"",SUMIF(Tabela512[Id da venda],Tabela512[[#This Row],[Id da venda]],Tabela512[Total]))</f>
        <v>6.9700000000000006</v>
      </c>
    </row>
    <row r="33" spans="2:13" ht="19.5" thickBot="1" x14ac:dyDescent="0.3">
      <c r="B33" s="32" t="s">
        <v>118</v>
      </c>
      <c r="C33" s="58"/>
      <c r="D33" s="59"/>
      <c r="E33" s="59"/>
      <c r="F33" s="60"/>
      <c r="G33" s="60"/>
      <c r="H33" s="60"/>
      <c r="I33" s="61"/>
      <c r="J33" s="59"/>
      <c r="K33" s="60"/>
      <c r="L33" s="59"/>
      <c r="M33" s="62">
        <f>SUM(Tabela512[Total Por Cliente])</f>
        <v>599.18600000000015</v>
      </c>
    </row>
    <row r="34" spans="2:13" ht="19.5" thickBot="1" x14ac:dyDescent="0.3">
      <c r="B34" s="31" t="s">
        <v>119</v>
      </c>
      <c r="C34" s="63"/>
      <c r="D34" s="64"/>
      <c r="E34" s="64"/>
      <c r="F34" s="65"/>
      <c r="G34" s="65"/>
      <c r="H34" s="65"/>
      <c r="I34" s="66"/>
      <c r="J34" s="64"/>
      <c r="K34" s="65"/>
      <c r="L34" s="64"/>
      <c r="M34" s="67">
        <f>SUM(Tabela512[Valor de Entrega])</f>
        <v>55.5</v>
      </c>
    </row>
    <row r="35" spans="2:13" ht="19.5" thickBot="1" x14ac:dyDescent="0.3">
      <c r="B35" s="31" t="s">
        <v>132</v>
      </c>
      <c r="C35" s="63"/>
      <c r="D35" s="64"/>
      <c r="E35" s="64"/>
      <c r="F35" s="65"/>
      <c r="G35" s="65"/>
      <c r="H35" s="65"/>
      <c r="I35" s="66"/>
      <c r="J35" s="64"/>
      <c r="K35" s="65"/>
      <c r="L35" s="64"/>
      <c r="M35" s="67" cm="1">
        <f t="array" ref="M35">SUM(IF(FREQUENCY(Tabela512[Id da venda],Tabela512[Id da venda])&gt;0,1,0))</f>
        <v>14</v>
      </c>
    </row>
    <row r="36" spans="2:13" x14ac:dyDescent="0.2">
      <c r="C36" s="23"/>
      <c r="F36" s="27"/>
    </row>
    <row r="37" spans="2:13" x14ac:dyDescent="0.2">
      <c r="C37" s="23"/>
      <c r="F37" s="27"/>
      <c r="H37" s="23"/>
    </row>
    <row r="38" spans="2:13" x14ac:dyDescent="0.2">
      <c r="H38" s="23"/>
    </row>
    <row r="39" spans="2:13" x14ac:dyDescent="0.2">
      <c r="H39" s="23"/>
    </row>
    <row r="40" spans="2:13" x14ac:dyDescent="0.2">
      <c r="H40" s="23"/>
    </row>
    <row r="41" spans="2:13" x14ac:dyDescent="0.2">
      <c r="H41" s="23"/>
    </row>
  </sheetData>
  <mergeCells count="1">
    <mergeCell ref="A2:N2"/>
  </mergeCells>
  <dataValidations count="1">
    <dataValidation type="whole" showInputMessage="1" showErrorMessage="1" sqref="F1:F32 F38:F42 F48:F1048576 H37:H41 E33:E37" xr:uid="{EBE298B7-CAC8-4577-BA7C-FE85CAF96DFB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744900-B811-4E9B-923F-EEB46AC5A511}">
          <x14:formula1>
            <xm:f>cálculos!$B$4:$B$8</xm:f>
          </x14:formula1>
          <xm:sqref>J6:J31</xm:sqref>
        </x14:dataValidation>
        <x14:dataValidation type="list" allowBlank="1" showInputMessage="1" showErrorMessage="1" xr:uid="{43B4FD8D-963B-41CC-8C66-4B28CE3194E9}">
          <x14:formula1>
            <xm:f>cálculos!$O$4:$O$27</xm:f>
          </x14:formula1>
          <xm:sqref>D7:D31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A1ABB-0120-4B99-B3AF-04F48A229D02}">
  <dimension ref="A1:N21"/>
  <sheetViews>
    <sheetView workbookViewId="0">
      <selection activeCell="L15" sqref="L15"/>
    </sheetView>
  </sheetViews>
  <sheetFormatPr defaultRowHeight="15" x14ac:dyDescent="0.2"/>
  <cols>
    <col min="1" max="1" width="16.8125" bestFit="1" customWidth="1"/>
    <col min="2" max="2" width="18.16015625" bestFit="1" customWidth="1"/>
    <col min="3" max="3" width="12.64453125" bestFit="1" customWidth="1"/>
    <col min="4" max="4" width="20.984375" bestFit="1" customWidth="1"/>
    <col min="5" max="6" width="16.8125" bestFit="1" customWidth="1"/>
    <col min="7" max="7" width="22.1953125" bestFit="1" customWidth="1"/>
    <col min="8" max="8" width="18.16015625" customWidth="1"/>
    <col min="9" max="9" width="12.64453125" customWidth="1"/>
    <col min="10" max="11" width="8.875" customWidth="1"/>
    <col min="12" max="12" width="5.51171875" customWidth="1"/>
    <col min="13" max="13" width="16.41015625" customWidth="1"/>
    <col min="14" max="14" width="16.94921875" customWidth="1"/>
  </cols>
  <sheetData>
    <row r="1" spans="1:14" ht="4.9000000000000004" customHeight="1" x14ac:dyDescent="0.2">
      <c r="A1" s="2"/>
      <c r="B1" s="2"/>
      <c r="C1" s="30"/>
      <c r="D1" s="2"/>
      <c r="E1" s="2"/>
      <c r="F1" s="2"/>
      <c r="G1" s="28"/>
      <c r="H1" s="28"/>
      <c r="I1" s="25"/>
      <c r="J1" s="2"/>
      <c r="K1" s="28"/>
      <c r="L1" s="2"/>
      <c r="M1" s="2"/>
      <c r="N1" s="2"/>
    </row>
    <row r="2" spans="1:14" ht="36.75" x14ac:dyDescent="0.2">
      <c r="A2" s="106" t="s">
        <v>165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</row>
    <row r="3" spans="1:14" ht="4.9000000000000004" customHeight="1" x14ac:dyDescent="0.2">
      <c r="A3" s="2"/>
      <c r="B3" s="2"/>
      <c r="C3" s="30"/>
      <c r="D3" s="2"/>
      <c r="E3" s="2"/>
      <c r="F3" s="2"/>
      <c r="G3" s="28"/>
      <c r="H3" s="28"/>
      <c r="I3" s="25"/>
      <c r="J3" s="2"/>
      <c r="K3" s="28"/>
      <c r="L3" s="2"/>
      <c r="M3" s="2"/>
      <c r="N3" s="2"/>
    </row>
    <row r="4" spans="1:14" x14ac:dyDescent="0.2">
      <c r="C4" s="7"/>
      <c r="G4" s="1"/>
      <c r="H4" s="1"/>
      <c r="I4" s="3"/>
      <c r="K4" s="1"/>
    </row>
    <row r="5" spans="1:14" ht="15.75" thickBot="1" x14ac:dyDescent="0.25"/>
    <row r="6" spans="1:14" ht="15.75" thickBot="1" x14ac:dyDescent="0.25">
      <c r="A6" s="109" t="s">
        <v>160</v>
      </c>
      <c r="B6" s="110"/>
      <c r="C6" s="111"/>
      <c r="F6" s="109" t="s">
        <v>163</v>
      </c>
      <c r="G6" s="110"/>
      <c r="H6" s="110"/>
      <c r="I6" s="111"/>
    </row>
    <row r="7" spans="1:14" x14ac:dyDescent="0.2">
      <c r="A7" s="103" t="s">
        <v>157</v>
      </c>
      <c r="B7" t="s">
        <v>158</v>
      </c>
      <c r="C7" t="s">
        <v>159</v>
      </c>
      <c r="D7" t="s">
        <v>162</v>
      </c>
      <c r="F7" s="103" t="s">
        <v>157</v>
      </c>
      <c r="G7" t="s">
        <v>161</v>
      </c>
      <c r="H7" t="s">
        <v>158</v>
      </c>
      <c r="I7" t="s">
        <v>159</v>
      </c>
    </row>
    <row r="8" spans="1:14" x14ac:dyDescent="0.2">
      <c r="A8" s="104" t="s">
        <v>19</v>
      </c>
      <c r="B8" s="23">
        <v>13</v>
      </c>
      <c r="C8" s="27">
        <v>45.071000000000005</v>
      </c>
      <c r="D8" s="27">
        <v>2.99</v>
      </c>
      <c r="F8" s="104" t="s">
        <v>113</v>
      </c>
      <c r="G8" s="1">
        <v>15</v>
      </c>
      <c r="H8">
        <v>16.5</v>
      </c>
      <c r="I8" s="1">
        <v>110.02</v>
      </c>
    </row>
    <row r="9" spans="1:14" x14ac:dyDescent="0.2">
      <c r="A9" s="104" t="s">
        <v>28</v>
      </c>
      <c r="B9" s="23">
        <v>13</v>
      </c>
      <c r="C9" s="27">
        <v>19.604999999999997</v>
      </c>
      <c r="D9" s="27">
        <v>1.1499999999999999</v>
      </c>
      <c r="F9" s="104" t="s">
        <v>114</v>
      </c>
      <c r="G9" s="1">
        <v>0</v>
      </c>
      <c r="H9">
        <v>64</v>
      </c>
      <c r="I9" s="1">
        <v>233.36</v>
      </c>
    </row>
    <row r="10" spans="1:14" x14ac:dyDescent="0.2">
      <c r="A10" s="104" t="s">
        <v>16</v>
      </c>
      <c r="B10" s="23">
        <v>7</v>
      </c>
      <c r="C10" s="27">
        <v>23.930000000000003</v>
      </c>
      <c r="D10" s="27">
        <v>2.4900000000000002</v>
      </c>
      <c r="F10" s="104" t="s">
        <v>115</v>
      </c>
      <c r="G10" s="1">
        <v>13</v>
      </c>
      <c r="H10">
        <v>7</v>
      </c>
      <c r="I10" s="1">
        <v>29.430000000000003</v>
      </c>
    </row>
    <row r="11" spans="1:14" x14ac:dyDescent="0.2">
      <c r="A11" s="104" t="s">
        <v>33</v>
      </c>
      <c r="B11" s="23">
        <v>4</v>
      </c>
      <c r="C11" s="27">
        <v>19.459999999999997</v>
      </c>
      <c r="D11" s="27">
        <v>1.99</v>
      </c>
      <c r="F11" s="104" t="s">
        <v>116</v>
      </c>
      <c r="G11" s="1">
        <v>8</v>
      </c>
      <c r="H11">
        <v>6</v>
      </c>
      <c r="I11" s="1">
        <v>23.6</v>
      </c>
    </row>
    <row r="12" spans="1:14" x14ac:dyDescent="0.2">
      <c r="A12" s="104" t="s">
        <v>32</v>
      </c>
      <c r="B12" s="23">
        <v>3</v>
      </c>
      <c r="C12" s="27">
        <v>2.37</v>
      </c>
      <c r="D12" s="27">
        <v>0.79</v>
      </c>
      <c r="F12" s="104" t="s">
        <v>117</v>
      </c>
      <c r="G12" s="1">
        <v>19.5</v>
      </c>
      <c r="H12">
        <v>68</v>
      </c>
      <c r="I12" s="1">
        <v>166.376</v>
      </c>
    </row>
    <row r="13" spans="1:14" x14ac:dyDescent="0.2">
      <c r="A13" s="104" t="s">
        <v>29</v>
      </c>
      <c r="B13" s="23">
        <v>87</v>
      </c>
      <c r="C13" s="27">
        <v>203.53</v>
      </c>
      <c r="D13" s="27">
        <v>2.19</v>
      </c>
      <c r="F13" s="104" t="s">
        <v>156</v>
      </c>
      <c r="G13" s="1">
        <v>55.5</v>
      </c>
      <c r="H13">
        <v>161.5</v>
      </c>
      <c r="I13" s="1">
        <v>562.78600000000006</v>
      </c>
    </row>
    <row r="14" spans="1:14" x14ac:dyDescent="0.2">
      <c r="A14" s="104" t="s">
        <v>31</v>
      </c>
      <c r="B14" s="23">
        <v>6</v>
      </c>
      <c r="C14" s="27">
        <v>23.6</v>
      </c>
      <c r="D14" s="27">
        <v>2.6</v>
      </c>
    </row>
    <row r="15" spans="1:14" x14ac:dyDescent="0.2">
      <c r="A15" s="104" t="s">
        <v>17</v>
      </c>
      <c r="B15" s="23">
        <v>10</v>
      </c>
      <c r="C15" s="27">
        <v>47.8</v>
      </c>
      <c r="D15" s="27">
        <v>4.28</v>
      </c>
    </row>
    <row r="16" spans="1:14" x14ac:dyDescent="0.2">
      <c r="A16" s="104" t="s">
        <v>23</v>
      </c>
      <c r="B16" s="23">
        <v>1.5</v>
      </c>
      <c r="C16" s="27">
        <v>38.849999999999994</v>
      </c>
      <c r="D16" s="27">
        <v>25.9</v>
      </c>
    </row>
    <row r="17" spans="1:4" x14ac:dyDescent="0.2">
      <c r="A17" s="104" t="s">
        <v>72</v>
      </c>
      <c r="B17" s="23">
        <v>4</v>
      </c>
      <c r="C17" s="27">
        <v>9.56</v>
      </c>
      <c r="D17" s="27">
        <v>2.39</v>
      </c>
    </row>
    <row r="18" spans="1:4" x14ac:dyDescent="0.2">
      <c r="A18" s="104" t="s">
        <v>27</v>
      </c>
      <c r="B18" s="23">
        <v>2</v>
      </c>
      <c r="C18" s="27">
        <v>19.16</v>
      </c>
      <c r="D18" s="27">
        <v>9.58</v>
      </c>
    </row>
    <row r="19" spans="1:4" x14ac:dyDescent="0.2">
      <c r="A19" s="104" t="s">
        <v>71</v>
      </c>
      <c r="B19" s="23">
        <v>5</v>
      </c>
      <c r="C19" s="27">
        <v>14.450000000000001</v>
      </c>
      <c r="D19" s="27">
        <v>2.89</v>
      </c>
    </row>
    <row r="20" spans="1:4" x14ac:dyDescent="0.2">
      <c r="A20" s="104" t="s">
        <v>20</v>
      </c>
      <c r="B20" s="23">
        <v>6</v>
      </c>
      <c r="C20" s="27">
        <v>95.4</v>
      </c>
      <c r="D20" s="27">
        <v>15.9</v>
      </c>
    </row>
    <row r="21" spans="1:4" x14ac:dyDescent="0.2">
      <c r="A21" s="104" t="s">
        <v>156</v>
      </c>
      <c r="B21">
        <v>161.5</v>
      </c>
      <c r="C21" s="1">
        <v>562.78600000000006</v>
      </c>
      <c r="D21" s="1">
        <v>4.0708000000000002</v>
      </c>
    </row>
  </sheetData>
  <mergeCells count="3">
    <mergeCell ref="A2:N2"/>
    <mergeCell ref="A6:C6"/>
    <mergeCell ref="F6:I6"/>
  </mergeCells>
  <dataValidations count="1">
    <dataValidation type="whole" showInputMessage="1" showErrorMessage="1" sqref="F1:F4" xr:uid="{9D02B794-45BE-4546-9F4D-A8D62C254313}">
      <formula1>1</formula1>
      <formula2>10000000000</formula2>
    </dataValidation>
  </dataValidations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B3:R27"/>
  <sheetViews>
    <sheetView workbookViewId="0">
      <selection activeCell="H23" sqref="H23"/>
    </sheetView>
  </sheetViews>
  <sheetFormatPr defaultRowHeight="15" x14ac:dyDescent="0.2"/>
  <cols>
    <col min="2" max="2" width="16.94921875" bestFit="1" customWidth="1"/>
    <col min="3" max="3" width="8.33984375" bestFit="1" customWidth="1"/>
    <col min="15" max="15" width="14.796875" bestFit="1" customWidth="1"/>
    <col min="16" max="16" width="23" bestFit="1" customWidth="1"/>
    <col min="17" max="17" width="21.7890625" bestFit="1" customWidth="1"/>
    <col min="18" max="18" width="7.80078125" bestFit="1" customWidth="1"/>
  </cols>
  <sheetData>
    <row r="3" spans="2:18" x14ac:dyDescent="0.2">
      <c r="B3" s="6" t="s">
        <v>111</v>
      </c>
      <c r="C3" s="6" t="s">
        <v>112</v>
      </c>
      <c r="O3" s="6" t="s">
        <v>60</v>
      </c>
      <c r="P3" s="6" t="s">
        <v>61</v>
      </c>
      <c r="Q3" s="6" t="s">
        <v>62</v>
      </c>
      <c r="R3" s="6" t="s">
        <v>55</v>
      </c>
    </row>
    <row r="4" spans="2:18" x14ac:dyDescent="0.2">
      <c r="B4" t="s">
        <v>113</v>
      </c>
      <c r="C4" s="29">
        <v>5</v>
      </c>
      <c r="O4" t="s">
        <v>19</v>
      </c>
      <c r="P4" s="5">
        <v>2.8405</v>
      </c>
      <c r="Q4" s="5">
        <v>2.99</v>
      </c>
      <c r="R4" t="s">
        <v>63</v>
      </c>
    </row>
    <row r="5" spans="2:18" x14ac:dyDescent="0.2">
      <c r="B5" t="s">
        <v>114</v>
      </c>
      <c r="C5" s="29">
        <v>0</v>
      </c>
      <c r="O5" t="s">
        <v>28</v>
      </c>
      <c r="P5" s="5">
        <v>1.0580000000000001</v>
      </c>
      <c r="Q5" s="5">
        <v>1.1499999999999999</v>
      </c>
      <c r="R5" t="s">
        <v>64</v>
      </c>
    </row>
    <row r="6" spans="2:18" x14ac:dyDescent="0.2">
      <c r="B6" t="s">
        <v>115</v>
      </c>
      <c r="C6" s="29">
        <v>6.5</v>
      </c>
      <c r="O6" t="s">
        <v>16</v>
      </c>
      <c r="P6" s="5">
        <v>2.3406000000000002</v>
      </c>
      <c r="Q6" s="5">
        <v>2.4900000000000002</v>
      </c>
      <c r="R6" t="s">
        <v>65</v>
      </c>
    </row>
    <row r="7" spans="2:18" x14ac:dyDescent="0.2">
      <c r="B7" t="s">
        <v>116</v>
      </c>
      <c r="C7" s="29">
        <v>8</v>
      </c>
      <c r="O7" t="s">
        <v>33</v>
      </c>
      <c r="P7" s="5">
        <v>1.8506999999999998</v>
      </c>
      <c r="Q7" s="5">
        <v>1.99</v>
      </c>
      <c r="R7" t="s">
        <v>64</v>
      </c>
    </row>
    <row r="8" spans="2:18" x14ac:dyDescent="0.2">
      <c r="B8" t="s">
        <v>117</v>
      </c>
      <c r="C8" s="29">
        <v>6.5</v>
      </c>
      <c r="O8" t="s">
        <v>36</v>
      </c>
      <c r="P8" s="5">
        <v>1.0924999999999998</v>
      </c>
      <c r="Q8" s="5">
        <v>1.1499999999999999</v>
      </c>
      <c r="R8" t="s">
        <v>64</v>
      </c>
    </row>
    <row r="9" spans="2:18" x14ac:dyDescent="0.2">
      <c r="O9" t="s">
        <v>32</v>
      </c>
      <c r="P9" s="5">
        <v>0.74260000000000004</v>
      </c>
      <c r="Q9" s="5">
        <v>0.79</v>
      </c>
      <c r="R9" t="s">
        <v>64</v>
      </c>
    </row>
    <row r="10" spans="2:18" x14ac:dyDescent="0.2">
      <c r="O10" t="s">
        <v>20</v>
      </c>
      <c r="P10" s="5">
        <v>14.469000000000001</v>
      </c>
      <c r="Q10" s="5">
        <v>15.9</v>
      </c>
      <c r="R10" t="s">
        <v>65</v>
      </c>
    </row>
    <row r="11" spans="2:18" x14ac:dyDescent="0.2">
      <c r="O11" t="s">
        <v>26</v>
      </c>
      <c r="P11" s="5">
        <v>3.6309000000000005</v>
      </c>
      <c r="Q11" s="5">
        <v>3.99</v>
      </c>
      <c r="R11" t="s">
        <v>65</v>
      </c>
    </row>
    <row r="12" spans="2:18" x14ac:dyDescent="0.2">
      <c r="O12" t="s">
        <v>29</v>
      </c>
      <c r="P12" s="5">
        <v>2.1023999999999998</v>
      </c>
      <c r="Q12" s="5">
        <v>2.19</v>
      </c>
      <c r="R12" t="s">
        <v>68</v>
      </c>
    </row>
    <row r="13" spans="2:18" x14ac:dyDescent="0.2">
      <c r="O13" t="s">
        <v>34</v>
      </c>
      <c r="P13" s="5">
        <v>4.5409000000000006</v>
      </c>
      <c r="Q13" s="5">
        <v>4.99</v>
      </c>
      <c r="R13" t="s">
        <v>69</v>
      </c>
    </row>
    <row r="14" spans="2:18" x14ac:dyDescent="0.2">
      <c r="O14" t="s">
        <v>35</v>
      </c>
      <c r="P14" s="5">
        <v>6.3449999999999998</v>
      </c>
      <c r="Q14" s="5">
        <v>6.75</v>
      </c>
      <c r="R14" t="s">
        <v>70</v>
      </c>
    </row>
    <row r="15" spans="2:18" x14ac:dyDescent="0.2">
      <c r="O15" t="s">
        <v>31</v>
      </c>
      <c r="P15" s="5">
        <v>2.3660000000000001</v>
      </c>
      <c r="Q15" s="5">
        <v>2.6</v>
      </c>
      <c r="R15" t="s">
        <v>63</v>
      </c>
    </row>
    <row r="16" spans="2:18" x14ac:dyDescent="0.2">
      <c r="O16" t="s">
        <v>17</v>
      </c>
      <c r="P16" s="5">
        <v>4.0659999999999998</v>
      </c>
      <c r="Q16" s="5">
        <v>4.28</v>
      </c>
      <c r="R16" t="s">
        <v>65</v>
      </c>
    </row>
    <row r="17" spans="15:18" x14ac:dyDescent="0.2">
      <c r="O17" t="s">
        <v>21</v>
      </c>
      <c r="P17" s="5">
        <v>6.4216000000000006</v>
      </c>
      <c r="Q17" s="5">
        <v>6.98</v>
      </c>
      <c r="R17" t="s">
        <v>65</v>
      </c>
    </row>
    <row r="18" spans="15:18" x14ac:dyDescent="0.2">
      <c r="O18" t="s">
        <v>66</v>
      </c>
      <c r="P18" s="5">
        <v>1.3708</v>
      </c>
      <c r="Q18" s="5">
        <v>1.49</v>
      </c>
      <c r="R18" t="s">
        <v>67</v>
      </c>
    </row>
    <row r="19" spans="15:18" x14ac:dyDescent="0.2">
      <c r="O19" t="s">
        <v>71</v>
      </c>
      <c r="P19" s="5">
        <v>2.6299000000000001</v>
      </c>
      <c r="Q19" s="5">
        <v>2.89</v>
      </c>
      <c r="R19" t="s">
        <v>63</v>
      </c>
    </row>
    <row r="20" spans="15:18" x14ac:dyDescent="0.2">
      <c r="O20" t="s">
        <v>22</v>
      </c>
      <c r="P20" s="5">
        <v>22.226999999999997</v>
      </c>
      <c r="Q20" s="5">
        <v>23.9</v>
      </c>
      <c r="R20" t="s">
        <v>65</v>
      </c>
    </row>
    <row r="21" spans="15:18" x14ac:dyDescent="0.2">
      <c r="O21" t="s">
        <v>23</v>
      </c>
      <c r="P21" s="5">
        <v>23.827999999999999</v>
      </c>
      <c r="Q21" s="5">
        <v>25.9</v>
      </c>
      <c r="R21" t="s">
        <v>65</v>
      </c>
    </row>
    <row r="22" spans="15:18" x14ac:dyDescent="0.2">
      <c r="O22" t="s">
        <v>72</v>
      </c>
      <c r="P22" s="5">
        <v>2.1749000000000001</v>
      </c>
      <c r="Q22" s="5">
        <v>2.39</v>
      </c>
      <c r="R22" t="s">
        <v>67</v>
      </c>
    </row>
    <row r="23" spans="15:18" x14ac:dyDescent="0.2">
      <c r="O23" t="s">
        <v>25</v>
      </c>
      <c r="P23" s="5">
        <v>3.2084999999999999</v>
      </c>
      <c r="Q23" s="5">
        <v>3.45</v>
      </c>
      <c r="R23" t="s">
        <v>67</v>
      </c>
    </row>
    <row r="24" spans="15:18" x14ac:dyDescent="0.2">
      <c r="O24" t="s">
        <v>18</v>
      </c>
      <c r="P24" s="5">
        <v>5.3544000000000009</v>
      </c>
      <c r="Q24" s="5">
        <v>5.82</v>
      </c>
      <c r="R24" t="s">
        <v>65</v>
      </c>
    </row>
    <row r="25" spans="15:18" x14ac:dyDescent="0.2">
      <c r="O25" t="s">
        <v>27</v>
      </c>
      <c r="P25" s="5">
        <v>9.1009999999999991</v>
      </c>
      <c r="Q25" s="5">
        <v>9.58</v>
      </c>
      <c r="R25" t="s">
        <v>65</v>
      </c>
    </row>
    <row r="26" spans="15:18" x14ac:dyDescent="0.2">
      <c r="O26" t="s">
        <v>24</v>
      </c>
      <c r="P26" s="5">
        <v>26.012999999999998</v>
      </c>
      <c r="Q26" s="5">
        <v>29.9</v>
      </c>
      <c r="R26" t="s">
        <v>73</v>
      </c>
    </row>
    <row r="27" spans="15:18" x14ac:dyDescent="0.2">
      <c r="O27" t="s">
        <v>30</v>
      </c>
      <c r="P27" s="5">
        <v>46.664999999999999</v>
      </c>
      <c r="Q27" s="5">
        <v>54.9</v>
      </c>
      <c r="R27" t="s">
        <v>73</v>
      </c>
    </row>
  </sheetData>
  <autoFilter ref="O3:R27" xr:uid="{00000000-0001-0000-0700-000000000000}">
    <sortState xmlns:xlrd2="http://schemas.microsoft.com/office/spreadsheetml/2017/richdata2" ref="O4:R27">
      <sortCondition ref="O3:O27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Menu</vt:lpstr>
      <vt:lpstr>Despesas Fixas</vt:lpstr>
      <vt:lpstr>Investimentos</vt:lpstr>
      <vt:lpstr>Resultados</vt:lpstr>
      <vt:lpstr>Controle Mercadorias</vt:lpstr>
      <vt:lpstr>Controle de Estoque</vt:lpstr>
      <vt:lpstr>Vendas</vt:lpstr>
      <vt:lpstr>Vendas Semana 1 </vt:lpstr>
      <vt:lpstr>Análise Semana_1</vt:lpstr>
      <vt:lpstr>Vendas Semana 2</vt:lpstr>
      <vt:lpstr>Análise Semana_2</vt:lpstr>
      <vt:lpstr>Vendas Semana 3</vt:lpstr>
      <vt:lpstr>Análise Semana_3</vt:lpstr>
      <vt:lpstr>Vendas Semana 4 </vt:lpstr>
      <vt:lpstr>Análise Semana_4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Gabriel Brazolotto Parisi</cp:lastModifiedBy>
  <cp:lastPrinted>2024-04-05T14:39:57Z</cp:lastPrinted>
  <dcterms:created xsi:type="dcterms:W3CDTF">2015-06-24T19:21:22Z</dcterms:created>
  <dcterms:modified xsi:type="dcterms:W3CDTF">2024-04-09T11:33:53Z</dcterms:modified>
</cp:coreProperties>
</file>