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Y" sheetId="1" r:id="rId4"/>
    <sheet state="visible" name="Liqudity tiers" sheetId="2" r:id="rId5"/>
    <sheet state="visible" name="tier mapping" sheetId="3" r:id="rId6"/>
    <sheet state="visible" name="COFA" sheetId="4" r:id="rId7"/>
    <sheet state="visible" name="COFA - live" sheetId="5" r:id="rId8"/>
    <sheet state="visible" name="Inst Lending numbers" sheetId="6" r:id="rId9"/>
    <sheet state="hidden" name="Weekly Rates" sheetId="7" r:id="rId10"/>
    <sheet state="visible" name="Import from defimon" sheetId="8" r:id="rId11"/>
    <sheet state="visible" name="Import_from_CeFi_dashboard" sheetId="9" r:id="rId12"/>
    <sheet state="visible" name="EAM" sheetId="10" r:id="rId13"/>
    <sheet state="visible" name="New Tiers" sheetId="11" r:id="rId14"/>
    <sheet state="visible" name="Blank APYs" sheetId="12" r:id="rId15"/>
  </sheets>
  <definedNames>
    <definedName hidden="1" localSheetId="0" name="Z_2A8717CA_57B9_47E9_A07B_A7E1BA3B9A03_.wvu.FilterData">APY!$A$3:$DB$99</definedName>
    <definedName hidden="1" localSheetId="1" name="Z_2A8717CA_57B9_47E9_A07B_A7E1BA3B9A03_.wvu.FilterData">'Liqudity tiers'!$A$3:$CY$85</definedName>
    <definedName hidden="1" localSheetId="11" name="Z_2A8717CA_57B9_47E9_A07B_A7E1BA3B9A03_.wvu.FilterData">'Blank APYs'!$H$1:$I$1000</definedName>
  </definedNames>
  <calcPr/>
  <customWorkbookViews>
    <customWorkbookView activeSheetId="0" maximized="1" windowHeight="0" windowWidth="0" guid="{2A8717CA-57B9-47E9-A07B-A7E1BA3B9A03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@dean.tappen@celsius.network changed tis to "posted collateral" - FYI
	-Ron Sabo</t>
      </text>
    </comment>
    <comment authorId="0" ref="BF75">
      <text>
        <t xml:space="preserve">SNX Balance @connor.nolan@celsius.network
_Assigned to Connor Nolan_
	-Dean Tappen</t>
      </text>
    </comment>
    <comment authorId="0" ref="BG41">
      <text>
        <t xml:space="preserve">@connor.nolan@celsius.network 39.8308 FARM
_Assigned to Connor Nolan_
	-Dean Tappen</t>
      </text>
    </comment>
    <comment authorId="0" ref="BF95">
      <text>
        <t xml:space="preserve">@connor.nolan@celsius.network 0.4258424739 YFI
_Assigned to Connor Nolan_
	-Dean Tappen</t>
      </text>
    </comment>
    <comment authorId="0" ref="BF8">
      <text>
        <t xml:space="preserve">@connor.nolan@celsius.network 227 AAVE here
_Assigned to Connor Nolan_
	-Dean Tappen</t>
      </text>
    </comment>
    <comment authorId="0" ref="BF26">
      <text>
        <t xml:space="preserve">2.88 BTC @connor.nolan@celsius.network
_Assigned to Connor Nolan_
	-Dean Tappen</t>
      </text>
    </comment>
    <comment authorId="0" ref="BF11">
      <text>
        <t xml:space="preserve">189539.3637 ALPHA here @connor.nolan@celsius.network
_Assigned to Connor Nolan_
	-Dean Tappen</t>
      </text>
    </comment>
    <comment authorId="0" ref="BF40">
      <text>
        <t xml:space="preserve">95 ETH deployed here @connor.nolan@celsius.network
_Assigned to Connor Nolan_
	-Dean Tappen</t>
      </text>
    </comment>
    <comment authorId="0" ref="BF86">
      <text>
        <t xml:space="preserve">@connor.nolan@celsius.network 45514.65 UNI deployed here with no APY
_Assigned to Connor Nolan_
	-Dean Tappen</t>
      </text>
    </comment>
    <comment authorId="0" ref="N36">
      <text>
        <t xml:space="preserve">this is not yet trading in the secondary market so for now we can treat it at NAV (0% APY)
	-Dean Tappen</t>
      </text>
    </comment>
    <comment authorId="0" ref="AQ34">
      <text>
        <t xml:space="preserve">@connor.nolan@celsius.network @ron.sabo@celsius.network I have no idea who the owner is or what current APY's are here - are we even currently still staking?
_Assigned to Ron Sabo_
	-Dean Tappen
we are staking only a portion of our DASH holdings (stack with creating new mated nodes). Current API is 2% and would go up to 5%+ once we solve this.
	-Ron Sabo</t>
      </text>
    </comment>
    <comment authorId="0" ref="DL56">
      <text>
        <t xml:space="preserve">@ron.sabo@celsius.network same here as well
_Assigned to Ron Sabo_
	-Dean Tappen
This is captured as part of the matic direct staking and should be ignored here (also in the freeze from now on)
	-Ron Sabo</t>
      </text>
    </comment>
    <comment authorId="0" ref="DT56">
      <text>
        <t xml:space="preserve">@ron.sabo@celsius.network do you have current MATIC staking rates?
_Assigned to Ron Sabo_
	-Dean Tappen
it is 13% but shoul only be applied on the direct staking coloum not here
	-Ron Sabo</t>
      </text>
    </comment>
    <comment authorId="0" ref="M26">
      <text>
        <t xml:space="preserve">@glenn.williams@celsius.network do you still have the live Greyscale and Osprey P/D data?
_Assigned to Glenn Williams_
	-Dean Tappen
I used to manually calculate/update that in a separate sheet, but I think there is another sheet that was set up to do that automatically.  I'll see if i can track it down
	-Glenn Williams
Dean, let me know if this one is of assistance https://docs.google.com/spreadsheets/d/1ES5FuyAt-CYnPoOqQ5s28RUxYpZoEF9Rd4OsC33nvN0/edit#gid=0
	-Glenn Williams
I would put 0% as APY here.
	-Ron Sabo</t>
      </text>
    </comment>
    <comment authorId="0" ref="A1">
      <text>
        <t xml:space="preserve">@tony.yi@celsius.network no yield here as well
_Assigned to Tony Yi_
	-Ron Sabo
----
@tony.yi@celsius.network seem like this wallet has no yield assosited with it. can you check?
_Assigned to Tony Yi_
	-Ron Sabo</t>
      </text>
    </comment>
  </commentList>
</comments>
</file>

<file path=xl/sharedStrings.xml><?xml version="1.0" encoding="utf-8"?>
<sst xmlns="http://schemas.openxmlformats.org/spreadsheetml/2006/main" count="1679" uniqueCount="304">
  <si>
    <t>Coin</t>
  </si>
  <si>
    <t>Bank - Balances</t>
  </si>
  <si>
    <t>Celsius Network</t>
  </si>
  <si>
    <t>Celsius Network System</t>
  </si>
  <si>
    <t>Celsius Network Finance</t>
  </si>
  <si>
    <t>Celsius OTC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</si>
  <si>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</si>
  <si>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</si>
  <si>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</si>
  <si>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</si>
  <si>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</si>
  <si>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</si>
  <si>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</si>
  <si>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</si>
  <si>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FTX - CnC</t>
  </si>
  <si>
    <t>FTX - Borrow</t>
  </si>
  <si>
    <t>Synthetix + Hedge</t>
  </si>
  <si>
    <t>Deployment- 1INCH Staking (TESTING)</t>
  </si>
  <si>
    <t>Impermanent_loss_hedge__RonSabo</t>
  </si>
  <si>
    <t>FTX - Management</t>
  </si>
  <si>
    <t>Hedge_Options</t>
  </si>
  <si>
    <t>FTX - Kairon</t>
  </si>
  <si>
    <t xml:space="preserve">FTX </t>
  </si>
  <si>
    <t>FTX Summery</t>
  </si>
  <si>
    <t>FTX - Main Account</t>
  </si>
  <si>
    <t>FTX - CEL</t>
  </si>
  <si>
    <t>FTX - DeFi</t>
  </si>
  <si>
    <t>FTX - Brad</t>
  </si>
  <si>
    <t>FTX - cel_staking</t>
  </si>
  <si>
    <t>FTX - Grayscale</t>
  </si>
  <si>
    <t>FTX - Jacob</t>
  </si>
  <si>
    <t>FTX - Johannes</t>
  </si>
  <si>
    <t>FTX - TEAM Directional</t>
  </si>
  <si>
    <t>Binance - CnC</t>
  </si>
  <si>
    <t>Binance - Main</t>
  </si>
  <si>
    <t>Binance - Earn</t>
  </si>
  <si>
    <t>Binance - DeFi</t>
  </si>
  <si>
    <t>Binance - RS</t>
  </si>
  <si>
    <t>Stakehound</t>
  </si>
  <si>
    <t>Binance Staking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</si>
  <si>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</si>
  <si>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</si>
  <si>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</si>
  <si>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</si>
  <si>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</si>
  <si>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</si>
  <si>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</si>
  <si>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</si>
  <si>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</si>
  <si>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OKEX</t>
  </si>
  <si>
    <t>YD - Curve - BUSDv2</t>
  </si>
  <si>
    <t>AAVE Deployment / Staking</t>
  </si>
  <si>
    <t>Bufords</t>
  </si>
  <si>
    <t>Celsius Borrows Account</t>
  </si>
  <si>
    <t>Deployment Team - Misc</t>
  </si>
  <si>
    <t>Network Deposits</t>
  </si>
  <si>
    <t>OmniMan1</t>
  </si>
  <si>
    <t>OmniMan2</t>
  </si>
  <si>
    <t>YD - AlphaHv2</t>
  </si>
  <si>
    <t>Deployment - Alpha</t>
  </si>
  <si>
    <t>YieldDesk_Main</t>
  </si>
  <si>
    <t>YD - BADGER - byvWBTC</t>
  </si>
  <si>
    <t>Yield Desk - Badger</t>
  </si>
  <si>
    <t>Maker Borrows Vault</t>
  </si>
  <si>
    <t>YD - Badger - bBTC</t>
  </si>
  <si>
    <t>Yield Desk - Bancor</t>
  </si>
  <si>
    <t>YD - Badger - OBTC</t>
  </si>
  <si>
    <t>YD - Curve - oBTC</t>
  </si>
  <si>
    <t>YD - Curve - BBTC</t>
  </si>
  <si>
    <t>YD - Convex/Badger - hBTC</t>
  </si>
  <si>
    <t>YD - Harvest - HBTC</t>
  </si>
  <si>
    <t>Deployment - Curve</t>
  </si>
  <si>
    <t>YD - Badger - SBTC</t>
  </si>
  <si>
    <t>YD - Curve - renBTC</t>
  </si>
  <si>
    <t>YFL</t>
  </si>
  <si>
    <t>Deployment - TrueFi</t>
  </si>
  <si>
    <t>Deployment - Vesper</t>
  </si>
  <si>
    <t>YD - Vesper - vWBTC</t>
  </si>
  <si>
    <t>YD - Yearn - crvPBTC</t>
  </si>
  <si>
    <t>YD - Badger - renBTC</t>
  </si>
  <si>
    <t>YD - Harvest - oBTC</t>
  </si>
  <si>
    <t>YD - Badger - PBTC</t>
  </si>
  <si>
    <t>YD - Harvest - renBTC</t>
  </si>
  <si>
    <t>DD - Convex - tBTC</t>
  </si>
  <si>
    <t>Yield Desk - Compound</t>
  </si>
  <si>
    <t>DD - Curve - rETH</t>
  </si>
  <si>
    <t>YD - Convex - LUSD</t>
  </si>
  <si>
    <t>YD - Curve/Convex - AnkrETH</t>
  </si>
  <si>
    <t>YD - Curve - SLINK</t>
  </si>
  <si>
    <t>YD - Curve - sETH</t>
  </si>
  <si>
    <t>YD - Curve - stETH</t>
  </si>
  <si>
    <t>BlockDemon ETH Staking</t>
  </si>
  <si>
    <t>DD - Liquity - LUSD</t>
  </si>
  <si>
    <t>DD - MATIC-HEZ Arb</t>
  </si>
  <si>
    <t>DD - Vesper - vUNI</t>
  </si>
  <si>
    <t>Deployment - Stable Coin Swaps</t>
  </si>
  <si>
    <t>Deployment Team - COMP supply</t>
  </si>
  <si>
    <t>Deployment- 1INCH Staking</t>
  </si>
  <si>
    <t>KNC Migration</t>
  </si>
  <si>
    <t>MATIC Test Account</t>
  </si>
  <si>
    <t>TEST-SYNTHETIX</t>
  </si>
  <si>
    <t>YD - Keeper - ETH</t>
  </si>
  <si>
    <t>YD - Vesper - vETH</t>
  </si>
  <si>
    <t>YD - Vesper - vLINK</t>
  </si>
  <si>
    <t>Convex: cvxBUSD3CRV-f</t>
  </si>
  <si>
    <t>FTX - LONG1</t>
  </si>
  <si>
    <t>Maple Finance</t>
  </si>
  <si>
    <t>Truefi Borrows Account</t>
  </si>
  <si>
    <t>DD - Badger - tBTC</t>
  </si>
  <si>
    <t>YD - Convex - tricrypto2</t>
  </si>
  <si>
    <t>YD - Curve - pBTC</t>
  </si>
  <si>
    <t>YD - Curve - SBTC</t>
  </si>
  <si>
    <t>YD - Keeper - renBTC</t>
  </si>
  <si>
    <t>Governance Sales</t>
  </si>
  <si>
    <t>MATIC Staking 7</t>
  </si>
  <si>
    <t>YD - Convex - renBTC</t>
  </si>
  <si>
    <t>Benqi - LINK</t>
  </si>
  <si>
    <t>DD-ABRA-FTT</t>
  </si>
  <si>
    <t>Defi Banker Joe</t>
  </si>
  <si>
    <t>Defi Benqi Deployment</t>
  </si>
  <si>
    <t>Banker Joe LINK</t>
  </si>
  <si>
    <t>Reward Desk</t>
  </si>
  <si>
    <t>MATIC Staking 8</t>
  </si>
  <si>
    <t>AAVE Avalanche</t>
  </si>
  <si>
    <t>Sushi Staking</t>
  </si>
  <si>
    <t>Deployment - 1INCH Staking (testing)</t>
  </si>
  <si>
    <t>FTX - Kairon2</t>
  </si>
  <si>
    <t>DD-CONVEX-ALETH</t>
  </si>
  <si>
    <t>DD-SHIBASWAP-WBTC</t>
  </si>
  <si>
    <t>DD-NOTIONAL-WBTC</t>
  </si>
  <si>
    <t>DD-NOTIONAL-ETH</t>
  </si>
  <si>
    <t>DD-Elrond-EGLD</t>
  </si>
  <si>
    <t>DD-Yearn-LINK</t>
  </si>
  <si>
    <t>DD-Yearn-WBTC</t>
  </si>
  <si>
    <t>Deployment - 1INCH</t>
  </si>
  <si>
    <t>TEST-MATIC</t>
  </si>
  <si>
    <t>TEST-ARBITRUM</t>
  </si>
  <si>
    <t>TEST-FANTOM</t>
  </si>
  <si>
    <t>TEST-AVALANCHE</t>
  </si>
  <si>
    <t>Category</t>
  </si>
  <si>
    <t>undeployed</t>
  </si>
  <si>
    <t>Institutional Loans</t>
  </si>
  <si>
    <t>Retail Loans</t>
  </si>
  <si>
    <t>Trust</t>
  </si>
  <si>
    <t>Exchange</t>
  </si>
  <si>
    <t>Defi</t>
  </si>
  <si>
    <t>Staking</t>
  </si>
  <si>
    <t xml:space="preserve">EAM  </t>
  </si>
  <si>
    <t xml:space="preserve">Other  </t>
  </si>
  <si>
    <t>Undeployed</t>
  </si>
  <si>
    <t>defi</t>
  </si>
  <si>
    <t>CEL</t>
  </si>
  <si>
    <t xml:space="preserve">defi </t>
  </si>
  <si>
    <t>Tier</t>
  </si>
  <si>
    <t>1.0</t>
  </si>
  <si>
    <t>4.0</t>
  </si>
  <si>
    <t>5.0</t>
  </si>
  <si>
    <t>2.0</t>
  </si>
  <si>
    <t>Default</t>
  </si>
  <si>
    <t>wBTC (Y/N)</t>
  </si>
  <si>
    <t>N</t>
  </si>
  <si>
    <t>Y</t>
  </si>
  <si>
    <t xml:space="preserve">Y  </t>
  </si>
  <si>
    <t>n</t>
  </si>
  <si>
    <t>1INCH</t>
  </si>
  <si>
    <t>3CRV</t>
  </si>
  <si>
    <t>AAVE</t>
  </si>
  <si>
    <t>ADA</t>
  </si>
  <si>
    <t xml:space="preserve"> 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</si>
  <si>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</si>
  <si>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</si>
  <si>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</si>
  <si>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</si>
  <si>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</si>
  <si>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</si>
  <si>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</si>
  <si>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</si>
  <si>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</si>
  <si>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</si>
  <si>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</si>
  <si>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</si>
  <si>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</si>
  <si>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BOND</t>
  </si>
  <si>
    <t>BOR</t>
  </si>
  <si>
    <t>BSV</t>
  </si>
  <si>
    <t>BTC</t>
  </si>
  <si>
    <t>BTG</t>
  </si>
  <si>
    <t>BUSD</t>
  </si>
  <si>
    <t>COMP</t>
  </si>
  <si>
    <t>CREAM</t>
  </si>
  <si>
    <t>CRV</t>
  </si>
  <si>
    <t>CVX</t>
  </si>
  <si>
    <t>DASH</t>
  </si>
  <si>
    <t>DIGG</t>
  </si>
  <si>
    <t>DOT</t>
  </si>
  <si>
    <t>EGLD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</si>
  <si>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</si>
  <si>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</si>
  <si>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</si>
  <si>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</si>
  <si>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</si>
  <si>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</si>
  <si>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</si>
  <si>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</si>
  <si>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</si>
  <si>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</si>
  <si>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</si>
  <si>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</si>
  <si>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</si>
  <si>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</si>
  <si>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</si>
  <si>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</si>
  <si>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</si>
  <si>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</si>
  <si>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</si>
  <si>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</si>
  <si>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</si>
  <si>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</si>
  <si>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</si>
  <si>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</si>
  <si>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</si>
  <si>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</si>
  <si>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QI</t>
  </si>
  <si>
    <t>PNT</t>
  </si>
  <si>
    <t>REN</t>
  </si>
  <si>
    <t>RENBTC</t>
  </si>
  <si>
    <t>ROOK</t>
  </si>
  <si>
    <t>SBTC</t>
  </si>
  <si>
    <t>SGA</t>
  </si>
  <si>
    <t>SGR</t>
  </si>
  <si>
    <t>SRM</t>
  </si>
  <si>
    <t>SRM_LOCKED</t>
  </si>
  <si>
    <t>SOL</t>
  </si>
  <si>
    <t>SNX</t>
  </si>
  <si>
    <t>SPARK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</si>
  <si>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</si>
  <si>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</si>
  <si>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</si>
  <si>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</si>
  <si>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</si>
  <si>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</si>
  <si>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</si>
  <si>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</si>
  <si>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</si>
  <si>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</si>
  <si>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</si>
  <si>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</si>
  <si>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</si>
  <si>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</si>
  <si>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WDGLD</t>
  </si>
  <si>
    <t>XAUT</t>
  </si>
  <si>
    <t>XLM</t>
  </si>
  <si>
    <t>XRP</t>
  </si>
  <si>
    <t>YFI</t>
  </si>
  <si>
    <t>ZEC</t>
  </si>
  <si>
    <t>ZRX</t>
  </si>
  <si>
    <t>ZUSD</t>
  </si>
  <si>
    <t>check</t>
  </si>
  <si>
    <t>iferror(sumif('Weekly Rates'!D:D,A6,'Weekly Rates'!F:F)/countif('Weekly Rates'!D:D,A6),0)</t>
  </si>
  <si>
    <t xml:space="preserve">YD-Badger-bBTC
</t>
  </si>
  <si>
    <t>YD - CONVEX - OBTC</t>
  </si>
  <si>
    <t>YD - Curve - hBTC</t>
  </si>
  <si>
    <t>YD-Badger-sBTC</t>
  </si>
  <si>
    <t>DD - Polygon - Testing</t>
  </si>
  <si>
    <t>YD - CONVEX - PBTC</t>
  </si>
  <si>
    <t>YD - Curve - AnkrETH</t>
  </si>
  <si>
    <t>YD - Curve - tricrypto2</t>
  </si>
  <si>
    <t>Yield Desk</t>
  </si>
  <si>
    <t xml:space="preserve">default </t>
  </si>
  <si>
    <t>tier name</t>
  </si>
  <si>
    <t>comment</t>
  </si>
  <si>
    <t>Check</t>
  </si>
  <si>
    <t>7-30 days</t>
  </si>
  <si>
    <t>more then 30 days</t>
  </si>
  <si>
    <t>half-2,half-3</t>
  </si>
  <si>
    <t>bla</t>
  </si>
  <si>
    <t>Collateral</t>
  </si>
  <si>
    <t>stable</t>
  </si>
  <si>
    <t>stableold</t>
  </si>
  <si>
    <t>stables</t>
  </si>
  <si>
    <t>USDT</t>
  </si>
  <si>
    <t>Total Coin Amount</t>
  </si>
  <si>
    <t>Total Earnings</t>
  </si>
  <si>
    <t>APY</t>
  </si>
  <si>
    <t>WBTC</t>
  </si>
  <si>
    <t>HBAR</t>
  </si>
  <si>
    <t>Bitfinex</t>
  </si>
  <si>
    <t>FTX -24 Hours perior to the report (Download CSV)</t>
  </si>
  <si>
    <t>Token</t>
  </si>
  <si>
    <t>Annualized</t>
  </si>
  <si>
    <t>coin</t>
  </si>
  <si>
    <t>rate</t>
  </si>
  <si>
    <t>ALGO</t>
  </si>
  <si>
    <t>BCHN</t>
  </si>
  <si>
    <t>LEO</t>
  </si>
  <si>
    <t>FTX - Directional Trading 2</t>
  </si>
  <si>
    <t>Deribit - API</t>
  </si>
  <si>
    <t>MATIC Staking 9</t>
  </si>
  <si>
    <t>Stable Coins</t>
  </si>
  <si>
    <t>POLIS</t>
  </si>
  <si>
    <t>RAY</t>
  </si>
  <si>
    <t>BOBA</t>
  </si>
  <si>
    <t>ALICE</t>
  </si>
  <si>
    <t>LRC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</si>
</sst>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mm/dd/yyyy"/>
    <numFmt numFmtId="166" formatCode="mm/dd/yy"/>
    <numFmt numFmtId="167" formatCode="0.000%"/>
    <numFmt numFmtId="168" formatCode="&quot;$&quot;#,##0"/>
  </numFmts>
  <fonts count="20">
    <font>
      <sz val="11.0"/>
      <color theme="1"/>
      <name val="Arial"/>
    </font>
    <font>
      <b/>
      <sz val="11.0"/>
      <color theme="1"/>
      <name val="Calibri"/>
    </font>
    <font>
      <sz val="11.0"/>
      <color rgb="FF222222"/>
      <name val="Roboto"/>
    </font>
    <font>
      <color theme="1"/>
      <name val="Calibri"/>
    </font>
    <font>
      <sz val="11.0"/>
      <color rgb="FF000000"/>
      <name val="Inconsolata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rgb="FF000000"/>
      <name val="Roboto"/>
    </font>
    <font>
      <color rgb="FF000000"/>
      <name val="Arial"/>
    </font>
    <font>
      <b/>
      <color theme="1"/>
      <name val="Calibri"/>
    </font>
    <font>
      <sz val="12.0"/>
      <color rgb="FF000000"/>
      <name val="Calibri"/>
    </font>
    <font>
      <b/>
      <sz val="11.0"/>
      <color rgb="FF000000"/>
      <name val="Calibri"/>
    </font>
    <font>
      <b/>
      <sz val="11.0"/>
      <color theme="1"/>
      <name val="Arial"/>
    </font>
    <font>
      <b/>
      <sz val="14.0"/>
      <color theme="1"/>
      <name val="Arial"/>
    </font>
    <font>
      <b/>
      <u/>
      <color theme="1"/>
      <name val="Calibri"/>
    </font>
    <font>
      <b/>
      <u/>
      <color theme="1"/>
      <name val="Calibri"/>
    </font>
    <font>
      <b/>
      <u/>
      <color theme="1"/>
      <name val="Calibri"/>
    </font>
    <font>
      <b/>
      <sz val="11.0"/>
      <color rgb="FF000000"/>
      <name val="Inter"/>
    </font>
    <font>
      <sz val="12.0"/>
      <color rgb="FF000000"/>
      <name val="Inte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ill="1" applyFont="1">
      <alignment readingOrder="0" vertical="bottom"/>
    </xf>
    <xf borderId="1" fillId="3" fontId="1" numFmtId="0" xfId="0" applyAlignment="1" applyBorder="1" applyFill="1" applyFont="1">
      <alignment horizontal="center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3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 readingOrder="0"/>
    </xf>
    <xf borderId="0" fillId="0" fontId="3" numFmtId="9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2" fontId="4" numFmtId="0" xfId="0" applyFont="1"/>
    <xf borderId="0" fillId="2" fontId="4" numFmtId="10" xfId="0" applyFont="1" applyNumberFormat="1"/>
    <xf borderId="0" fillId="0" fontId="5" numFmtId="10" xfId="0" applyAlignment="1" applyFont="1" applyNumberFormat="1">
      <alignment horizontal="right" readingOrder="0" vertical="bottom"/>
    </xf>
    <xf borderId="0" fillId="2" fontId="4" numFmtId="10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0" fillId="0" fontId="7" numFmtId="11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1" fillId="4" fontId="1" numFmtId="0" xfId="0" applyAlignment="1" applyBorder="1" applyFill="1" applyFont="1">
      <alignment horizontal="center" shrinkToFit="0" vertical="top" wrapText="0"/>
    </xf>
    <xf borderId="1" fillId="5" fontId="1" numFmtId="0" xfId="0" applyAlignment="1" applyBorder="1" applyFill="1" applyFont="1">
      <alignment horizontal="center" shrinkToFit="0" vertical="top" wrapText="0"/>
    </xf>
    <xf borderId="1" fillId="6" fontId="1" numFmtId="0" xfId="0" applyAlignment="1" applyBorder="1" applyFill="1" applyFont="1">
      <alignment horizontal="center" shrinkToFit="0" vertical="top" wrapText="0"/>
    </xf>
    <xf borderId="1" fillId="7" fontId="1" numFmtId="0" xfId="0" applyAlignment="1" applyBorder="1" applyFill="1" applyFont="1">
      <alignment horizontal="center" shrinkToFit="0" vertical="top" wrapText="0"/>
    </xf>
    <xf borderId="0" fillId="7" fontId="1" numFmtId="0" xfId="0" applyAlignment="1" applyFont="1">
      <alignment horizontal="center" readingOrder="0" shrinkToFit="0" vertical="top" wrapText="0"/>
    </xf>
    <xf borderId="0" fillId="7" fontId="1" numFmtId="0" xfId="0" applyAlignment="1" applyFont="1">
      <alignment horizontal="center" shrinkToFit="0" vertical="top" wrapText="0"/>
    </xf>
    <xf borderId="0" fillId="2" fontId="8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3" numFmtId="0" xfId="0" applyFont="1"/>
    <xf borderId="0" fillId="0" fontId="3" numFmtId="10" xfId="0" applyFont="1" applyNumberFormat="1"/>
    <xf borderId="0" fillId="0" fontId="1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11" numFmtId="11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11" numFmtId="10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0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4" fontId="10" numFmtId="166" xfId="0" applyAlignment="1" applyFont="1" applyNumberFormat="1">
      <alignment horizontal="center" readingOrder="0"/>
    </xf>
    <xf borderId="0" fillId="0" fontId="10" numFmtId="0" xfId="0" applyAlignment="1" applyFont="1">
      <alignment horizontal="center"/>
    </xf>
    <xf borderId="0" fillId="8" fontId="12" numFmtId="0" xfId="0" applyAlignment="1" applyFill="1" applyFont="1">
      <alignment readingOrder="0" shrinkToFit="0" vertical="bottom" wrapText="0"/>
    </xf>
    <xf borderId="0" fillId="9" fontId="13" numFmtId="0" xfId="0" applyAlignment="1" applyFill="1" applyFont="1">
      <alignment horizontal="center" readingOrder="0" shrinkToFit="0" wrapText="1"/>
    </xf>
    <xf borderId="0" fillId="10" fontId="13" numFmtId="167" xfId="0" applyAlignment="1" applyFill="1" applyFont="1" applyNumberFormat="1">
      <alignment horizontal="center" readingOrder="0" shrinkToFit="0" wrapText="1"/>
    </xf>
    <xf borderId="0" fillId="0" fontId="13" numFmtId="0" xfId="0" applyAlignment="1" applyFont="1">
      <alignment horizontal="center" shrinkToFit="0" wrapText="1"/>
    </xf>
    <xf borderId="0" fillId="10" fontId="7" numFmtId="0" xfId="0" applyAlignment="1" applyFont="1">
      <alignment readingOrder="0" shrinkToFit="0" vertical="bottom" wrapText="0"/>
    </xf>
    <xf borderId="0" fillId="10" fontId="7" numFmtId="11" xfId="0" applyAlignment="1" applyFont="1" applyNumberFormat="1">
      <alignment horizontal="right" readingOrder="0" shrinkToFit="0" vertical="bottom" wrapText="0"/>
    </xf>
    <xf borderId="0" fillId="2" fontId="14" numFmtId="10" xfId="0" applyAlignment="1" applyFont="1" applyNumberFormat="1">
      <alignment horizontal="center" vertical="bottom"/>
    </xf>
    <xf borderId="0" fillId="10" fontId="7" numFmtId="0" xfId="0" applyAlignment="1" applyFont="1">
      <alignment horizontal="right" readingOrder="0" shrinkToFit="0" vertical="bottom" wrapText="0"/>
    </xf>
    <xf borderId="0" fillId="11" fontId="13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horizontal="center"/>
    </xf>
    <xf borderId="0" fillId="0" fontId="3" numFmtId="168" xfId="0" applyFont="1" applyNumberFormat="1"/>
    <xf borderId="0" fillId="0" fontId="3" numFmtId="9" xfId="0" applyFont="1" applyNumberFormat="1"/>
    <xf borderId="0" fillId="12" fontId="3" numFmtId="0" xfId="0" applyFill="1" applyFont="1"/>
    <xf borderId="0" fillId="0" fontId="3" numFmtId="14" xfId="0" applyFont="1" applyNumberFormat="1"/>
    <xf borderId="0" fillId="12" fontId="4" numFmtId="0" xfId="0" applyFont="1"/>
    <xf borderId="0" fillId="2" fontId="4" numFmtId="0" xfId="0" applyFont="1"/>
    <xf borderId="0" fillId="0" fontId="15" numFmtId="0" xfId="0" applyAlignment="1" applyFont="1">
      <alignment readingOrder="0"/>
    </xf>
    <xf borderId="0" fillId="0" fontId="16" numFmtId="3" xfId="0" applyAlignment="1" applyFont="1" applyNumberFormat="1">
      <alignment readingOrder="0"/>
    </xf>
    <xf borderId="0" fillId="0" fontId="17" numFmtId="0" xfId="0" applyFont="1"/>
    <xf borderId="0" fillId="2" fontId="18" numFmtId="3" xfId="0" applyAlignment="1" applyFont="1" applyNumberFormat="1">
      <alignment horizontal="left" readingOrder="0"/>
    </xf>
    <xf borderId="0" fillId="2" fontId="19" numFmtId="0" xfId="0" applyAlignment="1" applyFont="1">
      <alignment horizontal="center" readingOrder="0"/>
    </xf>
    <xf borderId="0" fillId="2" fontId="18" numFmtId="0" xfId="0" applyAlignment="1" applyFont="1">
      <alignment horizontal="left" readingOrder="0"/>
    </xf>
    <xf borderId="0" fillId="2" fontId="18" numFmtId="4" xfId="0" applyAlignment="1" applyFont="1" applyNumberFormat="1">
      <alignment horizontal="left" readingOrder="0"/>
    </xf>
    <xf borderId="0" fillId="0" fontId="3" numFmtId="3" xfId="0" applyAlignment="1" applyFont="1" applyNumberFormat="1">
      <alignment readingOrder="0"/>
    </xf>
    <xf borderId="0" fillId="0" fontId="3" numFmtId="3" xfId="0" applyFont="1" applyNumberFormat="1"/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3" width="13.25"/>
    <col customWidth="1" min="4" max="4" width="19.13"/>
    <col customWidth="1" min="5" max="6" width="9.75"/>
    <col customWidth="1" min="7" max="7" width="10.63"/>
    <col customWidth="1" min="8" max="8" width="8.25"/>
    <col customWidth="1" min="9" max="9" width="8.63"/>
    <col customWidth="1" min="10" max="10" width="13.88"/>
    <col customWidth="1" min="11" max="11" width="9.25"/>
    <col customWidth="1" min="12" max="12" width="9.13"/>
    <col customWidth="1" min="13" max="13" width="8.25"/>
    <col customWidth="1" min="14" max="14" width="6.38"/>
    <col customWidth="1" min="15" max="15" width="17.88"/>
    <col customWidth="1" min="16" max="17" width="14.75"/>
    <col customWidth="1" min="18" max="21" width="7.75"/>
    <col customWidth="1" min="22" max="22" width="29.25"/>
    <col customWidth="1" min="23" max="26" width="7.75"/>
    <col customWidth="1" min="27" max="27" width="8.5"/>
    <col customWidth="1" min="28" max="28" width="8.63"/>
    <col customWidth="1" min="29" max="29" width="13.63"/>
    <col customWidth="1" min="30" max="30" width="12.38"/>
    <col customWidth="1" min="31" max="31" width="9.38"/>
    <col customWidth="1" min="32" max="32" width="12.25"/>
    <col customWidth="1" min="33" max="33" width="15.75"/>
    <col customWidth="1" min="34" max="34" width="18.38"/>
    <col customWidth="1" min="35" max="35" width="11.38"/>
    <col customWidth="1" min="36" max="36" width="12.38"/>
    <col customWidth="1" min="37" max="37" width="11.88"/>
    <col customWidth="1" min="38" max="38" width="11.75"/>
    <col customWidth="1" min="39" max="39" width="10.25"/>
    <col customWidth="1" min="40" max="40" width="10.0"/>
    <col customWidth="1" min="41" max="41" width="13.0"/>
    <col customWidth="1" min="42" max="42" width="12.25"/>
    <col customWidth="1" min="43" max="43" width="11.5"/>
    <col customWidth="1" min="44" max="44" width="6.38"/>
    <col customWidth="1" min="45" max="45" width="12.63"/>
    <col customWidth="1" min="46" max="46" width="11.63"/>
    <col customWidth="1" min="47" max="47" width="7.88"/>
    <col customWidth="1" min="48" max="48" width="12.0"/>
    <col customWidth="1" min="49" max="49" width="8.0"/>
    <col customWidth="1" min="50" max="50" width="6.38"/>
    <col customWidth="1" min="51" max="51" width="5.5"/>
    <col customWidth="1" min="52" max="52" width="16.38"/>
    <col customWidth="1" min="53" max="53" width="22.13"/>
    <col customWidth="1" min="54" max="54" width="6.88"/>
    <col customWidth="1" min="55" max="55" width="19.63"/>
    <col customWidth="1" min="56" max="56" width="19.75"/>
    <col customWidth="1" min="57" max="57" width="14.63"/>
    <col customWidth="1" min="58" max="59" width="9.63"/>
    <col customWidth="1" min="60" max="60" width="11.88"/>
    <col customWidth="1" min="61" max="61" width="16.25"/>
    <col customWidth="1" min="62" max="62" width="13.25"/>
    <col customWidth="1" min="63" max="63" width="19.5"/>
    <col customWidth="1" min="64" max="64" width="15.5"/>
    <col customWidth="1" min="65" max="65" width="17.0"/>
    <col customWidth="1" min="66" max="66" width="15.25"/>
    <col customWidth="1" min="67" max="67" width="15.5"/>
    <col customWidth="1" min="68" max="68" width="16.38"/>
    <col customWidth="1" min="69" max="70" width="14.13"/>
    <col customWidth="1" min="71" max="71" width="21.5"/>
    <col customWidth="1" min="72" max="72" width="15.75"/>
    <col customWidth="1" min="73" max="73" width="16.13"/>
    <col customWidth="1" min="74" max="74" width="14.0"/>
    <col customWidth="1" min="75" max="75" width="15.63"/>
    <col customWidth="1" min="76" max="76" width="17.5"/>
    <col customWidth="1" min="77" max="77" width="16.38"/>
    <col customWidth="1" min="78" max="78" width="17.0"/>
    <col customWidth="1" min="79" max="79" width="16.5"/>
    <col customWidth="1" min="80" max="80" width="16.25"/>
    <col customWidth="1" min="81" max="81" width="16.63"/>
    <col customWidth="1" min="82" max="82" width="15.5"/>
    <col customWidth="1" min="83" max="83" width="16.13"/>
    <col customWidth="1" min="84" max="84" width="17.13"/>
    <col customWidth="1" min="85" max="85" width="15.0"/>
    <col customWidth="1" min="86" max="86" width="18.63"/>
    <col customWidth="1" min="87" max="87" width="14.13"/>
    <col customWidth="1" min="88" max="88" width="15.38"/>
    <col customWidth="1" min="89" max="89" width="23.13"/>
    <col customWidth="1" min="90" max="90" width="14.63"/>
    <col customWidth="1" min="91" max="91" width="14.0"/>
    <col customWidth="1" min="92" max="92" width="14.63"/>
    <col customWidth="1" min="93" max="93" width="20.0"/>
    <col customWidth="1" min="94" max="94" width="15.13"/>
    <col customWidth="1" min="95" max="95" width="16.25"/>
    <col customWidth="1" min="96" max="96" width="15.0"/>
    <col customWidth="1" min="97" max="97" width="25.5"/>
    <col customWidth="1" min="98" max="98" width="26.38"/>
    <col customWidth="1" min="99" max="99" width="22.0"/>
    <col customWidth="1" min="100" max="100" width="12.0"/>
    <col customWidth="1" min="101" max="101" width="16.0"/>
    <col customWidth="1" min="102" max="102" width="10.0"/>
    <col customWidth="1" min="103" max="103" width="14.25"/>
    <col customWidth="1" min="104" max="104" width="14.88"/>
    <col customWidth="1" min="105" max="105" width="15.38"/>
    <col customWidth="1" min="106" max="126" width="19.13"/>
    <col customWidth="1" min="127" max="127" width="29.25"/>
    <col customWidth="1" min="128" max="140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2">
        <v>2.0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2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2" t="s">
        <v>72</v>
      </c>
      <c r="BW1" s="1" t="s">
        <v>73</v>
      </c>
      <c r="BX1" s="2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1" t="s">
        <v>80</v>
      </c>
      <c r="CE1" s="2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2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</row>
    <row r="2">
      <c r="A2" s="7" t="s">
        <v>139</v>
      </c>
      <c r="B2" s="7" t="s">
        <v>140</v>
      </c>
      <c r="C2" s="7" t="s">
        <v>140</v>
      </c>
      <c r="D2" s="7" t="s">
        <v>140</v>
      </c>
      <c r="E2" s="7" t="s">
        <v>140</v>
      </c>
      <c r="F2" s="7" t="s">
        <v>140</v>
      </c>
      <c r="G2" s="7" t="s">
        <v>6</v>
      </c>
      <c r="H2" s="7" t="s">
        <v>7</v>
      </c>
      <c r="I2" s="7" t="s">
        <v>141</v>
      </c>
      <c r="J2" s="7" t="s">
        <v>9</v>
      </c>
      <c r="K2" s="7" t="s">
        <v>140</v>
      </c>
      <c r="L2" s="7" t="s">
        <v>142</v>
      </c>
      <c r="M2" s="7" t="s">
        <v>143</v>
      </c>
      <c r="N2" s="7" t="s">
        <v>143</v>
      </c>
      <c r="O2" s="7" t="s">
        <v>144</v>
      </c>
      <c r="P2" s="7" t="s">
        <v>9</v>
      </c>
      <c r="Q2" s="7" t="s">
        <v>144</v>
      </c>
      <c r="R2" s="7" t="s">
        <v>145</v>
      </c>
      <c r="S2" s="7" t="s">
        <v>144</v>
      </c>
      <c r="T2" s="7" t="s">
        <v>144</v>
      </c>
      <c r="U2" s="7" t="s">
        <v>144</v>
      </c>
      <c r="V2" s="7" t="s">
        <v>144</v>
      </c>
      <c r="W2" s="7" t="s">
        <v>144</v>
      </c>
      <c r="X2" s="7" t="s">
        <v>144</v>
      </c>
      <c r="Y2" s="7" t="s">
        <v>140</v>
      </c>
      <c r="Z2" s="7" t="s">
        <v>144</v>
      </c>
      <c r="AA2" s="7" t="s">
        <v>144</v>
      </c>
      <c r="AB2" s="7" t="s">
        <v>144</v>
      </c>
      <c r="AC2" s="7" t="s">
        <v>144</v>
      </c>
      <c r="AD2" s="7" t="s">
        <v>144</v>
      </c>
      <c r="AE2" s="7" t="s">
        <v>144</v>
      </c>
      <c r="AF2" s="7" t="s">
        <v>144</v>
      </c>
      <c r="AG2" s="7" t="s">
        <v>144</v>
      </c>
      <c r="AH2" s="7" t="s">
        <v>144</v>
      </c>
      <c r="AI2" s="7" t="s">
        <v>144</v>
      </c>
      <c r="AJ2" s="7" t="s">
        <v>144</v>
      </c>
      <c r="AK2" s="7" t="s">
        <v>144</v>
      </c>
      <c r="AL2" s="7" t="s">
        <v>144</v>
      </c>
      <c r="AM2" s="7" t="s">
        <v>144</v>
      </c>
      <c r="AN2" s="7" t="s">
        <v>146</v>
      </c>
      <c r="AO2" s="7" t="s">
        <v>146</v>
      </c>
      <c r="AP2" s="7" t="s">
        <v>146</v>
      </c>
      <c r="AQ2" s="7" t="s">
        <v>146</v>
      </c>
      <c r="AR2" s="7" t="s">
        <v>42</v>
      </c>
      <c r="AS2" s="7" t="s">
        <v>147</v>
      </c>
      <c r="AT2" s="7" t="s">
        <v>148</v>
      </c>
      <c r="AU2" s="7" t="s">
        <v>144</v>
      </c>
      <c r="AV2" s="7" t="s">
        <v>144</v>
      </c>
      <c r="AW2" s="7" t="s">
        <v>144</v>
      </c>
      <c r="AX2" s="7" t="s">
        <v>144</v>
      </c>
      <c r="AY2" s="7" t="s">
        <v>144</v>
      </c>
      <c r="AZ2" s="7" t="s">
        <v>145</v>
      </c>
      <c r="BA2" s="7" t="s">
        <v>145</v>
      </c>
      <c r="BB2" s="7" t="s">
        <v>145</v>
      </c>
      <c r="BC2" s="8" t="s">
        <v>9</v>
      </c>
      <c r="BD2" s="7" t="s">
        <v>145</v>
      </c>
      <c r="BE2" s="7" t="s">
        <v>149</v>
      </c>
      <c r="BF2" s="7" t="s">
        <v>145</v>
      </c>
      <c r="BG2" s="7" t="s">
        <v>145</v>
      </c>
      <c r="BH2" s="7" t="s">
        <v>145</v>
      </c>
      <c r="BI2" s="7" t="s">
        <v>145</v>
      </c>
      <c r="BJ2" s="7" t="s">
        <v>145</v>
      </c>
      <c r="BK2" s="7" t="s">
        <v>145</v>
      </c>
      <c r="BL2" s="7" t="s">
        <v>145</v>
      </c>
      <c r="BM2" s="8" t="s">
        <v>9</v>
      </c>
      <c r="BN2" s="7" t="s">
        <v>145</v>
      </c>
      <c r="BO2" s="7" t="s">
        <v>145</v>
      </c>
      <c r="BP2" s="7" t="s">
        <v>145</v>
      </c>
      <c r="BQ2" s="7" t="s">
        <v>145</v>
      </c>
      <c r="BR2" s="7" t="s">
        <v>145</v>
      </c>
      <c r="BS2" s="7" t="s">
        <v>145</v>
      </c>
      <c r="BT2" s="7" t="s">
        <v>145</v>
      </c>
      <c r="BU2" s="7" t="s">
        <v>145</v>
      </c>
      <c r="BV2" s="7" t="s">
        <v>145</v>
      </c>
      <c r="BW2" s="7" t="s">
        <v>145</v>
      </c>
      <c r="BX2" s="7" t="s">
        <v>145</v>
      </c>
      <c r="BY2" s="7" t="s">
        <v>145</v>
      </c>
      <c r="BZ2" s="7" t="s">
        <v>145</v>
      </c>
      <c r="CA2" s="7" t="s">
        <v>145</v>
      </c>
      <c r="CB2" s="7" t="s">
        <v>145</v>
      </c>
      <c r="CC2" s="7" t="s">
        <v>145</v>
      </c>
      <c r="CD2" s="7" t="s">
        <v>145</v>
      </c>
      <c r="CE2" s="7" t="s">
        <v>145</v>
      </c>
      <c r="CF2" s="7" t="s">
        <v>145</v>
      </c>
      <c r="CG2" s="7" t="s">
        <v>145</v>
      </c>
      <c r="CH2" s="7" t="s">
        <v>145</v>
      </c>
      <c r="CI2" s="7" t="s">
        <v>145</v>
      </c>
      <c r="CJ2" s="7" t="s">
        <v>145</v>
      </c>
      <c r="CK2" s="7" t="s">
        <v>145</v>
      </c>
      <c r="CL2" s="7" t="s">
        <v>145</v>
      </c>
      <c r="CM2" s="7" t="s">
        <v>145</v>
      </c>
      <c r="CN2" s="7" t="s">
        <v>145</v>
      </c>
      <c r="CO2" s="7" t="s">
        <v>146</v>
      </c>
      <c r="CP2" s="7" t="s">
        <v>145</v>
      </c>
      <c r="CQ2" s="7" t="s">
        <v>145</v>
      </c>
      <c r="CR2" s="7" t="s">
        <v>145</v>
      </c>
      <c r="CS2" s="7" t="s">
        <v>145</v>
      </c>
      <c r="CT2" s="7" t="s">
        <v>145</v>
      </c>
      <c r="CU2" s="7" t="s">
        <v>145</v>
      </c>
      <c r="CV2" s="7" t="s">
        <v>145</v>
      </c>
      <c r="CW2" s="7" t="s">
        <v>145</v>
      </c>
      <c r="CX2" s="7" t="s">
        <v>145</v>
      </c>
      <c r="CY2" s="7" t="s">
        <v>145</v>
      </c>
      <c r="CZ2" s="7" t="s">
        <v>145</v>
      </c>
      <c r="DA2" s="7" t="s">
        <v>145</v>
      </c>
      <c r="DB2" s="7" t="s">
        <v>145</v>
      </c>
      <c r="DC2" s="7" t="s">
        <v>144</v>
      </c>
      <c r="DD2" s="7" t="s">
        <v>145</v>
      </c>
      <c r="DE2" s="7" t="s">
        <v>145</v>
      </c>
      <c r="DF2" s="7" t="s">
        <v>145</v>
      </c>
      <c r="DG2" s="7" t="s">
        <v>145</v>
      </c>
      <c r="DH2" s="7" t="s">
        <v>145</v>
      </c>
      <c r="DI2" s="7" t="s">
        <v>145</v>
      </c>
      <c r="DJ2" s="7" t="s">
        <v>145</v>
      </c>
      <c r="DK2" s="7" t="s">
        <v>145</v>
      </c>
      <c r="DL2" s="7" t="s">
        <v>146</v>
      </c>
      <c r="DM2" s="7" t="s">
        <v>145</v>
      </c>
      <c r="DN2" s="7" t="s">
        <v>145</v>
      </c>
      <c r="DO2" s="7" t="s">
        <v>145</v>
      </c>
      <c r="DP2" s="7" t="s">
        <v>145</v>
      </c>
      <c r="DQ2" s="7" t="s">
        <v>145</v>
      </c>
      <c r="DR2" s="7" t="s">
        <v>145</v>
      </c>
      <c r="DS2" s="7" t="s">
        <v>145</v>
      </c>
      <c r="DT2" s="7" t="s">
        <v>146</v>
      </c>
      <c r="DU2" s="7" t="s">
        <v>145</v>
      </c>
      <c r="DV2" s="7" t="s">
        <v>150</v>
      </c>
      <c r="DW2" s="7" t="s">
        <v>150</v>
      </c>
      <c r="DX2" s="7" t="s">
        <v>151</v>
      </c>
      <c r="DY2" s="7" t="s">
        <v>150</v>
      </c>
      <c r="DZ2" s="7" t="s">
        <v>150</v>
      </c>
      <c r="EA2" s="7" t="s">
        <v>150</v>
      </c>
      <c r="EB2" s="7" t="s">
        <v>150</v>
      </c>
      <c r="EC2" s="7" t="s">
        <v>150</v>
      </c>
      <c r="ED2" s="7" t="s">
        <v>150</v>
      </c>
      <c r="EE2" s="7" t="s">
        <v>150</v>
      </c>
      <c r="EF2" s="7" t="s">
        <v>150</v>
      </c>
      <c r="EG2" s="7" t="s">
        <v>152</v>
      </c>
      <c r="EH2" s="7" t="s">
        <v>152</v>
      </c>
      <c r="EI2" s="7" t="s">
        <v>150</v>
      </c>
      <c r="EJ2" s="7" t="s">
        <v>150</v>
      </c>
    </row>
    <row r="3">
      <c r="A3" s="9" t="s">
        <v>153</v>
      </c>
      <c r="B3" s="9" t="s">
        <v>154</v>
      </c>
      <c r="C3" s="9" t="s">
        <v>154</v>
      </c>
      <c r="D3" s="9" t="s">
        <v>154</v>
      </c>
      <c r="E3" s="9" t="s">
        <v>154</v>
      </c>
      <c r="F3" s="9" t="s">
        <v>154</v>
      </c>
      <c r="G3" s="9" t="s">
        <v>154</v>
      </c>
      <c r="H3" s="9" t="s">
        <v>154</v>
      </c>
      <c r="I3" s="9" t="s">
        <v>155</v>
      </c>
      <c r="J3" s="9" t="s">
        <v>156</v>
      </c>
      <c r="K3" s="9" t="s">
        <v>156</v>
      </c>
      <c r="L3" s="9" t="s">
        <v>156</v>
      </c>
      <c r="M3" s="9" t="s">
        <v>156</v>
      </c>
      <c r="N3" s="9" t="s">
        <v>156</v>
      </c>
      <c r="O3" s="9" t="s">
        <v>155</v>
      </c>
      <c r="P3" s="9" t="s">
        <v>155</v>
      </c>
      <c r="Q3" s="9" t="s">
        <v>155</v>
      </c>
      <c r="R3" s="10">
        <v>2.0</v>
      </c>
      <c r="S3" s="9" t="s">
        <v>155</v>
      </c>
      <c r="T3" s="9" t="s">
        <v>155</v>
      </c>
      <c r="U3" s="9" t="s">
        <v>155</v>
      </c>
      <c r="V3" s="9" t="s">
        <v>155</v>
      </c>
      <c r="W3" s="9" t="s">
        <v>155</v>
      </c>
      <c r="X3" s="9" t="s">
        <v>155</v>
      </c>
      <c r="Y3" s="7">
        <v>2.0</v>
      </c>
      <c r="Z3" s="9" t="s">
        <v>155</v>
      </c>
      <c r="AA3" s="9" t="s">
        <v>155</v>
      </c>
      <c r="AB3" s="9" t="s">
        <v>155</v>
      </c>
      <c r="AC3" s="9" t="s">
        <v>155</v>
      </c>
      <c r="AD3" s="7">
        <v>2.0</v>
      </c>
      <c r="AE3" s="7">
        <v>2.0</v>
      </c>
      <c r="AF3" s="9" t="s">
        <v>155</v>
      </c>
      <c r="AG3" s="9" t="s">
        <v>155</v>
      </c>
      <c r="AH3" s="9" t="s">
        <v>155</v>
      </c>
      <c r="AI3" s="9" t="s">
        <v>155</v>
      </c>
      <c r="AJ3" s="9" t="s">
        <v>157</v>
      </c>
      <c r="AK3" s="9" t="s">
        <v>157</v>
      </c>
      <c r="AL3" s="9" t="s">
        <v>156</v>
      </c>
      <c r="AM3" s="9" t="s">
        <v>156</v>
      </c>
      <c r="AN3" s="9" t="s">
        <v>156</v>
      </c>
      <c r="AO3" s="9" t="s">
        <v>156</v>
      </c>
      <c r="AP3" s="7">
        <v>2.0</v>
      </c>
      <c r="AQ3" s="9" t="s">
        <v>156</v>
      </c>
      <c r="AR3" s="9" t="s">
        <v>156</v>
      </c>
      <c r="AS3" s="9" t="s">
        <v>155</v>
      </c>
      <c r="AT3" s="9" t="s">
        <v>156</v>
      </c>
      <c r="AU3" s="7">
        <v>4.0</v>
      </c>
      <c r="AV3" s="9" t="s">
        <v>156</v>
      </c>
      <c r="AW3" s="9" t="s">
        <v>156</v>
      </c>
      <c r="AX3" s="9" t="s">
        <v>155</v>
      </c>
      <c r="AY3" s="9" t="s">
        <v>156</v>
      </c>
      <c r="AZ3" s="9" t="s">
        <v>157</v>
      </c>
      <c r="BA3" s="9" t="s">
        <v>156</v>
      </c>
      <c r="BB3" s="9" t="s">
        <v>157</v>
      </c>
      <c r="BC3" s="9" t="s">
        <v>156</v>
      </c>
      <c r="BD3" s="9" t="s">
        <v>157</v>
      </c>
      <c r="BE3" s="9" t="s">
        <v>154</v>
      </c>
      <c r="BF3" s="9" t="s">
        <v>156</v>
      </c>
      <c r="BG3" s="9" t="s">
        <v>156</v>
      </c>
      <c r="BH3" s="9" t="s">
        <v>157</v>
      </c>
      <c r="BI3" s="9" t="s">
        <v>157</v>
      </c>
      <c r="BJ3" s="9" t="s">
        <v>156</v>
      </c>
      <c r="BK3" s="9" t="s">
        <v>157</v>
      </c>
      <c r="BL3" s="9" t="s">
        <v>157</v>
      </c>
      <c r="BM3" s="9" t="s">
        <v>155</v>
      </c>
      <c r="BN3" s="9" t="s">
        <v>157</v>
      </c>
      <c r="BO3" s="9" t="s">
        <v>157</v>
      </c>
      <c r="BP3" s="9" t="s">
        <v>157</v>
      </c>
      <c r="BQ3" s="9" t="s">
        <v>157</v>
      </c>
      <c r="BR3" s="9" t="s">
        <v>157</v>
      </c>
      <c r="BS3" s="9" t="s">
        <v>157</v>
      </c>
      <c r="BT3" s="9" t="s">
        <v>157</v>
      </c>
      <c r="BU3" s="9" t="s">
        <v>157</v>
      </c>
      <c r="BV3" s="11">
        <v>5.0</v>
      </c>
      <c r="BW3" s="9" t="s">
        <v>157</v>
      </c>
      <c r="BX3" s="11">
        <v>3.0</v>
      </c>
      <c r="BY3" s="9" t="s">
        <v>157</v>
      </c>
      <c r="BZ3" s="9" t="s">
        <v>157</v>
      </c>
      <c r="CA3" s="9" t="s">
        <v>157</v>
      </c>
      <c r="CB3" s="9" t="s">
        <v>157</v>
      </c>
      <c r="CC3" s="7">
        <v>4.0</v>
      </c>
      <c r="CD3" s="9" t="s">
        <v>157</v>
      </c>
      <c r="CE3" s="9" t="s">
        <v>157</v>
      </c>
      <c r="CF3" s="9" t="s">
        <v>157</v>
      </c>
      <c r="CG3" s="9" t="s">
        <v>157</v>
      </c>
      <c r="CH3" s="9" t="s">
        <v>157</v>
      </c>
      <c r="CI3" s="9" t="s">
        <v>157</v>
      </c>
      <c r="CJ3" s="9" t="s">
        <v>157</v>
      </c>
      <c r="CK3" s="7">
        <v>4.0</v>
      </c>
      <c r="CL3" s="9" t="s">
        <v>157</v>
      </c>
      <c r="CM3" s="9" t="s">
        <v>157</v>
      </c>
      <c r="CN3" s="9" t="s">
        <v>157</v>
      </c>
      <c r="CO3" s="9" t="s">
        <v>156</v>
      </c>
      <c r="CP3" s="9" t="s">
        <v>157</v>
      </c>
      <c r="CQ3" s="9" t="s">
        <v>157</v>
      </c>
      <c r="CR3" s="9" t="s">
        <v>157</v>
      </c>
      <c r="CS3" s="9" t="s">
        <v>157</v>
      </c>
      <c r="CT3" s="9" t="s">
        <v>157</v>
      </c>
      <c r="CU3" s="9" t="s">
        <v>157</v>
      </c>
      <c r="CV3" s="9" t="s">
        <v>157</v>
      </c>
      <c r="CW3" s="9" t="s">
        <v>155</v>
      </c>
      <c r="CX3" s="9" t="s">
        <v>156</v>
      </c>
      <c r="CY3" s="9" t="s">
        <v>157</v>
      </c>
      <c r="CZ3" s="9" t="s">
        <v>157</v>
      </c>
      <c r="DA3" s="9" t="s">
        <v>157</v>
      </c>
      <c r="DB3" s="9" t="s">
        <v>157</v>
      </c>
      <c r="DC3" s="7">
        <v>5.0</v>
      </c>
      <c r="DD3" s="7">
        <v>2.0</v>
      </c>
      <c r="DE3" s="7">
        <v>2.0</v>
      </c>
      <c r="DF3" s="7">
        <v>2.0</v>
      </c>
      <c r="DG3" s="7">
        <v>2.0</v>
      </c>
      <c r="DH3" s="7">
        <v>2.0</v>
      </c>
      <c r="DI3" s="7">
        <v>2.0</v>
      </c>
      <c r="DJ3" s="7">
        <v>2.0</v>
      </c>
      <c r="DK3" s="7">
        <v>2.0</v>
      </c>
      <c r="DL3" s="7">
        <v>5.0</v>
      </c>
      <c r="DM3" s="7">
        <v>2.0</v>
      </c>
      <c r="DN3" s="7">
        <v>5.0</v>
      </c>
      <c r="DO3" s="7">
        <v>5.0</v>
      </c>
      <c r="DP3" s="7">
        <v>5.0</v>
      </c>
      <c r="DQ3" s="7">
        <v>5.0</v>
      </c>
      <c r="DR3" s="7">
        <v>5.0</v>
      </c>
      <c r="DS3" s="7">
        <v>5.0</v>
      </c>
      <c r="DT3" s="7">
        <v>5.0</v>
      </c>
      <c r="DU3" s="7">
        <v>4.0</v>
      </c>
      <c r="DV3" s="7">
        <v>2.0</v>
      </c>
      <c r="DW3" s="7">
        <v>2.0</v>
      </c>
      <c r="DX3" s="7">
        <v>5.0</v>
      </c>
      <c r="DY3" s="7">
        <v>2.0</v>
      </c>
      <c r="DZ3" s="7">
        <v>2.0</v>
      </c>
      <c r="EA3" s="7">
        <v>2.0</v>
      </c>
      <c r="EB3" s="7">
        <v>2.0</v>
      </c>
      <c r="EC3" s="7">
        <v>1.0</v>
      </c>
      <c r="ED3" s="7">
        <v>2.0</v>
      </c>
      <c r="EE3" s="7">
        <v>2.0</v>
      </c>
      <c r="EF3" s="7">
        <v>2.0</v>
      </c>
      <c r="EG3" s="7">
        <v>2.0</v>
      </c>
      <c r="EH3" s="7">
        <v>2.0</v>
      </c>
      <c r="EI3" s="7">
        <v>2.0</v>
      </c>
      <c r="EJ3" s="7">
        <v>2.0</v>
      </c>
    </row>
    <row r="4">
      <c r="A4" s="7" t="s">
        <v>158</v>
      </c>
      <c r="B4" s="7"/>
      <c r="C4" s="12">
        <v>0.0</v>
      </c>
      <c r="D4" s="7"/>
      <c r="E4" s="7"/>
      <c r="F4" s="7"/>
      <c r="G4" s="7"/>
      <c r="H4" s="7"/>
      <c r="I4" s="7"/>
      <c r="J4" s="7"/>
      <c r="K4" s="7"/>
      <c r="L4" s="7"/>
      <c r="M4" s="7">
        <v>0.0</v>
      </c>
      <c r="N4" s="7"/>
      <c r="O4" s="13">
        <f>IFERROR(__xludf.DUMMYFUNCTION("QUERY(Import_from_CeFi_dashboard!E3)"),0.03932233525769856)</f>
        <v>0.03932233526</v>
      </c>
      <c r="P4" s="7">
        <v>0.0</v>
      </c>
      <c r="Q4" s="7"/>
      <c r="R4" s="7"/>
      <c r="S4" s="7"/>
      <c r="T4" s="7"/>
      <c r="U4" s="7"/>
      <c r="V4" s="14" t="str">
        <f>IFERROR(__xludf.DUMMYFUNCTION("QUERY(Import_from_CeFi_dashboard!E6)"),"#N/A")</f>
        <v>#N/A</v>
      </c>
      <c r="W4" s="7"/>
      <c r="X4" s="7"/>
      <c r="Y4" s="7">
        <v>0.0</v>
      </c>
      <c r="Z4" s="7"/>
      <c r="AA4" s="7"/>
      <c r="AB4" s="13">
        <f>IFERROR(__xludf.DUMMYFUNCTION("QUERY(Import_from_CeFi_dashboard!E5)"),0.19578678333826127)</f>
        <v>0.1957867833</v>
      </c>
      <c r="AC4" s="7"/>
      <c r="AD4" s="7"/>
      <c r="AE4" s="7"/>
      <c r="AF4" s="7"/>
      <c r="AG4" s="7"/>
      <c r="AH4" s="15">
        <f>IFERROR(__xludf.DUMMYFUNCTION("QUERY(Import_from_CeFi_dashboard!E4)"),0.581706333024872)</f>
        <v>0.581706333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>
        <v>0.0</v>
      </c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</row>
    <row r="5">
      <c r="A5" s="7" t="s">
        <v>159</v>
      </c>
      <c r="B5" s="7" t="s">
        <v>160</v>
      </c>
      <c r="C5" s="7" t="s">
        <v>160</v>
      </c>
      <c r="D5" s="7" t="s">
        <v>160</v>
      </c>
      <c r="E5" s="7" t="s">
        <v>160</v>
      </c>
      <c r="F5" s="7" t="s">
        <v>160</v>
      </c>
      <c r="G5" s="7" t="s">
        <v>160</v>
      </c>
      <c r="H5" s="7" t="s">
        <v>160</v>
      </c>
      <c r="I5" s="7" t="s">
        <v>160</v>
      </c>
      <c r="J5" s="7" t="s">
        <v>160</v>
      </c>
      <c r="K5" s="7" t="s">
        <v>160</v>
      </c>
      <c r="L5" s="7" t="s">
        <v>160</v>
      </c>
      <c r="M5" s="7" t="s">
        <v>160</v>
      </c>
      <c r="N5" s="7" t="s">
        <v>160</v>
      </c>
      <c r="O5" s="7" t="s">
        <v>160</v>
      </c>
      <c r="P5" s="7" t="s">
        <v>160</v>
      </c>
      <c r="Q5" s="7" t="s">
        <v>160</v>
      </c>
      <c r="R5" s="7" t="s">
        <v>161</v>
      </c>
      <c r="S5" s="7" t="s">
        <v>160</v>
      </c>
      <c r="T5" s="7" t="s">
        <v>160</v>
      </c>
      <c r="U5" s="7" t="s">
        <v>160</v>
      </c>
      <c r="V5" s="7" t="s">
        <v>160</v>
      </c>
      <c r="W5" s="7" t="s">
        <v>160</v>
      </c>
      <c r="X5" s="7" t="s">
        <v>160</v>
      </c>
      <c r="Y5" s="7" t="s">
        <v>160</v>
      </c>
      <c r="Z5" s="7" t="s">
        <v>160</v>
      </c>
      <c r="AA5" s="7" t="s">
        <v>160</v>
      </c>
      <c r="AB5" s="7" t="s">
        <v>160</v>
      </c>
      <c r="AC5" s="7" t="s">
        <v>160</v>
      </c>
      <c r="AD5" s="7" t="s">
        <v>160</v>
      </c>
      <c r="AE5" s="7" t="s">
        <v>160</v>
      </c>
      <c r="AF5" s="7" t="s">
        <v>160</v>
      </c>
      <c r="AG5" s="7" t="s">
        <v>160</v>
      </c>
      <c r="AH5" s="7" t="s">
        <v>160</v>
      </c>
      <c r="AI5" s="7" t="s">
        <v>160</v>
      </c>
      <c r="AJ5" s="7" t="s">
        <v>160</v>
      </c>
      <c r="AK5" s="7" t="s">
        <v>160</v>
      </c>
      <c r="AL5" s="7" t="s">
        <v>160</v>
      </c>
      <c r="AM5" s="7" t="s">
        <v>160</v>
      </c>
      <c r="AN5" s="7" t="s">
        <v>160</v>
      </c>
      <c r="AO5" s="7" t="s">
        <v>160</v>
      </c>
      <c r="AP5" s="7" t="s">
        <v>160</v>
      </c>
      <c r="AQ5" s="7" t="s">
        <v>160</v>
      </c>
      <c r="AR5" s="7" t="s">
        <v>160</v>
      </c>
      <c r="AS5" s="7" t="s">
        <v>161</v>
      </c>
      <c r="AT5" s="7" t="s">
        <v>160</v>
      </c>
      <c r="AU5" s="7" t="s">
        <v>160</v>
      </c>
      <c r="AV5" s="7" t="s">
        <v>160</v>
      </c>
      <c r="AW5" s="7" t="s">
        <v>160</v>
      </c>
      <c r="AX5" s="7" t="s">
        <v>160</v>
      </c>
      <c r="AY5" s="7" t="s">
        <v>160</v>
      </c>
      <c r="AZ5" s="7" t="s">
        <v>162</v>
      </c>
      <c r="BA5" s="7" t="s">
        <v>161</v>
      </c>
      <c r="BB5" s="7" t="s">
        <v>161</v>
      </c>
      <c r="BC5" s="7" t="s">
        <v>161</v>
      </c>
      <c r="BD5" s="7" t="s">
        <v>161</v>
      </c>
      <c r="BE5" s="7" t="s">
        <v>161</v>
      </c>
      <c r="BF5" s="7" t="s">
        <v>161</v>
      </c>
      <c r="BG5" s="7" t="s">
        <v>161</v>
      </c>
      <c r="BH5" s="7" t="s">
        <v>161</v>
      </c>
      <c r="BI5" s="7" t="s">
        <v>161</v>
      </c>
      <c r="BJ5" s="7" t="s">
        <v>161</v>
      </c>
      <c r="BK5" s="7" t="s">
        <v>161</v>
      </c>
      <c r="BL5" s="7" t="s">
        <v>161</v>
      </c>
      <c r="BM5" s="7" t="s">
        <v>161</v>
      </c>
      <c r="BN5" s="7" t="s">
        <v>161</v>
      </c>
      <c r="BO5" s="7" t="s">
        <v>161</v>
      </c>
      <c r="BP5" s="7" t="s">
        <v>161</v>
      </c>
      <c r="BQ5" s="7" t="s">
        <v>161</v>
      </c>
      <c r="BR5" s="7" t="s">
        <v>161</v>
      </c>
      <c r="BS5" s="7" t="s">
        <v>161</v>
      </c>
      <c r="BT5" s="7" t="s">
        <v>161</v>
      </c>
      <c r="BU5" s="7" t="s">
        <v>161</v>
      </c>
      <c r="BV5" s="7" t="s">
        <v>161</v>
      </c>
      <c r="BW5" s="7" t="s">
        <v>161</v>
      </c>
      <c r="BX5" s="7" t="s">
        <v>161</v>
      </c>
      <c r="BY5" s="7" t="s">
        <v>161</v>
      </c>
      <c r="BZ5" s="7" t="s">
        <v>161</v>
      </c>
      <c r="CA5" s="7" t="s">
        <v>161</v>
      </c>
      <c r="CB5" s="7" t="s">
        <v>161</v>
      </c>
      <c r="CC5" s="7" t="s">
        <v>161</v>
      </c>
      <c r="CD5" s="7" t="s">
        <v>161</v>
      </c>
      <c r="CE5" s="7" t="s">
        <v>161</v>
      </c>
      <c r="CF5" s="7" t="s">
        <v>161</v>
      </c>
      <c r="CG5" s="7" t="s">
        <v>161</v>
      </c>
      <c r="CH5" s="7" t="s">
        <v>161</v>
      </c>
      <c r="CI5" s="7" t="s">
        <v>161</v>
      </c>
      <c r="CJ5" s="7" t="s">
        <v>161</v>
      </c>
      <c r="CK5" s="7" t="s">
        <v>161</v>
      </c>
      <c r="CL5" s="7" t="s">
        <v>161</v>
      </c>
      <c r="CM5" s="7" t="s">
        <v>161</v>
      </c>
      <c r="CN5" s="7" t="s">
        <v>161</v>
      </c>
      <c r="CO5" s="7" t="s">
        <v>161</v>
      </c>
      <c r="CP5" s="7" t="s">
        <v>161</v>
      </c>
      <c r="CQ5" s="7" t="s">
        <v>161</v>
      </c>
      <c r="CR5" s="7" t="s">
        <v>161</v>
      </c>
      <c r="CS5" s="7" t="s">
        <v>161</v>
      </c>
      <c r="CT5" s="7" t="s">
        <v>161</v>
      </c>
      <c r="CU5" s="7" t="s">
        <v>161</v>
      </c>
      <c r="CV5" s="7" t="s">
        <v>161</v>
      </c>
      <c r="CW5" s="7" t="s">
        <v>161</v>
      </c>
      <c r="CX5" s="7" t="s">
        <v>161</v>
      </c>
      <c r="CY5" s="7" t="s">
        <v>161</v>
      </c>
      <c r="CZ5" s="7" t="s">
        <v>161</v>
      </c>
      <c r="DA5" s="7" t="s">
        <v>161</v>
      </c>
      <c r="DB5" s="7" t="s">
        <v>161</v>
      </c>
      <c r="DC5" s="7" t="s">
        <v>160</v>
      </c>
      <c r="DD5" s="7" t="s">
        <v>161</v>
      </c>
      <c r="DE5" s="7" t="s">
        <v>161</v>
      </c>
      <c r="DF5" s="7" t="s">
        <v>161</v>
      </c>
      <c r="DG5" s="7" t="s">
        <v>161</v>
      </c>
      <c r="DH5" s="7" t="s">
        <v>161</v>
      </c>
      <c r="DI5" s="7" t="s">
        <v>161</v>
      </c>
      <c r="DJ5" s="7" t="s">
        <v>161</v>
      </c>
      <c r="DK5" s="7" t="s">
        <v>161</v>
      </c>
      <c r="DL5" s="7" t="s">
        <v>160</v>
      </c>
      <c r="DM5" s="7" t="s">
        <v>161</v>
      </c>
      <c r="DN5" s="7" t="s">
        <v>161</v>
      </c>
      <c r="DO5" s="7" t="s">
        <v>161</v>
      </c>
      <c r="DP5" s="7" t="s">
        <v>161</v>
      </c>
      <c r="DQ5" s="7" t="s">
        <v>161</v>
      </c>
      <c r="DR5" s="7" t="s">
        <v>161</v>
      </c>
      <c r="DS5" s="7" t="s">
        <v>161</v>
      </c>
      <c r="DT5" s="7" t="s">
        <v>160</v>
      </c>
      <c r="DU5" s="7" t="s">
        <v>160</v>
      </c>
      <c r="DV5" s="7" t="s">
        <v>161</v>
      </c>
      <c r="DW5" s="7" t="s">
        <v>161</v>
      </c>
      <c r="DX5" s="7" t="s">
        <v>163</v>
      </c>
      <c r="DY5" s="7" t="s">
        <v>160</v>
      </c>
      <c r="DZ5" s="7" t="s">
        <v>161</v>
      </c>
      <c r="EA5" s="7" t="s">
        <v>161</v>
      </c>
      <c r="EB5" s="7" t="s">
        <v>160</v>
      </c>
      <c r="EC5" s="7" t="s">
        <v>160</v>
      </c>
      <c r="ED5" s="7" t="s">
        <v>160</v>
      </c>
      <c r="EE5" s="7" t="s">
        <v>161</v>
      </c>
      <c r="EF5" s="7" t="s">
        <v>161</v>
      </c>
      <c r="EG5" s="7" t="s">
        <v>160</v>
      </c>
      <c r="EH5" s="7" t="s">
        <v>160</v>
      </c>
      <c r="EI5" s="7" t="s">
        <v>160</v>
      </c>
      <c r="EJ5" s="7" t="s">
        <v>160</v>
      </c>
    </row>
    <row r="6">
      <c r="A6" s="9" t="s">
        <v>164</v>
      </c>
      <c r="B6" s="13"/>
      <c r="C6" s="13">
        <v>0.0</v>
      </c>
      <c r="D6" s="13">
        <v>0.0</v>
      </c>
      <c r="E6" s="13">
        <v>0.0</v>
      </c>
      <c r="F6" s="13">
        <v>0.0</v>
      </c>
      <c r="G6" s="13">
        <v>0.0</v>
      </c>
      <c r="H6" s="13"/>
      <c r="I6" s="16" t="str">
        <f>iferror(vlookup(A6,'Inst Lending numbers'!A:D,4,false)," ")</f>
        <v> </v>
      </c>
      <c r="J6" s="13"/>
      <c r="K6" s="13"/>
      <c r="L6" s="13"/>
      <c r="M6" s="13"/>
      <c r="N6" s="13"/>
      <c r="O6" s="13">
        <f t="shared" ref="O6:O14" si="1">$O$4</f>
        <v>0.03932233526</v>
      </c>
      <c r="P6" s="13">
        <f t="shared" ref="P6:P99" si="2">$P$4</f>
        <v>0</v>
      </c>
      <c r="Q6" s="13"/>
      <c r="R6" s="13">
        <v>0.0</v>
      </c>
      <c r="S6" s="13"/>
      <c r="T6" s="13"/>
      <c r="U6" s="13"/>
      <c r="V6" s="13"/>
      <c r="W6" s="13"/>
      <c r="X6" s="13"/>
      <c r="Y6" s="13">
        <f t="shared" ref="Y6:Y102" si="3">Y$4</f>
        <v>0</v>
      </c>
      <c r="Z6" s="13"/>
      <c r="AA6" s="13">
        <v>0.0</v>
      </c>
      <c r="AB6" s="13">
        <f t="shared" ref="AB6:AB14" si="4">$AB$4</f>
        <v>0.1957867833</v>
      </c>
      <c r="AC6" s="13"/>
      <c r="AD6" s="13"/>
      <c r="AE6" s="13">
        <f>iferror(sumif('Weekly Rates'!D:D,A6,'Weekly Rates'!F:F)/countif('Weekly Rates'!D:D,A6),0)</f>
        <v>0</v>
      </c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 t="str">
        <f>iferror(VLOOKUP($A6,EAM!A$2:E$14,2,FALSE))</f>
        <v/>
      </c>
      <c r="AT6" s="13"/>
      <c r="AU6" s="13">
        <f>sumif('Weekly Rates'!A:A,A6,'Weekly Rates'!B:B)</f>
        <v>0</v>
      </c>
      <c r="AV6" s="13">
        <v>0.0</v>
      </c>
      <c r="AW6" s="13">
        <v>0.0</v>
      </c>
      <c r="AX6" s="13">
        <v>0.0</v>
      </c>
      <c r="AY6" s="13">
        <v>0.0</v>
      </c>
      <c r="AZ6" s="13">
        <v>0.0</v>
      </c>
      <c r="BA6" s="13">
        <v>0.0</v>
      </c>
      <c r="BB6" s="13">
        <v>0.0</v>
      </c>
      <c r="BC6" s="13">
        <v>0.0</v>
      </c>
      <c r="BD6" s="13">
        <v>0.0</v>
      </c>
      <c r="BE6" s="13">
        <v>0.0</v>
      </c>
      <c r="BF6" s="13">
        <v>0.0</v>
      </c>
      <c r="BG6" s="13">
        <v>0.0</v>
      </c>
      <c r="BH6" s="13">
        <v>0.0</v>
      </c>
      <c r="BI6" s="13">
        <v>0.0</v>
      </c>
      <c r="BJ6" s="13">
        <v>0.0</v>
      </c>
      <c r="BK6" s="13">
        <v>0.0</v>
      </c>
      <c r="BL6" s="13">
        <v>0.0</v>
      </c>
      <c r="BM6" s="13">
        <v>0.0</v>
      </c>
      <c r="BN6" s="13">
        <v>0.0</v>
      </c>
      <c r="BO6" s="13">
        <v>0.0</v>
      </c>
      <c r="BP6" s="13">
        <v>0.0</v>
      </c>
      <c r="BQ6" s="13">
        <v>0.0</v>
      </c>
      <c r="BR6" s="13">
        <v>0.0</v>
      </c>
      <c r="BS6" s="13">
        <v>0.0</v>
      </c>
      <c r="BT6" s="13">
        <v>0.0</v>
      </c>
      <c r="BU6" s="13">
        <v>0.0</v>
      </c>
      <c r="BV6" s="13">
        <v>0.0</v>
      </c>
      <c r="BW6" s="13">
        <v>0.0</v>
      </c>
      <c r="BX6" s="13">
        <v>0.0</v>
      </c>
      <c r="BY6" s="13">
        <v>0.0</v>
      </c>
      <c r="BZ6" s="13">
        <v>0.0</v>
      </c>
      <c r="CA6" s="13">
        <v>0.0</v>
      </c>
      <c r="CB6" s="13">
        <v>0.0</v>
      </c>
      <c r="CC6" s="13">
        <v>0.0</v>
      </c>
      <c r="CD6" s="13">
        <v>0.0</v>
      </c>
      <c r="CE6" s="13">
        <v>0.0</v>
      </c>
      <c r="CF6" s="13">
        <v>0.0</v>
      </c>
      <c r="CG6" s="13">
        <v>0.0</v>
      </c>
      <c r="CH6" s="13">
        <v>0.0</v>
      </c>
      <c r="CI6" s="13">
        <v>0.0</v>
      </c>
      <c r="CJ6" s="13">
        <v>0.0</v>
      </c>
      <c r="CK6" s="13">
        <v>0.0</v>
      </c>
      <c r="CL6" s="13">
        <v>0.0</v>
      </c>
      <c r="CM6" s="13">
        <v>0.0</v>
      </c>
      <c r="CN6" s="13">
        <v>0.0</v>
      </c>
      <c r="CO6" s="13">
        <v>0.0</v>
      </c>
      <c r="CP6" s="13">
        <v>0.0</v>
      </c>
      <c r="CQ6" s="13">
        <v>0.0</v>
      </c>
      <c r="CR6" s="13">
        <v>0.0</v>
      </c>
      <c r="CS6" s="13">
        <v>0.0</v>
      </c>
      <c r="CT6" s="13">
        <v>0.0</v>
      </c>
      <c r="CU6" s="13">
        <v>0.1011</v>
      </c>
      <c r="CV6" s="13">
        <v>0.0</v>
      </c>
      <c r="CW6" s="13">
        <v>0.0</v>
      </c>
      <c r="CX6" s="13">
        <v>0.0</v>
      </c>
      <c r="CY6" s="13">
        <v>0.0</v>
      </c>
      <c r="CZ6" s="13">
        <v>0.0</v>
      </c>
      <c r="DA6" s="13">
        <v>0.0</v>
      </c>
      <c r="DB6" s="13">
        <v>0.0</v>
      </c>
      <c r="DC6" s="13">
        <v>0.0</v>
      </c>
      <c r="DD6" s="13">
        <v>0.0</v>
      </c>
      <c r="DE6" s="13">
        <v>0.0</v>
      </c>
      <c r="DF6" s="13">
        <v>0.0</v>
      </c>
      <c r="DG6" s="13">
        <v>0.0</v>
      </c>
      <c r="DH6" s="13">
        <v>0.0</v>
      </c>
      <c r="DI6" s="13">
        <v>0.0</v>
      </c>
      <c r="DJ6" s="13">
        <v>0.0</v>
      </c>
      <c r="DK6" s="13">
        <v>0.0</v>
      </c>
      <c r="DL6" s="13">
        <v>0.0</v>
      </c>
      <c r="DM6" s="13">
        <v>0.0</v>
      </c>
      <c r="DN6" s="13">
        <v>0.0</v>
      </c>
      <c r="DO6" s="13">
        <v>0.0</v>
      </c>
      <c r="DP6" s="13">
        <v>0.0</v>
      </c>
      <c r="DQ6" s="13">
        <v>0.0</v>
      </c>
      <c r="DR6" s="13">
        <v>0.0</v>
      </c>
      <c r="DS6" s="13">
        <v>0.0</v>
      </c>
      <c r="DT6" s="13">
        <v>0.0</v>
      </c>
      <c r="DU6" s="13">
        <v>0.0</v>
      </c>
      <c r="DV6" s="13">
        <v>0.0</v>
      </c>
      <c r="DW6" s="13">
        <v>0.0</v>
      </c>
      <c r="DX6" s="13">
        <v>0.0</v>
      </c>
      <c r="DY6" s="13">
        <v>0.0</v>
      </c>
      <c r="DZ6" s="13">
        <v>0.0</v>
      </c>
      <c r="EA6" s="13">
        <v>0.0</v>
      </c>
      <c r="EB6" s="13">
        <v>0.0</v>
      </c>
      <c r="EC6" s="13">
        <v>0.0</v>
      </c>
      <c r="ED6" s="13">
        <v>0.0</v>
      </c>
      <c r="EE6" s="13">
        <v>0.0</v>
      </c>
      <c r="EF6" s="13">
        <v>0.1008</v>
      </c>
      <c r="EG6" s="13">
        <v>0.0</v>
      </c>
      <c r="EH6" s="13">
        <v>0.0</v>
      </c>
      <c r="EI6" s="13">
        <v>0.0</v>
      </c>
      <c r="EJ6" s="13">
        <v>0.0</v>
      </c>
    </row>
    <row r="7">
      <c r="A7" s="9" t="s">
        <v>165</v>
      </c>
      <c r="B7" s="13"/>
      <c r="C7" s="13">
        <v>0.0</v>
      </c>
      <c r="D7" s="13">
        <v>0.0</v>
      </c>
      <c r="E7" s="13">
        <v>0.0</v>
      </c>
      <c r="F7" s="13">
        <v>0.0</v>
      </c>
      <c r="G7" s="13">
        <v>0.0</v>
      </c>
      <c r="H7" s="13"/>
      <c r="I7" s="16" t="str">
        <f>iferror(vlookup(A7,'Inst Lending numbers'!A:D,4,false)," ")</f>
        <v> </v>
      </c>
      <c r="J7" s="13"/>
      <c r="K7" s="13"/>
      <c r="L7" s="13"/>
      <c r="M7" s="13"/>
      <c r="N7" s="13"/>
      <c r="O7" s="13">
        <f t="shared" si="1"/>
        <v>0.03932233526</v>
      </c>
      <c r="P7" s="13">
        <f t="shared" si="2"/>
        <v>0</v>
      </c>
      <c r="Q7" s="13"/>
      <c r="R7" s="13"/>
      <c r="S7" s="13"/>
      <c r="T7" s="13"/>
      <c r="U7" s="13"/>
      <c r="V7" s="13"/>
      <c r="W7" s="13"/>
      <c r="X7" s="13"/>
      <c r="Y7" s="13">
        <f t="shared" si="3"/>
        <v>0</v>
      </c>
      <c r="Z7" s="13"/>
      <c r="AA7" s="13">
        <v>0.0</v>
      </c>
      <c r="AB7" s="13">
        <f t="shared" si="4"/>
        <v>0.1957867833</v>
      </c>
      <c r="AC7" s="13"/>
      <c r="AD7" s="13"/>
      <c r="AE7" s="13">
        <f>iferror(sumif('Weekly Rates'!D:D,A7,'Weekly Rates'!F:F)/countif('Weekly Rates'!D:D,A7),0)</f>
        <v>0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 t="str">
        <f>iferror(VLOOKUP($A7,EAM!A$2:E$14,2,FALSE))</f>
        <v/>
      </c>
      <c r="AT7" s="13"/>
      <c r="AU7" s="13">
        <f>sumif('Weekly Rates'!A:A,A7,'Weekly Rates'!B:B)</f>
        <v>0</v>
      </c>
      <c r="AV7" s="13">
        <v>0.0</v>
      </c>
      <c r="AW7" s="13">
        <v>0.0</v>
      </c>
      <c r="AX7" s="13">
        <v>0.0</v>
      </c>
      <c r="AY7" s="13">
        <v>0.0</v>
      </c>
      <c r="AZ7" s="13">
        <v>0.0</v>
      </c>
      <c r="BA7" s="13">
        <v>0.0</v>
      </c>
      <c r="BB7" s="13">
        <v>0.0</v>
      </c>
      <c r="BC7" s="13">
        <v>0.0</v>
      </c>
      <c r="BD7" s="13">
        <v>0.0</v>
      </c>
      <c r="BE7" s="13">
        <v>0.0</v>
      </c>
      <c r="BF7" s="13">
        <v>0.0</v>
      </c>
      <c r="BG7" s="13">
        <v>0.0</v>
      </c>
      <c r="BH7" s="13">
        <v>0.0</v>
      </c>
      <c r="BI7" s="13">
        <v>0.0</v>
      </c>
      <c r="BJ7" s="13">
        <v>0.0</v>
      </c>
      <c r="BK7" s="13">
        <v>0.0</v>
      </c>
      <c r="BL7" s="13">
        <v>0.0</v>
      </c>
      <c r="BM7" s="13">
        <v>0.0</v>
      </c>
      <c r="BN7" s="13">
        <v>0.0</v>
      </c>
      <c r="BO7" s="13">
        <v>0.0</v>
      </c>
      <c r="BP7" s="13">
        <v>0.0</v>
      </c>
      <c r="BQ7" s="13">
        <v>0.0</v>
      </c>
      <c r="BR7" s="13">
        <v>0.0</v>
      </c>
      <c r="BS7" s="13">
        <v>0.0</v>
      </c>
      <c r="BT7" s="13">
        <v>0.0</v>
      </c>
      <c r="BU7" s="13">
        <v>0.0</v>
      </c>
      <c r="BV7" s="13">
        <v>0.0</v>
      </c>
      <c r="BW7" s="13">
        <v>0.0</v>
      </c>
      <c r="BX7" s="13">
        <v>0.0</v>
      </c>
      <c r="BY7" s="13">
        <v>0.0</v>
      </c>
      <c r="BZ7" s="13">
        <v>0.0</v>
      </c>
      <c r="CA7" s="13">
        <v>0.0</v>
      </c>
      <c r="CB7" s="13">
        <v>0.0</v>
      </c>
      <c r="CC7" s="13">
        <v>0.0</v>
      </c>
      <c r="CD7" s="13">
        <v>0.0</v>
      </c>
      <c r="CE7" s="13">
        <v>0.0</v>
      </c>
      <c r="CF7" s="13">
        <v>0.0</v>
      </c>
      <c r="CG7" s="13">
        <v>0.0</v>
      </c>
      <c r="CH7" s="13">
        <v>0.0</v>
      </c>
      <c r="CI7" s="13">
        <v>0.0</v>
      </c>
      <c r="CJ7" s="13">
        <v>0.0</v>
      </c>
      <c r="CK7" s="13">
        <v>0.0</v>
      </c>
      <c r="CL7" s="13">
        <v>0.0</v>
      </c>
      <c r="CM7" s="13">
        <v>0.0</v>
      </c>
      <c r="CN7" s="13">
        <v>0.0</v>
      </c>
      <c r="CO7" s="13">
        <v>0.0</v>
      </c>
      <c r="CP7" s="13">
        <v>0.0</v>
      </c>
      <c r="CQ7" s="13">
        <v>0.0</v>
      </c>
      <c r="CR7" s="13">
        <v>0.0</v>
      </c>
      <c r="CS7" s="13">
        <v>0.0</v>
      </c>
      <c r="CT7" s="13">
        <v>0.0</v>
      </c>
      <c r="CU7" s="13">
        <v>0.0</v>
      </c>
      <c r="CV7" s="13">
        <v>0.0</v>
      </c>
      <c r="CW7" s="13">
        <v>0.0</v>
      </c>
      <c r="CX7" s="13">
        <v>0.0</v>
      </c>
      <c r="CY7" s="13">
        <v>0.0</v>
      </c>
      <c r="CZ7" s="13">
        <v>0.0</v>
      </c>
      <c r="DA7" s="13">
        <v>0.0</v>
      </c>
      <c r="DB7" s="13">
        <v>0.0</v>
      </c>
      <c r="DC7" s="13">
        <v>0.0</v>
      </c>
      <c r="DD7" s="13">
        <v>0.0</v>
      </c>
      <c r="DE7" s="13">
        <v>0.0</v>
      </c>
      <c r="DF7" s="13">
        <v>0.0</v>
      </c>
      <c r="DG7" s="13">
        <v>0.0</v>
      </c>
      <c r="DH7" s="13">
        <v>0.0</v>
      </c>
      <c r="DI7" s="13">
        <v>0.0</v>
      </c>
      <c r="DJ7" s="13">
        <v>0.0</v>
      </c>
      <c r="DK7" s="13">
        <v>0.0</v>
      </c>
      <c r="DL7" s="13">
        <v>0.0</v>
      </c>
      <c r="DM7" s="13">
        <v>0.0</v>
      </c>
      <c r="DN7" s="13">
        <v>0.0</v>
      </c>
      <c r="DO7" s="13">
        <v>0.0</v>
      </c>
      <c r="DP7" s="13">
        <v>0.0</v>
      </c>
      <c r="DQ7" s="13">
        <v>0.0</v>
      </c>
      <c r="DR7" s="13">
        <v>0.0</v>
      </c>
      <c r="DS7" s="13">
        <v>0.0</v>
      </c>
      <c r="DT7" s="13">
        <v>0.0</v>
      </c>
      <c r="DU7" s="13">
        <v>0.0</v>
      </c>
      <c r="DV7" s="13">
        <v>0.0</v>
      </c>
      <c r="DW7" s="13">
        <v>0.0</v>
      </c>
      <c r="DX7" s="13">
        <v>0.0</v>
      </c>
      <c r="DY7" s="13">
        <v>0.0</v>
      </c>
      <c r="DZ7" s="13">
        <v>0.0</v>
      </c>
      <c r="EA7" s="13">
        <v>0.0</v>
      </c>
      <c r="EB7" s="13">
        <v>0.0</v>
      </c>
      <c r="EC7" s="13">
        <v>0.0</v>
      </c>
      <c r="ED7" s="13">
        <v>0.0</v>
      </c>
      <c r="EE7" s="13">
        <v>0.0</v>
      </c>
      <c r="EF7" s="13">
        <v>0.0</v>
      </c>
      <c r="EG7" s="13">
        <v>0.0</v>
      </c>
      <c r="EH7" s="13">
        <v>0.0</v>
      </c>
      <c r="EI7" s="13">
        <v>0.0</v>
      </c>
      <c r="EJ7" s="13">
        <v>0.0</v>
      </c>
    </row>
    <row r="8">
      <c r="A8" s="9" t="s">
        <v>166</v>
      </c>
      <c r="B8" s="13"/>
      <c r="C8" s="13">
        <v>0.0</v>
      </c>
      <c r="D8" s="13">
        <v>0.0</v>
      </c>
      <c r="E8" s="13">
        <v>0.0</v>
      </c>
      <c r="F8" s="13">
        <v>0.0</v>
      </c>
      <c r="G8" s="13">
        <v>0.0</v>
      </c>
      <c r="H8" s="13"/>
      <c r="I8" s="16">
        <f>iferror(vlookup(A8,'Inst Lending numbers'!A:D,4,false)," ")</f>
        <v>0.0659</v>
      </c>
      <c r="J8" s="13"/>
      <c r="K8" s="13"/>
      <c r="L8" s="13"/>
      <c r="M8" s="13"/>
      <c r="N8" s="13"/>
      <c r="O8" s="13">
        <f t="shared" si="1"/>
        <v>0.03932233526</v>
      </c>
      <c r="P8" s="13">
        <f t="shared" si="2"/>
        <v>0</v>
      </c>
      <c r="Q8" s="13">
        <v>0.0</v>
      </c>
      <c r="R8" s="13"/>
      <c r="S8" s="13"/>
      <c r="T8" s="13"/>
      <c r="U8" s="13"/>
      <c r="V8" s="13"/>
      <c r="W8" s="13"/>
      <c r="X8" s="13"/>
      <c r="Y8" s="13">
        <f t="shared" si="3"/>
        <v>0</v>
      </c>
      <c r="Z8" s="13"/>
      <c r="AA8" s="13">
        <v>0.0</v>
      </c>
      <c r="AB8" s="13">
        <f t="shared" si="4"/>
        <v>0.1957867833</v>
      </c>
      <c r="AC8" s="13"/>
      <c r="AD8" s="13"/>
      <c r="AE8" s="13">
        <f>iferror(sumif('Weekly Rates'!D:D,A8,'Weekly Rates'!F:F)/countif('Weekly Rates'!D:D,A8),0)</f>
        <v>0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 t="str">
        <f>iferror(VLOOKUP($A8,EAM!A$2:E$14,2,FALSE))</f>
        <v/>
      </c>
      <c r="AT8" s="13"/>
      <c r="AU8" s="13">
        <f>sumif('Weekly Rates'!A:A,A8,'Weekly Rates'!B:B)</f>
        <v>0</v>
      </c>
      <c r="AV8" s="13">
        <v>0.0</v>
      </c>
      <c r="AW8" s="13">
        <v>0.0</v>
      </c>
      <c r="AX8" s="13">
        <v>0.0</v>
      </c>
      <c r="AY8" s="13">
        <v>0.0</v>
      </c>
      <c r="AZ8" s="13">
        <v>0.0</v>
      </c>
      <c r="BA8" s="13">
        <v>0.0643</v>
      </c>
      <c r="BB8" s="13">
        <v>0.0</v>
      </c>
      <c r="BC8" s="13">
        <v>0.001</v>
      </c>
      <c r="BD8" s="13">
        <v>0.0115</v>
      </c>
      <c r="BE8" s="13">
        <v>0.0</v>
      </c>
      <c r="BF8" s="13">
        <v>0.0</v>
      </c>
      <c r="BG8" s="13">
        <v>0.0</v>
      </c>
      <c r="BH8" s="13">
        <v>0.0</v>
      </c>
      <c r="BI8" s="13">
        <v>0.0</v>
      </c>
      <c r="BJ8" s="13">
        <v>0.0</v>
      </c>
      <c r="BK8" s="13">
        <v>0.0</v>
      </c>
      <c r="BL8" s="13">
        <v>0.0</v>
      </c>
      <c r="BM8" s="13">
        <v>0.0</v>
      </c>
      <c r="BN8" s="13">
        <v>0.0</v>
      </c>
      <c r="BO8" s="13">
        <v>0.0</v>
      </c>
      <c r="BP8" s="13">
        <v>0.0</v>
      </c>
      <c r="BQ8" s="13">
        <v>0.0</v>
      </c>
      <c r="BR8" s="13">
        <v>0.0</v>
      </c>
      <c r="BS8" s="13">
        <v>0.0</v>
      </c>
      <c r="BT8" s="13">
        <v>0.0</v>
      </c>
      <c r="BU8" s="13">
        <v>0.0</v>
      </c>
      <c r="BV8" s="13">
        <v>0.0</v>
      </c>
      <c r="BW8" s="13">
        <v>0.0</v>
      </c>
      <c r="BX8" s="13">
        <v>0.0</v>
      </c>
      <c r="BY8" s="13">
        <v>0.0</v>
      </c>
      <c r="BZ8" s="13">
        <v>0.0</v>
      </c>
      <c r="CA8" s="13">
        <v>0.0</v>
      </c>
      <c r="CB8" s="13">
        <v>0.0</v>
      </c>
      <c r="CC8" s="13">
        <v>0.0</v>
      </c>
      <c r="CD8" s="13">
        <v>0.0</v>
      </c>
      <c r="CE8" s="13">
        <v>0.0</v>
      </c>
      <c r="CF8" s="13">
        <v>0.0</v>
      </c>
      <c r="CG8" s="13">
        <v>0.0</v>
      </c>
      <c r="CH8" s="13">
        <v>0.0</v>
      </c>
      <c r="CI8" s="13">
        <v>0.0</v>
      </c>
      <c r="CJ8" s="13">
        <v>0.0</v>
      </c>
      <c r="CK8" s="13">
        <v>0.0</v>
      </c>
      <c r="CL8" s="13">
        <v>0.0</v>
      </c>
      <c r="CM8" s="13">
        <v>0.0</v>
      </c>
      <c r="CN8" s="13">
        <v>0.0</v>
      </c>
      <c r="CO8" s="13">
        <v>0.0</v>
      </c>
      <c r="CP8" s="13">
        <v>0.0</v>
      </c>
      <c r="CQ8" s="13">
        <v>0.0</v>
      </c>
      <c r="CR8" s="13">
        <v>0.0</v>
      </c>
      <c r="CS8" s="13">
        <v>0.0</v>
      </c>
      <c r="CT8" s="13">
        <v>0.0</v>
      </c>
      <c r="CU8" s="13">
        <v>0.0</v>
      </c>
      <c r="CV8" s="13">
        <v>0.0</v>
      </c>
      <c r="CW8" s="13">
        <v>0.0</v>
      </c>
      <c r="CX8" s="13">
        <v>0.0</v>
      </c>
      <c r="CY8" s="13">
        <v>0.0</v>
      </c>
      <c r="CZ8" s="13">
        <v>0.0</v>
      </c>
      <c r="DA8" s="13">
        <v>0.0</v>
      </c>
      <c r="DB8" s="13">
        <v>0.0</v>
      </c>
      <c r="DC8" s="13">
        <v>0.0</v>
      </c>
      <c r="DD8" s="13">
        <v>0.0</v>
      </c>
      <c r="DE8" s="13">
        <v>0.0</v>
      </c>
      <c r="DF8" s="13">
        <v>0.0</v>
      </c>
      <c r="DG8" s="13">
        <v>0.0</v>
      </c>
      <c r="DH8" s="13">
        <v>0.0</v>
      </c>
      <c r="DI8" s="13">
        <v>0.0</v>
      </c>
      <c r="DJ8" s="13">
        <v>0.0</v>
      </c>
      <c r="DK8" s="13">
        <v>0.0</v>
      </c>
      <c r="DL8" s="13">
        <v>0.0</v>
      </c>
      <c r="DM8" s="13">
        <v>0.0</v>
      </c>
      <c r="DN8" s="13">
        <v>0.0</v>
      </c>
      <c r="DO8" s="13">
        <v>0.0</v>
      </c>
      <c r="DP8" s="13">
        <v>0.0</v>
      </c>
      <c r="DQ8" s="13">
        <v>0.0</v>
      </c>
      <c r="DR8" s="13">
        <v>0.0</v>
      </c>
      <c r="DS8" s="13">
        <v>0.0</v>
      </c>
      <c r="DT8" s="13">
        <v>0.0</v>
      </c>
      <c r="DU8" s="13">
        <v>0.0</v>
      </c>
      <c r="DV8" s="13">
        <v>0.0094</v>
      </c>
      <c r="DW8" s="13">
        <v>0.0</v>
      </c>
      <c r="DX8" s="13">
        <v>0.0</v>
      </c>
      <c r="DY8" s="13">
        <v>0.0</v>
      </c>
      <c r="DZ8" s="13">
        <v>0.0</v>
      </c>
      <c r="EA8" s="13">
        <v>0.0</v>
      </c>
      <c r="EB8" s="13">
        <v>0.0</v>
      </c>
      <c r="EC8" s="13">
        <v>0.0</v>
      </c>
      <c r="ED8" s="13">
        <v>0.0</v>
      </c>
      <c r="EE8" s="13">
        <v>0.0</v>
      </c>
      <c r="EF8" s="13">
        <v>0.0</v>
      </c>
      <c r="EG8" s="13">
        <v>0.0</v>
      </c>
      <c r="EH8" s="13">
        <v>0.0</v>
      </c>
      <c r="EI8" s="13">
        <v>0.0</v>
      </c>
      <c r="EJ8" s="13">
        <v>0.0</v>
      </c>
    </row>
    <row r="9">
      <c r="A9" s="9" t="s">
        <v>167</v>
      </c>
      <c r="B9" s="13"/>
      <c r="C9" s="13">
        <v>0.0</v>
      </c>
      <c r="D9" s="13">
        <v>0.0</v>
      </c>
      <c r="E9" s="13">
        <v>0.0</v>
      </c>
      <c r="F9" s="13">
        <v>0.0</v>
      </c>
      <c r="G9" s="13">
        <v>0.0</v>
      </c>
      <c r="H9" s="13"/>
      <c r="I9" s="16">
        <f>iferror(vlookup(A9,'Inst Lending numbers'!A:D,4,false)," ")</f>
        <v>0.0732</v>
      </c>
      <c r="J9" s="7" t="s">
        <v>168</v>
      </c>
      <c r="K9" s="13"/>
      <c r="L9" s="13"/>
      <c r="M9" s="13"/>
      <c r="N9" s="13"/>
      <c r="O9" s="13">
        <f t="shared" si="1"/>
        <v>0.03932233526</v>
      </c>
      <c r="P9" s="13">
        <f t="shared" si="2"/>
        <v>0</v>
      </c>
      <c r="Q9" s="13"/>
      <c r="R9" s="13"/>
      <c r="S9" s="13"/>
      <c r="T9" s="13"/>
      <c r="U9" s="13"/>
      <c r="V9" s="13"/>
      <c r="W9" s="13"/>
      <c r="X9" s="13"/>
      <c r="Y9" s="13">
        <f t="shared" si="3"/>
        <v>0</v>
      </c>
      <c r="Z9" s="13"/>
      <c r="AA9" s="13">
        <v>0.0</v>
      </c>
      <c r="AB9" s="13">
        <f t="shared" si="4"/>
        <v>0.1957867833</v>
      </c>
      <c r="AC9" s="13"/>
      <c r="AD9" s="13"/>
      <c r="AE9" s="13">
        <f>iferror(sumif('Weekly Rates'!D:D,A9,'Weekly Rates'!F:F)/countif('Weekly Rates'!D:D,A9),0)</f>
        <v>0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0.045</v>
      </c>
      <c r="AR9" s="13"/>
      <c r="AS9" s="13" t="str">
        <f>iferror(VLOOKUP($A9,EAM!A$2:E$14,2,FALSE))</f>
        <v/>
      </c>
      <c r="AT9" s="13"/>
      <c r="AU9" s="13">
        <f>sumif('Weekly Rates'!A:A,A9,'Weekly Rates'!B:B)</f>
        <v>0</v>
      </c>
      <c r="AV9" s="13">
        <v>0.0</v>
      </c>
      <c r="AW9" s="13">
        <v>0.0</v>
      </c>
      <c r="AX9" s="13">
        <v>0.0</v>
      </c>
      <c r="AY9" s="13">
        <v>0.0</v>
      </c>
      <c r="AZ9" s="13">
        <v>0.0</v>
      </c>
      <c r="BA9" s="13">
        <v>0.0</v>
      </c>
      <c r="BB9" s="13">
        <v>0.0</v>
      </c>
      <c r="BC9" s="13">
        <v>0.0</v>
      </c>
      <c r="BD9" s="13">
        <v>0.0</v>
      </c>
      <c r="BE9" s="13">
        <v>0.0</v>
      </c>
      <c r="BF9" s="13">
        <v>0.0</v>
      </c>
      <c r="BG9" s="13">
        <v>0.0</v>
      </c>
      <c r="BH9" s="13">
        <v>0.0</v>
      </c>
      <c r="BI9" s="13">
        <v>0.0</v>
      </c>
      <c r="BJ9" s="13">
        <v>0.0</v>
      </c>
      <c r="BK9" s="13">
        <v>0.0</v>
      </c>
      <c r="BL9" s="13">
        <v>0.0</v>
      </c>
      <c r="BM9" s="13">
        <v>0.0</v>
      </c>
      <c r="BN9" s="13">
        <v>0.0</v>
      </c>
      <c r="BO9" s="13">
        <v>0.0</v>
      </c>
      <c r="BP9" s="13">
        <v>0.0</v>
      </c>
      <c r="BQ9" s="13">
        <v>0.0</v>
      </c>
      <c r="BR9" s="13">
        <v>0.0</v>
      </c>
      <c r="BS9" s="13">
        <v>0.0</v>
      </c>
      <c r="BT9" s="13">
        <v>0.0</v>
      </c>
      <c r="BU9" s="13">
        <v>0.0</v>
      </c>
      <c r="BV9" s="13">
        <v>0.0</v>
      </c>
      <c r="BW9" s="13">
        <v>0.0</v>
      </c>
      <c r="BX9" s="13">
        <v>0.0</v>
      </c>
      <c r="BY9" s="13">
        <v>0.0</v>
      </c>
      <c r="BZ9" s="13">
        <v>0.0</v>
      </c>
      <c r="CA9" s="13">
        <v>0.0</v>
      </c>
      <c r="CB9" s="13">
        <v>0.0</v>
      </c>
      <c r="CC9" s="13">
        <v>0.0</v>
      </c>
      <c r="CD9" s="13">
        <v>0.0</v>
      </c>
      <c r="CE9" s="13">
        <v>0.0</v>
      </c>
      <c r="CF9" s="13">
        <v>0.0</v>
      </c>
      <c r="CG9" s="13">
        <v>0.0</v>
      </c>
      <c r="CH9" s="13">
        <v>0.0</v>
      </c>
      <c r="CI9" s="13">
        <v>0.0</v>
      </c>
      <c r="CJ9" s="13">
        <v>0.0</v>
      </c>
      <c r="CK9" s="13">
        <v>0.0</v>
      </c>
      <c r="CL9" s="13">
        <v>0.0</v>
      </c>
      <c r="CM9" s="13">
        <v>0.0</v>
      </c>
      <c r="CN9" s="13">
        <v>0.0</v>
      </c>
      <c r="CO9" s="13">
        <v>0.0</v>
      </c>
      <c r="CP9" s="13">
        <v>0.0</v>
      </c>
      <c r="CQ9" s="13">
        <v>0.0</v>
      </c>
      <c r="CR9" s="13">
        <v>0.0</v>
      </c>
      <c r="CS9" s="13">
        <v>0.0</v>
      </c>
      <c r="CT9" s="13">
        <v>0.0</v>
      </c>
      <c r="CU9" s="13">
        <v>0.0</v>
      </c>
      <c r="CV9" s="13">
        <v>0.0</v>
      </c>
      <c r="CW9" s="13">
        <v>0.0</v>
      </c>
      <c r="CX9" s="13">
        <v>0.0</v>
      </c>
      <c r="CY9" s="13">
        <v>0.0</v>
      </c>
      <c r="CZ9" s="13">
        <v>0.0</v>
      </c>
      <c r="DA9" s="13">
        <v>0.0</v>
      </c>
      <c r="DB9" s="13">
        <v>0.0</v>
      </c>
      <c r="DC9" s="13">
        <v>0.0</v>
      </c>
      <c r="DD9" s="13">
        <v>0.0</v>
      </c>
      <c r="DE9" s="13">
        <v>0.0</v>
      </c>
      <c r="DF9" s="13">
        <v>0.0</v>
      </c>
      <c r="DG9" s="13">
        <v>0.0</v>
      </c>
      <c r="DH9" s="13">
        <v>0.0</v>
      </c>
      <c r="DI9" s="13">
        <v>0.0</v>
      </c>
      <c r="DJ9" s="13">
        <v>0.0</v>
      </c>
      <c r="DK9" s="13">
        <v>0.0</v>
      </c>
      <c r="DL9" s="13">
        <v>0.0</v>
      </c>
      <c r="DM9" s="13">
        <v>0.0</v>
      </c>
      <c r="DN9" s="13">
        <v>0.0</v>
      </c>
      <c r="DO9" s="13">
        <v>0.0</v>
      </c>
      <c r="DP9" s="13">
        <v>0.0</v>
      </c>
      <c r="DQ9" s="13">
        <v>0.0</v>
      </c>
      <c r="DR9" s="13">
        <v>0.0</v>
      </c>
      <c r="DS9" s="13">
        <v>0.0</v>
      </c>
      <c r="DT9" s="13">
        <v>0.0</v>
      </c>
      <c r="DU9" s="13">
        <v>0.0</v>
      </c>
      <c r="DV9" s="13">
        <v>0.0</v>
      </c>
      <c r="DW9" s="13">
        <v>0.0</v>
      </c>
      <c r="DX9" s="13">
        <v>0.0</v>
      </c>
      <c r="DY9" s="13">
        <v>0.0</v>
      </c>
      <c r="DZ9" s="13">
        <v>0.0</v>
      </c>
      <c r="EA9" s="13">
        <v>0.0</v>
      </c>
      <c r="EB9" s="13">
        <v>0.0</v>
      </c>
      <c r="EC9" s="13">
        <v>0.0</v>
      </c>
      <c r="ED9" s="13">
        <v>0.0</v>
      </c>
      <c r="EE9" s="13">
        <v>0.0</v>
      </c>
      <c r="EF9" s="13">
        <v>0.0</v>
      </c>
      <c r="EG9" s="13">
        <v>0.0</v>
      </c>
      <c r="EH9" s="13">
        <v>0.0</v>
      </c>
      <c r="EI9" s="13">
        <v>0.0</v>
      </c>
      <c r="EJ9" s="13">
        <v>0.0</v>
      </c>
    </row>
    <row r="10">
      <c r="A10" s="9" t="s">
        <v>169</v>
      </c>
      <c r="B10" s="13"/>
      <c r="C10" s="13">
        <v>0.0</v>
      </c>
      <c r="D10" s="13">
        <v>0.0</v>
      </c>
      <c r="E10" s="13">
        <v>0.0</v>
      </c>
      <c r="F10" s="13">
        <v>0.0</v>
      </c>
      <c r="G10" s="13">
        <v>0.0</v>
      </c>
      <c r="H10" s="13"/>
      <c r="I10" s="16" t="str">
        <f>iferror(vlookup(A10,'Inst Lending numbers'!A:D,4,false)," ")</f>
        <v> </v>
      </c>
      <c r="J10" s="13"/>
      <c r="K10" s="13"/>
      <c r="L10" s="13"/>
      <c r="M10" s="13"/>
      <c r="N10" s="13"/>
      <c r="O10" s="13">
        <f t="shared" si="1"/>
        <v>0.03932233526</v>
      </c>
      <c r="P10" s="13">
        <f t="shared" si="2"/>
        <v>0</v>
      </c>
      <c r="Q10" s="13"/>
      <c r="R10" s="13"/>
      <c r="S10" s="13"/>
      <c r="T10" s="13"/>
      <c r="U10" s="13"/>
      <c r="V10" s="13"/>
      <c r="W10" s="13"/>
      <c r="X10" s="13"/>
      <c r="Y10" s="13">
        <f t="shared" si="3"/>
        <v>0</v>
      </c>
      <c r="Z10" s="13"/>
      <c r="AA10" s="13">
        <v>0.0</v>
      </c>
      <c r="AB10" s="13">
        <f t="shared" si="4"/>
        <v>0.1957867833</v>
      </c>
      <c r="AC10" s="13"/>
      <c r="AD10" s="13"/>
      <c r="AE10" s="13">
        <f>iferror(sumif('Weekly Rates'!D:D,A10,'Weekly Rates'!F:F)/countif('Weekly Rates'!D:D,A10),0)</f>
        <v>0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 t="str">
        <f>iferror(VLOOKUP($A10,EAM!A$2:E$14,2,FALSE))</f>
        <v/>
      </c>
      <c r="AT10" s="13"/>
      <c r="AU10" s="13">
        <f>sumif('Weekly Rates'!A:A,A10,'Weekly Rates'!B:B)</f>
        <v>0</v>
      </c>
      <c r="AV10" s="13">
        <v>0.0</v>
      </c>
      <c r="AW10" s="13">
        <v>0.0</v>
      </c>
      <c r="AX10" s="13">
        <v>0.0</v>
      </c>
      <c r="AY10" s="13">
        <v>0.0</v>
      </c>
      <c r="AZ10" s="13">
        <v>0.0</v>
      </c>
      <c r="BA10" s="13">
        <v>0.0</v>
      </c>
      <c r="BB10" s="13">
        <v>0.0</v>
      </c>
      <c r="BC10" s="13">
        <v>0.0</v>
      </c>
      <c r="BD10" s="13">
        <v>0.0</v>
      </c>
      <c r="BE10" s="13">
        <v>0.0</v>
      </c>
      <c r="BF10" s="13">
        <v>0.0</v>
      </c>
      <c r="BG10" s="13">
        <v>0.0</v>
      </c>
      <c r="BH10" s="13">
        <v>0.0</v>
      </c>
      <c r="BI10" s="13">
        <v>0.0</v>
      </c>
      <c r="BJ10" s="13">
        <v>0.0</v>
      </c>
      <c r="BK10" s="13">
        <v>0.0</v>
      </c>
      <c r="BL10" s="13">
        <v>0.0</v>
      </c>
      <c r="BM10" s="13">
        <v>0.0</v>
      </c>
      <c r="BN10" s="13">
        <v>0.0</v>
      </c>
      <c r="BO10" s="13">
        <v>0.0</v>
      </c>
      <c r="BP10" s="13">
        <v>0.0</v>
      </c>
      <c r="BQ10" s="13">
        <v>0.0</v>
      </c>
      <c r="BR10" s="13">
        <v>0.0</v>
      </c>
      <c r="BS10" s="13">
        <v>0.0</v>
      </c>
      <c r="BT10" s="13">
        <v>0.0</v>
      </c>
      <c r="BU10" s="13">
        <v>0.0</v>
      </c>
      <c r="BV10" s="13">
        <v>0.0</v>
      </c>
      <c r="BW10" s="13">
        <v>0.0</v>
      </c>
      <c r="BX10" s="13">
        <v>0.0</v>
      </c>
      <c r="BY10" s="13">
        <v>0.0</v>
      </c>
      <c r="BZ10" s="13">
        <v>0.0</v>
      </c>
      <c r="CA10" s="13">
        <v>0.0</v>
      </c>
      <c r="CB10" s="13">
        <v>0.0</v>
      </c>
      <c r="CC10" s="13">
        <v>0.0</v>
      </c>
      <c r="CD10" s="13">
        <v>0.0</v>
      </c>
      <c r="CE10" s="13">
        <v>0.0</v>
      </c>
      <c r="CF10" s="13">
        <v>0.0</v>
      </c>
      <c r="CG10" s="13">
        <v>0.0</v>
      </c>
      <c r="CH10" s="13">
        <v>0.0</v>
      </c>
      <c r="CI10" s="13">
        <v>0.0</v>
      </c>
      <c r="CJ10" s="13">
        <v>0.0</v>
      </c>
      <c r="CK10" s="13">
        <v>0.0</v>
      </c>
      <c r="CL10" s="13">
        <v>0.0</v>
      </c>
      <c r="CM10" s="13">
        <v>0.0</v>
      </c>
      <c r="CN10" s="13">
        <v>0.0</v>
      </c>
      <c r="CO10" s="13">
        <v>0.0</v>
      </c>
      <c r="CP10" s="13">
        <v>0.0</v>
      </c>
      <c r="CQ10" s="13">
        <v>0.0</v>
      </c>
      <c r="CR10" s="13">
        <v>0.0</v>
      </c>
      <c r="CS10" s="13">
        <v>0.0</v>
      </c>
      <c r="CT10" s="13">
        <v>0.0</v>
      </c>
      <c r="CU10" s="13">
        <v>0.0</v>
      </c>
      <c r="CV10" s="13">
        <v>0.0</v>
      </c>
      <c r="CW10" s="13">
        <v>0.0</v>
      </c>
      <c r="CX10" s="13">
        <v>0.0</v>
      </c>
      <c r="CY10" s="13">
        <v>0.0</v>
      </c>
      <c r="CZ10" s="13">
        <v>0.0</v>
      </c>
      <c r="DA10" s="13">
        <v>0.0</v>
      </c>
      <c r="DB10" s="13">
        <v>0.0</v>
      </c>
      <c r="DC10" s="13">
        <v>0.0</v>
      </c>
      <c r="DD10" s="13">
        <v>0.0</v>
      </c>
      <c r="DE10" s="13">
        <v>0.0</v>
      </c>
      <c r="DF10" s="13">
        <v>0.0</v>
      </c>
      <c r="DG10" s="13">
        <v>0.0</v>
      </c>
      <c r="DH10" s="13">
        <v>0.0</v>
      </c>
      <c r="DI10" s="13">
        <v>0.0</v>
      </c>
      <c r="DJ10" s="13">
        <v>0.0</v>
      </c>
      <c r="DK10" s="13">
        <v>0.0</v>
      </c>
      <c r="DL10" s="13">
        <v>0.0</v>
      </c>
      <c r="DM10" s="13">
        <v>0.0</v>
      </c>
      <c r="DN10" s="13">
        <v>0.0</v>
      </c>
      <c r="DO10" s="13">
        <v>0.0</v>
      </c>
      <c r="DP10" s="13">
        <v>0.0</v>
      </c>
      <c r="DQ10" s="13">
        <v>0.0</v>
      </c>
      <c r="DR10" s="13">
        <v>0.0</v>
      </c>
      <c r="DS10" s="13">
        <v>0.0</v>
      </c>
      <c r="DT10" s="13">
        <v>0.0</v>
      </c>
      <c r="DU10" s="13">
        <v>0.0</v>
      </c>
      <c r="DV10" s="13">
        <v>0.0</v>
      </c>
      <c r="DW10" s="13">
        <v>0.0</v>
      </c>
      <c r="DX10" s="13">
        <v>0.0</v>
      </c>
      <c r="DY10" s="13">
        <v>0.0</v>
      </c>
      <c r="DZ10" s="13">
        <v>0.0</v>
      </c>
      <c r="EA10" s="13">
        <v>0.0</v>
      </c>
      <c r="EB10" s="13">
        <v>0.0</v>
      </c>
      <c r="EC10" s="13">
        <v>0.0</v>
      </c>
      <c r="ED10" s="13">
        <v>0.0</v>
      </c>
      <c r="EE10" s="13">
        <v>0.0</v>
      </c>
      <c r="EF10" s="13">
        <v>0.0</v>
      </c>
      <c r="EG10" s="13">
        <v>0.0</v>
      </c>
      <c r="EH10" s="13">
        <v>0.0</v>
      </c>
      <c r="EI10" s="13">
        <v>0.0</v>
      </c>
      <c r="EJ10" s="13">
        <v>0.0</v>
      </c>
    </row>
    <row r="11">
      <c r="A11" s="9" t="s">
        <v>170</v>
      </c>
      <c r="B11" s="13"/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/>
      <c r="I11" s="16" t="str">
        <f>iferror(vlookup(A11,'Inst Lending numbers'!A:D,4,false)," ")</f>
        <v> </v>
      </c>
      <c r="J11" s="13"/>
      <c r="K11" s="13"/>
      <c r="L11" s="13"/>
      <c r="M11" s="13"/>
      <c r="N11" s="13"/>
      <c r="O11" s="13">
        <f t="shared" si="1"/>
        <v>0.03932233526</v>
      </c>
      <c r="P11" s="13">
        <f t="shared" si="2"/>
        <v>0</v>
      </c>
      <c r="Q11" s="13"/>
      <c r="R11" s="13"/>
      <c r="S11" s="13"/>
      <c r="T11" s="13"/>
      <c r="U11" s="13"/>
      <c r="V11" s="13"/>
      <c r="W11" s="13"/>
      <c r="X11" s="13"/>
      <c r="Y11" s="13">
        <f t="shared" si="3"/>
        <v>0</v>
      </c>
      <c r="Z11" s="13"/>
      <c r="AA11" s="13">
        <v>0.0</v>
      </c>
      <c r="AB11" s="13">
        <f t="shared" si="4"/>
        <v>0.1957867833</v>
      </c>
      <c r="AC11" s="13"/>
      <c r="AD11" s="13"/>
      <c r="AE11" s="13">
        <f>iferror(sumif('Weekly Rates'!D:D,A11,'Weekly Rates'!F:F)/countif('Weekly Rates'!D:D,A11),0)</f>
        <v>0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 t="str">
        <f>iferror(VLOOKUP($A11,EAM!A$2:E$14,2,FALSE))</f>
        <v/>
      </c>
      <c r="AT11" s="13"/>
      <c r="AU11" s="13">
        <f>sumif('Weekly Rates'!A:A,A11,'Weekly Rates'!B:B)</f>
        <v>0</v>
      </c>
      <c r="AV11" s="13">
        <v>0.0</v>
      </c>
      <c r="AW11" s="13">
        <v>0.0</v>
      </c>
      <c r="AX11" s="13">
        <v>0.0</v>
      </c>
      <c r="AY11" s="13">
        <v>0.0</v>
      </c>
      <c r="AZ11" s="13">
        <v>0.0</v>
      </c>
      <c r="BA11" s="13">
        <v>0.0</v>
      </c>
      <c r="BB11" s="13">
        <v>0.0</v>
      </c>
      <c r="BC11" s="13">
        <v>0.0</v>
      </c>
      <c r="BD11" s="13">
        <v>0.0</v>
      </c>
      <c r="BE11" s="13">
        <v>0.0</v>
      </c>
      <c r="BF11" s="13">
        <v>0.0</v>
      </c>
      <c r="BG11" s="13">
        <v>0.0</v>
      </c>
      <c r="BH11" s="13">
        <v>0.25</v>
      </c>
      <c r="BI11" s="13">
        <v>0.0</v>
      </c>
      <c r="BJ11" s="13">
        <v>0.0</v>
      </c>
      <c r="BK11" s="13">
        <v>0.0</v>
      </c>
      <c r="BL11" s="13">
        <v>0.0</v>
      </c>
      <c r="BM11" s="13">
        <v>0.0</v>
      </c>
      <c r="BN11" s="13">
        <v>0.0</v>
      </c>
      <c r="BO11" s="13">
        <v>0.0</v>
      </c>
      <c r="BP11" s="13">
        <v>0.0</v>
      </c>
      <c r="BQ11" s="13">
        <v>0.0</v>
      </c>
      <c r="BR11" s="13">
        <v>0.0</v>
      </c>
      <c r="BS11" s="13">
        <v>0.0</v>
      </c>
      <c r="BT11" s="13">
        <v>0.0</v>
      </c>
      <c r="BU11" s="13">
        <v>0.0</v>
      </c>
      <c r="BV11" s="13">
        <v>0.0</v>
      </c>
      <c r="BW11" s="13">
        <v>0.0</v>
      </c>
      <c r="BX11" s="13">
        <v>0.0</v>
      </c>
      <c r="BY11" s="13">
        <v>0.0</v>
      </c>
      <c r="BZ11" s="13">
        <v>0.0</v>
      </c>
      <c r="CA11" s="13">
        <v>0.0</v>
      </c>
      <c r="CB11" s="13">
        <v>0.0</v>
      </c>
      <c r="CC11" s="13">
        <v>0.0</v>
      </c>
      <c r="CD11" s="13">
        <v>0.0</v>
      </c>
      <c r="CE11" s="13">
        <v>0.0</v>
      </c>
      <c r="CF11" s="13">
        <v>0.0</v>
      </c>
      <c r="CG11" s="13">
        <v>0.0</v>
      </c>
      <c r="CH11" s="13">
        <v>0.0</v>
      </c>
      <c r="CI11" s="13">
        <v>0.0</v>
      </c>
      <c r="CJ11" s="13">
        <v>0.0</v>
      </c>
      <c r="CK11" s="13">
        <v>0.0</v>
      </c>
      <c r="CL11" s="13">
        <v>0.0</v>
      </c>
      <c r="CM11" s="13">
        <v>0.0</v>
      </c>
      <c r="CN11" s="13">
        <v>0.0</v>
      </c>
      <c r="CO11" s="13">
        <v>0.0</v>
      </c>
      <c r="CP11" s="13">
        <v>0.0</v>
      </c>
      <c r="CQ11" s="13">
        <v>0.0</v>
      </c>
      <c r="CR11" s="13">
        <v>0.0</v>
      </c>
      <c r="CS11" s="13">
        <v>0.0</v>
      </c>
      <c r="CT11" s="13">
        <v>0.0</v>
      </c>
      <c r="CU11" s="13">
        <v>0.0</v>
      </c>
      <c r="CV11" s="13">
        <v>0.0</v>
      </c>
      <c r="CW11" s="13">
        <v>0.0</v>
      </c>
      <c r="CX11" s="13">
        <v>0.0</v>
      </c>
      <c r="CY11" s="13">
        <v>0.0</v>
      </c>
      <c r="CZ11" s="13">
        <v>0.0</v>
      </c>
      <c r="DA11" s="13">
        <v>0.0</v>
      </c>
      <c r="DB11" s="13">
        <v>0.0</v>
      </c>
      <c r="DC11" s="13">
        <v>0.0</v>
      </c>
      <c r="DD11" s="13">
        <v>0.0</v>
      </c>
      <c r="DE11" s="13">
        <v>0.0</v>
      </c>
      <c r="DF11" s="13">
        <v>0.0</v>
      </c>
      <c r="DG11" s="13">
        <v>0.0</v>
      </c>
      <c r="DH11" s="13">
        <v>0.0</v>
      </c>
      <c r="DI11" s="13">
        <v>0.0</v>
      </c>
      <c r="DJ11" s="13">
        <v>0.0</v>
      </c>
      <c r="DK11" s="13">
        <v>0.0</v>
      </c>
      <c r="DL11" s="13">
        <v>0.0</v>
      </c>
      <c r="DM11" s="13">
        <v>0.0</v>
      </c>
      <c r="DN11" s="13">
        <v>0.0</v>
      </c>
      <c r="DO11" s="13">
        <v>0.0</v>
      </c>
      <c r="DP11" s="13">
        <v>0.0</v>
      </c>
      <c r="DQ11" s="13">
        <v>0.0</v>
      </c>
      <c r="DR11" s="13">
        <v>0.0</v>
      </c>
      <c r="DS11" s="13">
        <v>0.0</v>
      </c>
      <c r="DT11" s="13">
        <v>0.0</v>
      </c>
      <c r="DU11" s="13">
        <v>0.0</v>
      </c>
      <c r="DV11" s="13">
        <v>0.0</v>
      </c>
      <c r="DW11" s="13">
        <v>0.0</v>
      </c>
      <c r="DX11" s="13">
        <v>0.0</v>
      </c>
      <c r="DY11" s="13">
        <v>0.0</v>
      </c>
      <c r="DZ11" s="13">
        <v>0.0</v>
      </c>
      <c r="EA11" s="13">
        <v>0.0</v>
      </c>
      <c r="EB11" s="13">
        <v>0.0</v>
      </c>
      <c r="EC11" s="13">
        <v>0.0</v>
      </c>
      <c r="ED11" s="13">
        <v>0.0</v>
      </c>
      <c r="EE11" s="13">
        <v>0.0</v>
      </c>
      <c r="EF11" s="13">
        <v>0.0</v>
      </c>
      <c r="EG11" s="13">
        <v>0.0</v>
      </c>
      <c r="EH11" s="13">
        <v>0.0</v>
      </c>
      <c r="EI11" s="13">
        <v>0.0</v>
      </c>
      <c r="EJ11" s="13">
        <v>0.0</v>
      </c>
    </row>
    <row r="12">
      <c r="A12" s="9" t="s">
        <v>171</v>
      </c>
      <c r="B12" s="13"/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/>
      <c r="I12" s="16" t="str">
        <f>iferror(vlookup(A12,'Inst Lending numbers'!A:D,4,false)," ")</f>
        <v> </v>
      </c>
      <c r="J12" s="13"/>
      <c r="K12" s="13"/>
      <c r="L12" s="13"/>
      <c r="M12" s="13"/>
      <c r="N12" s="13"/>
      <c r="O12" s="13">
        <f t="shared" si="1"/>
        <v>0.03932233526</v>
      </c>
      <c r="P12" s="13">
        <f t="shared" si="2"/>
        <v>0</v>
      </c>
      <c r="Q12" s="13"/>
      <c r="R12" s="13"/>
      <c r="S12" s="13"/>
      <c r="T12" s="13"/>
      <c r="U12" s="13"/>
      <c r="V12" s="13"/>
      <c r="W12" s="13"/>
      <c r="X12" s="13"/>
      <c r="Y12" s="13">
        <f t="shared" si="3"/>
        <v>0</v>
      </c>
      <c r="Z12" s="13"/>
      <c r="AA12" s="13">
        <v>0.0</v>
      </c>
      <c r="AB12" s="13">
        <f t="shared" si="4"/>
        <v>0.1957867833</v>
      </c>
      <c r="AC12" s="13"/>
      <c r="AD12" s="13"/>
      <c r="AE12" s="13">
        <f>iferror(sumif('Weekly Rates'!D:D,A12,'Weekly Rates'!F:F)/countif('Weekly Rates'!D:D,A12),0)</f>
        <v>0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 t="str">
        <f>iferror(VLOOKUP($A12,EAM!A$2:E$14,2,FALSE))</f>
        <v/>
      </c>
      <c r="AT12" s="13"/>
      <c r="AU12" s="13">
        <f>sumif('Weekly Rates'!A:A,A12,'Weekly Rates'!B:B)</f>
        <v>0</v>
      </c>
      <c r="AV12" s="13">
        <v>0.0</v>
      </c>
      <c r="AW12" s="13">
        <v>0.0</v>
      </c>
      <c r="AX12" s="13">
        <v>0.0</v>
      </c>
      <c r="AY12" s="13">
        <v>0.0</v>
      </c>
      <c r="AZ12" s="13">
        <v>0.0</v>
      </c>
      <c r="BA12" s="13">
        <v>0.0</v>
      </c>
      <c r="BB12" s="13">
        <v>0.0</v>
      </c>
      <c r="BC12" s="13">
        <v>0.0</v>
      </c>
      <c r="BD12" s="13">
        <v>0.0</v>
      </c>
      <c r="BE12" s="13">
        <v>0.0</v>
      </c>
      <c r="BF12" s="13">
        <v>0.0</v>
      </c>
      <c r="BG12" s="13">
        <v>0.0</v>
      </c>
      <c r="BH12" s="13">
        <v>0.0</v>
      </c>
      <c r="BI12" s="13">
        <v>0.0</v>
      </c>
      <c r="BJ12" s="13">
        <v>0.0</v>
      </c>
      <c r="BK12" s="13">
        <v>0.0</v>
      </c>
      <c r="BL12" s="13">
        <v>0.0</v>
      </c>
      <c r="BM12" s="13">
        <v>0.0</v>
      </c>
      <c r="BN12" s="13">
        <v>0.0</v>
      </c>
      <c r="BO12" s="13">
        <v>0.0</v>
      </c>
      <c r="BP12" s="13">
        <v>0.0</v>
      </c>
      <c r="BQ12" s="13">
        <v>0.0</v>
      </c>
      <c r="BR12" s="13">
        <v>0.0</v>
      </c>
      <c r="BS12" s="13">
        <v>0.0</v>
      </c>
      <c r="BT12" s="13">
        <v>0.0</v>
      </c>
      <c r="BU12" s="13">
        <v>0.0</v>
      </c>
      <c r="BV12" s="13">
        <v>0.0</v>
      </c>
      <c r="BW12" s="13">
        <v>0.0</v>
      </c>
      <c r="BX12" s="13">
        <v>0.0</v>
      </c>
      <c r="BY12" s="13">
        <v>0.0</v>
      </c>
      <c r="BZ12" s="13">
        <v>0.0</v>
      </c>
      <c r="CA12" s="13">
        <v>0.0</v>
      </c>
      <c r="CB12" s="13">
        <v>0.0</v>
      </c>
      <c r="CC12" s="13">
        <v>0.0</v>
      </c>
      <c r="CD12" s="13">
        <v>0.0</v>
      </c>
      <c r="CE12" s="13">
        <v>0.0</v>
      </c>
      <c r="CF12" s="13">
        <v>0.0</v>
      </c>
      <c r="CG12" s="13">
        <v>0.0</v>
      </c>
      <c r="CH12" s="13">
        <v>0.0</v>
      </c>
      <c r="CI12" s="13">
        <v>0.0</v>
      </c>
      <c r="CJ12" s="13">
        <v>0.0</v>
      </c>
      <c r="CK12" s="13">
        <v>0.0</v>
      </c>
      <c r="CL12" s="13">
        <v>0.0</v>
      </c>
      <c r="CM12" s="13">
        <v>0.0</v>
      </c>
      <c r="CN12" s="13">
        <v>0.0</v>
      </c>
      <c r="CO12" s="13">
        <v>0.0</v>
      </c>
      <c r="CP12" s="13">
        <v>0.0</v>
      </c>
      <c r="CQ12" s="13">
        <v>0.0</v>
      </c>
      <c r="CR12" s="13">
        <v>0.0</v>
      </c>
      <c r="CS12" s="13">
        <v>0.0</v>
      </c>
      <c r="CT12" s="13">
        <v>0.0</v>
      </c>
      <c r="CU12" s="13">
        <v>0.0</v>
      </c>
      <c r="CV12" s="13">
        <v>0.0</v>
      </c>
      <c r="CW12" s="13">
        <v>0.0</v>
      </c>
      <c r="CX12" s="13">
        <v>0.0</v>
      </c>
      <c r="CY12" s="13">
        <v>0.0</v>
      </c>
      <c r="CZ12" s="13">
        <v>0.0</v>
      </c>
      <c r="DA12" s="13">
        <v>0.0</v>
      </c>
      <c r="DB12" s="13">
        <v>0.0</v>
      </c>
      <c r="DC12" s="13">
        <v>0.0</v>
      </c>
      <c r="DD12" s="13">
        <v>0.0</v>
      </c>
      <c r="DE12" s="13">
        <v>0.0</v>
      </c>
      <c r="DF12" s="13">
        <v>0.0</v>
      </c>
      <c r="DG12" s="13">
        <v>0.0</v>
      </c>
      <c r="DH12" s="13">
        <v>0.0</v>
      </c>
      <c r="DI12" s="13">
        <v>0.0</v>
      </c>
      <c r="DJ12" s="13">
        <v>0.0</v>
      </c>
      <c r="DK12" s="13">
        <v>0.0</v>
      </c>
      <c r="DL12" s="13">
        <v>0.0</v>
      </c>
      <c r="DM12" s="13">
        <v>0.0</v>
      </c>
      <c r="DN12" s="13">
        <v>0.0</v>
      </c>
      <c r="DO12" s="13">
        <v>0.0</v>
      </c>
      <c r="DP12" s="13">
        <v>0.0</v>
      </c>
      <c r="DQ12" s="13">
        <v>0.0</v>
      </c>
      <c r="DR12" s="13">
        <v>0.0</v>
      </c>
      <c r="DS12" s="13">
        <v>0.0</v>
      </c>
      <c r="DT12" s="13"/>
      <c r="DU12" s="13">
        <v>0.0</v>
      </c>
      <c r="DV12" s="13">
        <v>0.0</v>
      </c>
      <c r="DW12" s="13">
        <v>0.0</v>
      </c>
      <c r="DX12" s="13"/>
      <c r="DY12" s="13">
        <v>0.0</v>
      </c>
      <c r="DZ12" s="13">
        <v>0.0</v>
      </c>
      <c r="EA12" s="13">
        <v>0.0</v>
      </c>
      <c r="EB12" s="13">
        <v>0.0</v>
      </c>
      <c r="EC12" s="13">
        <v>0.0</v>
      </c>
      <c r="ED12" s="13">
        <v>0.0</v>
      </c>
      <c r="EE12" s="13">
        <v>0.0</v>
      </c>
      <c r="EF12" s="13">
        <v>0.0</v>
      </c>
      <c r="EG12" s="13">
        <v>0.0</v>
      </c>
      <c r="EH12" s="13">
        <v>0.0</v>
      </c>
      <c r="EI12" s="13">
        <v>0.0</v>
      </c>
      <c r="EJ12" s="13">
        <v>0.0</v>
      </c>
    </row>
    <row r="13">
      <c r="A13" s="9" t="s">
        <v>172</v>
      </c>
      <c r="B13" s="13"/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/>
      <c r="I13" s="16" t="str">
        <f>iferror(vlookup(A13,'Inst Lending numbers'!A:D,4,false)," ")</f>
        <v> </v>
      </c>
      <c r="J13" s="13"/>
      <c r="K13" s="13"/>
      <c r="L13" s="13"/>
      <c r="M13" s="13"/>
      <c r="N13" s="13"/>
      <c r="O13" s="13">
        <f t="shared" si="1"/>
        <v>0.03932233526</v>
      </c>
      <c r="P13" s="13">
        <f t="shared" si="2"/>
        <v>0</v>
      </c>
      <c r="Q13" s="13"/>
      <c r="R13" s="13"/>
      <c r="S13" s="13"/>
      <c r="T13" s="13"/>
      <c r="U13" s="13"/>
      <c r="V13" s="13"/>
      <c r="W13" s="13"/>
      <c r="X13" s="13"/>
      <c r="Y13" s="13">
        <f t="shared" si="3"/>
        <v>0</v>
      </c>
      <c r="Z13" s="13"/>
      <c r="AA13" s="13">
        <v>0.0</v>
      </c>
      <c r="AB13" s="13">
        <f t="shared" si="4"/>
        <v>0.1957867833</v>
      </c>
      <c r="AC13" s="13"/>
      <c r="AD13" s="13"/>
      <c r="AE13" s="13">
        <f>iferror(sumif('Weekly Rates'!D:D,A13,'Weekly Rates'!F:F)/countif('Weekly Rates'!D:D,A13),0)</f>
        <v>0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 t="str">
        <f>iferror(VLOOKUP($A13,EAM!A$2:E$14,2,FALSE))</f>
        <v/>
      </c>
      <c r="AT13" s="13"/>
      <c r="AU13" s="13">
        <f>sumif('Weekly Rates'!A:A,A13,'Weekly Rates'!B:B)</f>
        <v>0</v>
      </c>
      <c r="AV13" s="13">
        <v>0.0</v>
      </c>
      <c r="AW13" s="13">
        <v>0.0</v>
      </c>
      <c r="AX13" s="13">
        <v>0.0</v>
      </c>
      <c r="AY13" s="13">
        <v>0.0</v>
      </c>
      <c r="AZ13" s="13">
        <v>0.0</v>
      </c>
      <c r="BA13" s="13">
        <v>0.0</v>
      </c>
      <c r="BB13" s="13">
        <v>0.0</v>
      </c>
      <c r="BC13" s="13">
        <v>0.0</v>
      </c>
      <c r="BD13" s="13">
        <v>5.0E-4</v>
      </c>
      <c r="BE13" s="13">
        <v>0.0</v>
      </c>
      <c r="BF13" s="13">
        <v>0.0</v>
      </c>
      <c r="BG13" s="13">
        <v>0.0</v>
      </c>
      <c r="BH13" s="13">
        <v>0.0</v>
      </c>
      <c r="BI13" s="13">
        <v>0.0</v>
      </c>
      <c r="BJ13" s="13">
        <v>0.0</v>
      </c>
      <c r="BK13" s="13">
        <v>0.0</v>
      </c>
      <c r="BL13" s="13">
        <v>0.0</v>
      </c>
      <c r="BM13" s="13">
        <v>0.0</v>
      </c>
      <c r="BN13" s="13">
        <v>0.0</v>
      </c>
      <c r="BO13" s="13">
        <v>0.0</v>
      </c>
      <c r="BP13" s="13">
        <v>0.0</v>
      </c>
      <c r="BQ13" s="13">
        <v>0.0</v>
      </c>
      <c r="BR13" s="13">
        <v>0.0</v>
      </c>
      <c r="BS13" s="13">
        <v>0.0</v>
      </c>
      <c r="BT13" s="13">
        <v>0.0</v>
      </c>
      <c r="BU13" s="13">
        <v>0.0</v>
      </c>
      <c r="BV13" s="13">
        <v>0.0</v>
      </c>
      <c r="BW13" s="13">
        <v>0.0</v>
      </c>
      <c r="BX13" s="13">
        <v>0.0</v>
      </c>
      <c r="BY13" s="13">
        <v>0.0</v>
      </c>
      <c r="BZ13" s="13">
        <v>0.0</v>
      </c>
      <c r="CA13" s="13">
        <v>0.0</v>
      </c>
      <c r="CB13" s="13">
        <v>0.0</v>
      </c>
      <c r="CC13" s="13">
        <v>0.0</v>
      </c>
      <c r="CD13" s="13">
        <v>0.0</v>
      </c>
      <c r="CE13" s="13">
        <v>0.0</v>
      </c>
      <c r="CF13" s="13">
        <v>0.0</v>
      </c>
      <c r="CG13" s="13">
        <v>0.0</v>
      </c>
      <c r="CH13" s="13">
        <v>0.0</v>
      </c>
      <c r="CI13" s="13">
        <v>0.0</v>
      </c>
      <c r="CJ13" s="13">
        <v>0.0</v>
      </c>
      <c r="CK13" s="13">
        <v>0.0</v>
      </c>
      <c r="CL13" s="13">
        <v>0.0</v>
      </c>
      <c r="CM13" s="13">
        <v>0.0</v>
      </c>
      <c r="CN13" s="13">
        <v>0.0</v>
      </c>
      <c r="CO13" s="13">
        <v>0.0</v>
      </c>
      <c r="CP13" s="13">
        <v>0.0</v>
      </c>
      <c r="CQ13" s="13">
        <v>0.0</v>
      </c>
      <c r="CR13" s="13">
        <v>0.0</v>
      </c>
      <c r="CS13" s="13">
        <v>0.0</v>
      </c>
      <c r="CT13" s="13">
        <v>0.0</v>
      </c>
      <c r="CU13" s="13">
        <v>0.0</v>
      </c>
      <c r="CV13" s="13">
        <v>0.0</v>
      </c>
      <c r="CW13" s="13">
        <v>0.0</v>
      </c>
      <c r="CX13" s="13">
        <v>0.0</v>
      </c>
      <c r="CY13" s="13">
        <v>0.0</v>
      </c>
      <c r="CZ13" s="13">
        <v>0.0</v>
      </c>
      <c r="DA13" s="13">
        <v>0.0</v>
      </c>
      <c r="DB13" s="13">
        <v>0.0</v>
      </c>
      <c r="DC13" s="13">
        <v>0.0</v>
      </c>
      <c r="DD13" s="13">
        <v>0.0</v>
      </c>
      <c r="DE13" s="13">
        <v>0.0</v>
      </c>
      <c r="DF13" s="13">
        <v>0.0</v>
      </c>
      <c r="DG13" s="13">
        <v>0.0</v>
      </c>
      <c r="DH13" s="13">
        <v>0.0</v>
      </c>
      <c r="DI13" s="13">
        <v>0.0</v>
      </c>
      <c r="DJ13" s="13">
        <v>0.0</v>
      </c>
      <c r="DK13" s="13">
        <v>0.0</v>
      </c>
      <c r="DL13" s="13">
        <v>0.0</v>
      </c>
      <c r="DM13" s="13">
        <v>0.0</v>
      </c>
      <c r="DN13" s="13">
        <v>0.0</v>
      </c>
      <c r="DO13" s="13">
        <v>0.0</v>
      </c>
      <c r="DP13" s="13">
        <v>0.0</v>
      </c>
      <c r="DQ13" s="13">
        <v>0.0</v>
      </c>
      <c r="DR13" s="13">
        <v>0.0</v>
      </c>
      <c r="DS13" s="13">
        <v>0.0</v>
      </c>
      <c r="DT13" s="13"/>
      <c r="DU13" s="13">
        <v>0.0</v>
      </c>
      <c r="DV13" s="13">
        <v>0.0</v>
      </c>
      <c r="DW13" s="13">
        <v>0.0</v>
      </c>
      <c r="DX13" s="13"/>
      <c r="DY13" s="13">
        <v>0.0</v>
      </c>
      <c r="DZ13" s="13">
        <v>0.0</v>
      </c>
      <c r="EA13" s="13">
        <v>0.0</v>
      </c>
      <c r="EB13" s="13">
        <v>0.0</v>
      </c>
      <c r="EC13" s="13">
        <v>0.0</v>
      </c>
      <c r="ED13" s="13">
        <v>0.0</v>
      </c>
      <c r="EE13" s="13">
        <v>0.0</v>
      </c>
      <c r="EF13" s="13">
        <v>0.0</v>
      </c>
      <c r="EG13" s="13">
        <v>0.0</v>
      </c>
      <c r="EH13" s="13">
        <v>0.0</v>
      </c>
      <c r="EI13" s="13">
        <v>0.0</v>
      </c>
      <c r="EJ13" s="13">
        <v>0.0</v>
      </c>
    </row>
    <row r="14">
      <c r="A14" s="9" t="s">
        <v>173</v>
      </c>
      <c r="B14" s="13"/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/>
      <c r="I14" s="16" t="str">
        <f>iferror(vlookup(A14,'Inst Lending numbers'!A:D,4,false)," ")</f>
        <v> </v>
      </c>
      <c r="J14" s="13"/>
      <c r="K14" s="13"/>
      <c r="L14" s="13"/>
      <c r="M14" s="13"/>
      <c r="N14" s="13"/>
      <c r="O14" s="13">
        <f t="shared" si="1"/>
        <v>0.03932233526</v>
      </c>
      <c r="P14" s="13">
        <f t="shared" si="2"/>
        <v>0</v>
      </c>
      <c r="Q14" s="13"/>
      <c r="R14" s="13"/>
      <c r="S14" s="13"/>
      <c r="T14" s="13"/>
      <c r="U14" s="13"/>
      <c r="V14" s="13"/>
      <c r="W14" s="13"/>
      <c r="X14" s="13"/>
      <c r="Y14" s="13">
        <f t="shared" si="3"/>
        <v>0</v>
      </c>
      <c r="Z14" s="13"/>
      <c r="AA14" s="13">
        <v>0.0</v>
      </c>
      <c r="AB14" s="13">
        <f t="shared" si="4"/>
        <v>0.1957867833</v>
      </c>
      <c r="AC14" s="13"/>
      <c r="AD14" s="13"/>
      <c r="AE14" s="13">
        <f>iferror(sumif('Weekly Rates'!D:D,A14,'Weekly Rates'!F:F)/countif('Weekly Rates'!D:D,A14),0)</f>
        <v>0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 t="str">
        <f>iferror(VLOOKUP($A14,EAM!A$2:E$14,2,FALSE))</f>
        <v/>
      </c>
      <c r="AT14" s="13"/>
      <c r="AU14" s="13">
        <f>sumif('Weekly Rates'!A:A,A14,'Weekly Rates'!B:B)</f>
        <v>0</v>
      </c>
      <c r="AV14" s="13">
        <v>0.0</v>
      </c>
      <c r="AW14" s="13">
        <v>0.0</v>
      </c>
      <c r="AX14" s="13">
        <v>0.0</v>
      </c>
      <c r="AY14" s="13">
        <v>0.0</v>
      </c>
      <c r="AZ14" s="13">
        <v>0.0</v>
      </c>
      <c r="BA14" s="13">
        <v>0.0</v>
      </c>
      <c r="BB14" s="13">
        <v>0.0</v>
      </c>
      <c r="BC14" s="13">
        <v>0.0</v>
      </c>
      <c r="BD14" s="13">
        <v>0.0</v>
      </c>
      <c r="BE14" s="13">
        <v>0.0</v>
      </c>
      <c r="BF14" s="13">
        <v>0.0</v>
      </c>
      <c r="BG14" s="13">
        <v>0.0</v>
      </c>
      <c r="BH14" s="13">
        <v>0.0</v>
      </c>
      <c r="BI14" s="13">
        <v>0.0</v>
      </c>
      <c r="BJ14" s="13">
        <v>0.0</v>
      </c>
      <c r="BK14" s="13">
        <v>0.0</v>
      </c>
      <c r="BL14" s="13">
        <v>0.0</v>
      </c>
      <c r="BM14" s="13">
        <v>0.0</v>
      </c>
      <c r="BN14" s="13">
        <v>0.0</v>
      </c>
      <c r="BO14" s="13">
        <v>0.0</v>
      </c>
      <c r="BP14" s="13">
        <v>0.0</v>
      </c>
      <c r="BQ14" s="13">
        <v>0.0</v>
      </c>
      <c r="BR14" s="13">
        <v>0.0</v>
      </c>
      <c r="BS14" s="13">
        <v>0.0</v>
      </c>
      <c r="BT14" s="13">
        <v>0.0</v>
      </c>
      <c r="BU14" s="13">
        <v>0.0</v>
      </c>
      <c r="BV14" s="13">
        <v>0.0</v>
      </c>
      <c r="BW14" s="13">
        <v>0.0</v>
      </c>
      <c r="BX14" s="13">
        <v>0.0</v>
      </c>
      <c r="BY14" s="13">
        <v>0.0</v>
      </c>
      <c r="BZ14" s="13">
        <v>0.0</v>
      </c>
      <c r="CA14" s="13">
        <v>0.0</v>
      </c>
      <c r="CB14" s="13">
        <v>0.0</v>
      </c>
      <c r="CC14" s="13">
        <v>0.0</v>
      </c>
      <c r="CD14" s="13">
        <v>0.0</v>
      </c>
      <c r="CE14" s="13">
        <v>0.0</v>
      </c>
      <c r="CF14" s="13">
        <v>0.0</v>
      </c>
      <c r="CG14" s="13">
        <v>0.0</v>
      </c>
      <c r="CH14" s="13">
        <v>0.0</v>
      </c>
      <c r="CI14" s="13">
        <v>0.0</v>
      </c>
      <c r="CJ14" s="13">
        <v>0.0</v>
      </c>
      <c r="CK14" s="13">
        <v>0.0</v>
      </c>
      <c r="CL14" s="13">
        <v>0.0</v>
      </c>
      <c r="CM14" s="13">
        <v>0.0</v>
      </c>
      <c r="CN14" s="13">
        <v>0.0</v>
      </c>
      <c r="CO14" s="13">
        <v>0.0</v>
      </c>
      <c r="CP14" s="13">
        <v>0.0</v>
      </c>
      <c r="CQ14" s="13">
        <v>0.0</v>
      </c>
      <c r="CR14" s="13">
        <v>0.0</v>
      </c>
      <c r="CS14" s="13">
        <v>0.0</v>
      </c>
      <c r="CT14" s="13">
        <v>0.0</v>
      </c>
      <c r="CU14" s="13">
        <v>0.0</v>
      </c>
      <c r="CV14" s="13">
        <v>0.0</v>
      </c>
      <c r="CW14" s="13">
        <v>0.0</v>
      </c>
      <c r="CX14" s="13">
        <v>0.0</v>
      </c>
      <c r="CY14" s="13">
        <v>0.0</v>
      </c>
      <c r="CZ14" s="13">
        <v>0.0</v>
      </c>
      <c r="DA14" s="13">
        <v>0.0</v>
      </c>
      <c r="DB14" s="13">
        <v>0.0</v>
      </c>
      <c r="DC14" s="13">
        <v>0.0</v>
      </c>
      <c r="DD14" s="13">
        <v>0.0</v>
      </c>
      <c r="DE14" s="13">
        <v>0.0</v>
      </c>
      <c r="DF14" s="13">
        <v>0.0</v>
      </c>
      <c r="DG14" s="13">
        <v>0.0</v>
      </c>
      <c r="DH14" s="13">
        <v>0.0</v>
      </c>
      <c r="DI14" s="13">
        <v>0.0</v>
      </c>
      <c r="DJ14" s="13">
        <v>0.0</v>
      </c>
      <c r="DK14" s="13">
        <v>0.0</v>
      </c>
      <c r="DL14" s="13">
        <v>0.0</v>
      </c>
      <c r="DM14" s="13">
        <v>0.0</v>
      </c>
      <c r="DN14" s="13">
        <v>0.0</v>
      </c>
      <c r="DO14" s="13">
        <v>0.0</v>
      </c>
      <c r="DP14" s="13">
        <v>0.0</v>
      </c>
      <c r="DQ14" s="13">
        <v>0.0</v>
      </c>
      <c r="DR14" s="13">
        <v>0.0</v>
      </c>
      <c r="DS14" s="13">
        <v>0.0</v>
      </c>
      <c r="DT14" s="13"/>
      <c r="DU14" s="13">
        <v>0.0</v>
      </c>
      <c r="DV14" s="13">
        <v>0.0</v>
      </c>
      <c r="DW14" s="13">
        <v>0.0</v>
      </c>
      <c r="DX14" s="13"/>
      <c r="DY14" s="13">
        <v>0.0</v>
      </c>
      <c r="DZ14" s="13">
        <v>0.0</v>
      </c>
      <c r="EA14" s="13">
        <v>0.0</v>
      </c>
      <c r="EB14" s="13">
        <v>0.0</v>
      </c>
      <c r="EC14" s="13">
        <v>0.0</v>
      </c>
      <c r="ED14" s="13">
        <v>0.0</v>
      </c>
      <c r="EE14" s="13">
        <v>0.0</v>
      </c>
      <c r="EF14" s="13">
        <v>0.0</v>
      </c>
      <c r="EG14" s="13">
        <v>0.0</v>
      </c>
      <c r="EH14" s="13">
        <v>0.0</v>
      </c>
      <c r="EI14" s="13">
        <v>0.0</v>
      </c>
      <c r="EJ14" s="13">
        <v>0.0</v>
      </c>
    </row>
    <row r="15">
      <c r="A15" s="7" t="s">
        <v>174</v>
      </c>
      <c r="B15" s="13"/>
      <c r="C15" s="13"/>
      <c r="D15" s="13"/>
      <c r="E15" s="13"/>
      <c r="F15" s="13"/>
      <c r="G15" s="13"/>
      <c r="H15" s="13"/>
      <c r="I15" s="16"/>
      <c r="J15" s="13"/>
      <c r="K15" s="13"/>
      <c r="L15" s="13"/>
      <c r="M15" s="13"/>
      <c r="N15" s="13"/>
      <c r="O15" s="13"/>
      <c r="P15" s="13">
        <f t="shared" si="2"/>
        <v>0</v>
      </c>
      <c r="Q15" s="13"/>
      <c r="R15" s="13"/>
      <c r="S15" s="13"/>
      <c r="T15" s="13"/>
      <c r="U15" s="13"/>
      <c r="V15" s="13"/>
      <c r="W15" s="13"/>
      <c r="X15" s="13"/>
      <c r="Y15" s="13">
        <f t="shared" si="3"/>
        <v>0</v>
      </c>
      <c r="Z15" s="13"/>
      <c r="AA15" s="13">
        <v>0.0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 t="str">
        <f>iferror(VLOOKUP($A15,EAM!A$2:E$14,2,FALSE))</f>
        <v/>
      </c>
      <c r="AT15" s="13"/>
      <c r="AU15" s="13"/>
      <c r="AV15" s="13"/>
      <c r="AW15" s="13"/>
      <c r="AX15" s="13"/>
      <c r="AY15" s="13">
        <v>0.0</v>
      </c>
      <c r="AZ15" s="13">
        <v>0.0</v>
      </c>
      <c r="BA15" s="13">
        <v>0.0</v>
      </c>
      <c r="BB15" s="13">
        <v>0.0</v>
      </c>
      <c r="BC15" s="13">
        <v>0.0</v>
      </c>
      <c r="BD15" s="13">
        <v>0.0</v>
      </c>
      <c r="BE15" s="13">
        <v>0.0</v>
      </c>
      <c r="BF15" s="13">
        <v>0.0</v>
      </c>
      <c r="BG15" s="13">
        <v>0.0</v>
      </c>
      <c r="BH15" s="13">
        <v>0.0</v>
      </c>
      <c r="BI15" s="13">
        <v>0.0</v>
      </c>
      <c r="BJ15" s="13">
        <v>0.0</v>
      </c>
      <c r="BK15" s="13">
        <v>0.0</v>
      </c>
      <c r="BL15" s="13">
        <v>0.0</v>
      </c>
      <c r="BM15" s="13">
        <v>0.0</v>
      </c>
      <c r="BN15" s="13">
        <v>0.0</v>
      </c>
      <c r="BO15" s="13">
        <v>0.0</v>
      </c>
      <c r="BP15" s="13">
        <v>0.0</v>
      </c>
      <c r="BQ15" s="13">
        <v>0.0</v>
      </c>
      <c r="BR15" s="13">
        <v>0.0</v>
      </c>
      <c r="BS15" s="13">
        <v>0.0</v>
      </c>
      <c r="BT15" s="13">
        <v>0.0</v>
      </c>
      <c r="BU15" s="13">
        <v>0.0</v>
      </c>
      <c r="BV15" s="13">
        <v>0.0</v>
      </c>
      <c r="BW15" s="13">
        <v>0.0</v>
      </c>
      <c r="BX15" s="13">
        <v>0.0</v>
      </c>
      <c r="BY15" s="13">
        <v>0.0</v>
      </c>
      <c r="BZ15" s="13">
        <v>0.0</v>
      </c>
      <c r="CA15" s="13">
        <v>0.0</v>
      </c>
      <c r="CB15" s="13">
        <v>0.0</v>
      </c>
      <c r="CC15" s="13">
        <v>0.0</v>
      </c>
      <c r="CD15" s="13">
        <v>0.0</v>
      </c>
      <c r="CE15" s="13">
        <v>0.0</v>
      </c>
      <c r="CF15" s="13">
        <v>0.0</v>
      </c>
      <c r="CG15" s="13">
        <v>0.0</v>
      </c>
      <c r="CH15" s="13">
        <v>0.0</v>
      </c>
      <c r="CI15" s="13">
        <v>0.0</v>
      </c>
      <c r="CJ15" s="13">
        <v>0.0</v>
      </c>
      <c r="CK15" s="13">
        <v>0.0</v>
      </c>
      <c r="CL15" s="13">
        <v>0.0</v>
      </c>
      <c r="CM15" s="13">
        <v>0.0</v>
      </c>
      <c r="CN15" s="13">
        <v>0.0</v>
      </c>
      <c r="CO15" s="13">
        <v>0.0</v>
      </c>
      <c r="CP15" s="13">
        <v>0.0</v>
      </c>
      <c r="CQ15" s="13">
        <v>0.0</v>
      </c>
      <c r="CR15" s="13">
        <v>0.0</v>
      </c>
      <c r="CS15" s="13">
        <v>0.0</v>
      </c>
      <c r="CT15" s="13">
        <v>0.0</v>
      </c>
      <c r="CU15" s="13">
        <v>0.0</v>
      </c>
      <c r="CV15" s="13">
        <v>0.0</v>
      </c>
      <c r="CW15" s="13">
        <v>0.0</v>
      </c>
      <c r="CX15" s="13">
        <v>0.0</v>
      </c>
      <c r="CY15" s="13">
        <v>0.0</v>
      </c>
      <c r="CZ15" s="13">
        <v>0.0</v>
      </c>
      <c r="DA15" s="13">
        <v>0.0</v>
      </c>
      <c r="DB15" s="13">
        <v>0.0</v>
      </c>
      <c r="DC15" s="13">
        <v>0.0</v>
      </c>
      <c r="DD15" s="13">
        <v>0.0</v>
      </c>
      <c r="DE15" s="13">
        <v>0.0</v>
      </c>
      <c r="DF15" s="13">
        <v>0.0</v>
      </c>
      <c r="DG15" s="13">
        <v>0.0</v>
      </c>
      <c r="DH15" s="13">
        <v>0.0</v>
      </c>
      <c r="DI15" s="13">
        <v>0.0</v>
      </c>
      <c r="DJ15" s="13">
        <v>0.0</v>
      </c>
      <c r="DK15" s="13">
        <v>0.0</v>
      </c>
      <c r="DL15" s="13">
        <v>0.0</v>
      </c>
      <c r="DM15" s="13">
        <v>0.0</v>
      </c>
      <c r="DN15" s="13">
        <v>0.0</v>
      </c>
      <c r="DO15" s="13">
        <v>0.0</v>
      </c>
      <c r="DP15" s="13">
        <v>0.0</v>
      </c>
      <c r="DQ15" s="13">
        <v>0.0</v>
      </c>
      <c r="DR15" s="13">
        <v>0.0</v>
      </c>
      <c r="DS15" s="13">
        <v>0.0</v>
      </c>
      <c r="DT15" s="13"/>
      <c r="DU15" s="13">
        <v>0.0</v>
      </c>
      <c r="DV15" s="13">
        <v>0.0</v>
      </c>
      <c r="DW15" s="13">
        <v>0.0</v>
      </c>
      <c r="DX15" s="13"/>
      <c r="DY15" s="13">
        <v>0.0</v>
      </c>
      <c r="DZ15" s="13">
        <v>0.0</v>
      </c>
      <c r="EA15" s="13">
        <v>0.0</v>
      </c>
      <c r="EB15" s="13">
        <v>0.0</v>
      </c>
      <c r="EC15" s="13">
        <v>0.0</v>
      </c>
      <c r="ED15" s="13">
        <v>0.0</v>
      </c>
      <c r="EE15" s="13">
        <v>0.0</v>
      </c>
      <c r="EF15" s="13">
        <v>0.0</v>
      </c>
      <c r="EG15" s="13">
        <v>0.0</v>
      </c>
      <c r="EH15" s="13">
        <v>0.0</v>
      </c>
      <c r="EI15" s="13">
        <v>0.0</v>
      </c>
      <c r="EJ15" s="13">
        <v>0.0</v>
      </c>
    </row>
    <row r="16">
      <c r="A16" s="7" t="s">
        <v>175</v>
      </c>
      <c r="B16" s="13"/>
      <c r="C16" s="13"/>
      <c r="D16" s="13"/>
      <c r="E16" s="13"/>
      <c r="F16" s="13"/>
      <c r="G16" s="13"/>
      <c r="H16" s="13"/>
      <c r="I16" s="16"/>
      <c r="J16" s="13"/>
      <c r="K16" s="13"/>
      <c r="L16" s="13"/>
      <c r="M16" s="13"/>
      <c r="N16" s="13"/>
      <c r="O16" s="13"/>
      <c r="P16" s="13">
        <f t="shared" si="2"/>
        <v>0</v>
      </c>
      <c r="Q16" s="13"/>
      <c r="R16" s="13"/>
      <c r="S16" s="13"/>
      <c r="T16" s="13"/>
      <c r="U16" s="13"/>
      <c r="V16" s="13"/>
      <c r="W16" s="13"/>
      <c r="X16" s="13"/>
      <c r="Y16" s="13">
        <f t="shared" si="3"/>
        <v>0</v>
      </c>
      <c r="Z16" s="13"/>
      <c r="AA16" s="13">
        <v>0.0</v>
      </c>
      <c r="AB16" s="13"/>
      <c r="AC16" s="13"/>
      <c r="AD16" s="13"/>
      <c r="AE16" s="13">
        <f>iferror(sumif('Weekly Rates'!D:D,A16,'Weekly Rates'!F:F)/countif('Weekly Rates'!D:D,A16),0)</f>
        <v>0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 t="str">
        <f>iferror(VLOOKUP($A16,EAM!A$2:E$14,2,FALSE))</f>
        <v/>
      </c>
      <c r="AT16" s="13"/>
      <c r="AU16" s="13"/>
      <c r="AV16" s="13"/>
      <c r="AW16" s="13">
        <v>0.0</v>
      </c>
      <c r="AX16" s="13"/>
      <c r="AY16" s="13">
        <v>0.0</v>
      </c>
      <c r="AZ16" s="13">
        <v>0.0</v>
      </c>
      <c r="BA16" s="13">
        <v>0.0</v>
      </c>
      <c r="BB16" s="13">
        <v>0.0</v>
      </c>
      <c r="BC16" s="13">
        <v>0.0</v>
      </c>
      <c r="BD16" s="13">
        <v>0.0</v>
      </c>
      <c r="BE16" s="13">
        <v>0.0</v>
      </c>
      <c r="BF16" s="13">
        <v>0.0</v>
      </c>
      <c r="BG16" s="13">
        <v>0.0</v>
      </c>
      <c r="BH16" s="13">
        <v>0.0</v>
      </c>
      <c r="BI16" s="13">
        <v>0.0</v>
      </c>
      <c r="BJ16" s="13">
        <v>0.0</v>
      </c>
      <c r="BK16" s="13">
        <v>0.0</v>
      </c>
      <c r="BL16" s="13">
        <v>0.0</v>
      </c>
      <c r="BM16" s="13">
        <v>0.0</v>
      </c>
      <c r="BN16" s="13">
        <v>0.0</v>
      </c>
      <c r="BO16" s="13">
        <v>0.0</v>
      </c>
      <c r="BP16" s="13">
        <v>0.0</v>
      </c>
      <c r="BQ16" s="13">
        <v>0.0</v>
      </c>
      <c r="BR16" s="13">
        <v>0.0</v>
      </c>
      <c r="BS16" s="13">
        <v>0.0</v>
      </c>
      <c r="BT16" s="13">
        <v>0.0</v>
      </c>
      <c r="BU16" s="13">
        <v>0.0</v>
      </c>
      <c r="BV16" s="13">
        <v>0.0</v>
      </c>
      <c r="BW16" s="13">
        <v>0.0</v>
      </c>
      <c r="BX16" s="13">
        <v>0.0</v>
      </c>
      <c r="BY16" s="13">
        <v>0.0</v>
      </c>
      <c r="BZ16" s="13">
        <v>0.0</v>
      </c>
      <c r="CA16" s="13">
        <v>0.0</v>
      </c>
      <c r="CB16" s="13">
        <v>0.0</v>
      </c>
      <c r="CC16" s="13">
        <v>0.0</v>
      </c>
      <c r="CD16" s="13">
        <v>0.0</v>
      </c>
      <c r="CE16" s="13">
        <v>0.0</v>
      </c>
      <c r="CF16" s="13">
        <v>0.0</v>
      </c>
      <c r="CG16" s="13">
        <v>0.0</v>
      </c>
      <c r="CH16" s="13">
        <v>0.0</v>
      </c>
      <c r="CI16" s="13">
        <v>0.0</v>
      </c>
      <c r="CJ16" s="13">
        <v>0.0</v>
      </c>
      <c r="CK16" s="13">
        <v>0.0</v>
      </c>
      <c r="CL16" s="13">
        <v>0.0</v>
      </c>
      <c r="CM16" s="13">
        <v>0.0</v>
      </c>
      <c r="CN16" s="13">
        <v>0.0</v>
      </c>
      <c r="CO16" s="13">
        <v>0.0</v>
      </c>
      <c r="CP16" s="13">
        <v>0.0</v>
      </c>
      <c r="CQ16" s="13">
        <v>0.0</v>
      </c>
      <c r="CR16" s="13">
        <v>0.0</v>
      </c>
      <c r="CS16" s="13">
        <v>0.0</v>
      </c>
      <c r="CT16" s="13">
        <v>0.0</v>
      </c>
      <c r="CU16" s="13">
        <v>0.0</v>
      </c>
      <c r="CV16" s="13">
        <v>0.0</v>
      </c>
      <c r="CW16" s="13">
        <v>0.0</v>
      </c>
      <c r="CX16" s="13">
        <v>0.0</v>
      </c>
      <c r="CY16" s="13">
        <v>0.0</v>
      </c>
      <c r="CZ16" s="13">
        <v>0.0</v>
      </c>
      <c r="DA16" s="13">
        <v>0.0</v>
      </c>
      <c r="DB16" s="13">
        <v>0.0</v>
      </c>
      <c r="DC16" s="13">
        <v>0.0</v>
      </c>
      <c r="DD16" s="13">
        <v>0.0</v>
      </c>
      <c r="DE16" s="13">
        <v>0.0</v>
      </c>
      <c r="DF16" s="13">
        <v>0.0</v>
      </c>
      <c r="DG16" s="13">
        <v>0.0</v>
      </c>
      <c r="DH16" s="13">
        <v>0.0</v>
      </c>
      <c r="DI16" s="13">
        <v>0.0</v>
      </c>
      <c r="DJ16" s="13">
        <v>0.0</v>
      </c>
      <c r="DK16" s="13">
        <v>0.0</v>
      </c>
      <c r="DL16" s="13">
        <v>0.0</v>
      </c>
      <c r="DM16" s="13">
        <v>0.0</v>
      </c>
      <c r="DN16" s="13">
        <v>0.0</v>
      </c>
      <c r="DO16" s="13">
        <v>0.0</v>
      </c>
      <c r="DP16" s="13">
        <v>0.0</v>
      </c>
      <c r="DQ16" s="13">
        <v>0.0</v>
      </c>
      <c r="DR16" s="13">
        <v>0.0</v>
      </c>
      <c r="DS16" s="13">
        <v>0.0</v>
      </c>
      <c r="DT16" s="13"/>
      <c r="DU16" s="13">
        <v>0.0</v>
      </c>
      <c r="DV16" s="13">
        <v>0.0</v>
      </c>
      <c r="DW16" s="13">
        <v>0.0</v>
      </c>
      <c r="DX16" s="13"/>
      <c r="DY16" s="13">
        <v>0.0</v>
      </c>
      <c r="DZ16" s="13">
        <v>0.0</v>
      </c>
      <c r="EA16" s="13">
        <v>0.0</v>
      </c>
      <c r="EB16" s="13">
        <v>0.0</v>
      </c>
      <c r="EC16" s="13">
        <v>0.0</v>
      </c>
      <c r="ED16" s="13">
        <v>0.0</v>
      </c>
      <c r="EE16" s="13">
        <v>0.0</v>
      </c>
      <c r="EF16" s="13">
        <v>0.0</v>
      </c>
      <c r="EG16" s="13">
        <v>0.0</v>
      </c>
      <c r="EH16" s="13">
        <v>0.0</v>
      </c>
      <c r="EI16" s="13">
        <v>0.0</v>
      </c>
      <c r="EJ16" s="13">
        <v>0.0</v>
      </c>
    </row>
    <row r="17">
      <c r="A17" s="9" t="s">
        <v>176</v>
      </c>
      <c r="B17" s="13"/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/>
      <c r="I17" s="16">
        <f>iferror(vlookup(A17,'Inst Lending numbers'!A:D,4,false)," ")</f>
        <v>0.55</v>
      </c>
      <c r="J17" s="13"/>
      <c r="K17" s="13"/>
      <c r="L17" s="13"/>
      <c r="M17" s="13"/>
      <c r="N17" s="13"/>
      <c r="O17" s="13">
        <f t="shared" ref="O17:O30" si="5">$O$4</f>
        <v>0.03932233526</v>
      </c>
      <c r="P17" s="13">
        <f t="shared" si="2"/>
        <v>0</v>
      </c>
      <c r="Q17" s="13"/>
      <c r="R17" s="13"/>
      <c r="S17" s="13"/>
      <c r="T17" s="13"/>
      <c r="U17" s="13"/>
      <c r="V17" s="13"/>
      <c r="W17" s="13"/>
      <c r="X17" s="13"/>
      <c r="Y17" s="13">
        <f t="shared" si="3"/>
        <v>0</v>
      </c>
      <c r="Z17" s="13"/>
      <c r="AA17" s="13">
        <v>0.0</v>
      </c>
      <c r="AB17" s="13">
        <f t="shared" ref="AB17:AB30" si="6">$AB$4</f>
        <v>0.1957867833</v>
      </c>
      <c r="AC17" s="13"/>
      <c r="AD17" s="13"/>
      <c r="AE17" s="13">
        <f>iferror(sumif('Weekly Rates'!D:D,A17,'Weekly Rates'!F:F)/countif('Weekly Rates'!D:D,A17),0)</f>
        <v>0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 t="str">
        <f>iferror(VLOOKUP($A17,EAM!A$2:E$14,2,FALSE))</f>
        <v/>
      </c>
      <c r="AT17" s="13"/>
      <c r="AU17" s="13">
        <f>sumif('Weekly Rates'!A:A,A17,'Weekly Rates'!B:B)</f>
        <v>0</v>
      </c>
      <c r="AV17" s="13">
        <v>0.0</v>
      </c>
      <c r="AW17" s="13">
        <v>0.0</v>
      </c>
      <c r="AX17" s="13">
        <v>0.0</v>
      </c>
      <c r="AY17" s="13">
        <v>0.0</v>
      </c>
      <c r="AZ17" s="13">
        <v>0.0</v>
      </c>
      <c r="BA17" s="13">
        <v>0.0</v>
      </c>
      <c r="BB17" s="13">
        <v>0.0</v>
      </c>
      <c r="BC17" s="13">
        <v>0.0</v>
      </c>
      <c r="BD17" s="13">
        <v>0.0</v>
      </c>
      <c r="BE17" s="13">
        <v>0.0</v>
      </c>
      <c r="BF17" s="13">
        <v>0.0</v>
      </c>
      <c r="BG17" s="13">
        <v>0.0</v>
      </c>
      <c r="BH17" s="13">
        <v>0.0</v>
      </c>
      <c r="BI17" s="13">
        <v>0.0</v>
      </c>
      <c r="BJ17" s="13">
        <v>0.0</v>
      </c>
      <c r="BK17" s="13">
        <v>0.0</v>
      </c>
      <c r="BL17" s="13">
        <v>0.0</v>
      </c>
      <c r="BM17" s="13">
        <v>0.0</v>
      </c>
      <c r="BN17" s="13">
        <v>0.0</v>
      </c>
      <c r="BO17" s="13">
        <v>0.0</v>
      </c>
      <c r="BP17" s="13">
        <v>0.0</v>
      </c>
      <c r="BQ17" s="13">
        <v>0.0</v>
      </c>
      <c r="BR17" s="13">
        <v>0.0</v>
      </c>
      <c r="BS17" s="13">
        <v>0.0</v>
      </c>
      <c r="BT17" s="13">
        <v>0.0</v>
      </c>
      <c r="BU17" s="13">
        <v>0.0</v>
      </c>
      <c r="BV17" s="13">
        <v>0.0</v>
      </c>
      <c r="BW17" s="13">
        <v>0.0</v>
      </c>
      <c r="BX17" s="13">
        <v>0.0</v>
      </c>
      <c r="BY17" s="13">
        <v>0.0</v>
      </c>
      <c r="BZ17" s="13">
        <v>0.0</v>
      </c>
      <c r="CA17" s="13">
        <v>0.0</v>
      </c>
      <c r="CB17" s="13">
        <v>0.0</v>
      </c>
      <c r="CC17" s="13">
        <v>0.0</v>
      </c>
      <c r="CD17" s="13">
        <v>0.0</v>
      </c>
      <c r="CE17" s="13">
        <v>0.0</v>
      </c>
      <c r="CF17" s="13">
        <v>0.0</v>
      </c>
      <c r="CG17" s="13">
        <v>0.0</v>
      </c>
      <c r="CH17" s="13">
        <v>0.0</v>
      </c>
      <c r="CI17" s="13">
        <v>0.0</v>
      </c>
      <c r="CJ17" s="13">
        <v>0.0</v>
      </c>
      <c r="CK17" s="13">
        <v>0.0</v>
      </c>
      <c r="CL17" s="13">
        <v>0.0</v>
      </c>
      <c r="CM17" s="13">
        <v>0.0</v>
      </c>
      <c r="CN17" s="13">
        <v>0.0</v>
      </c>
      <c r="CO17" s="13">
        <v>0.0</v>
      </c>
      <c r="CP17" s="13">
        <v>0.0</v>
      </c>
      <c r="CQ17" s="13">
        <v>0.0</v>
      </c>
      <c r="CR17" s="13">
        <v>0.0</v>
      </c>
      <c r="CS17" s="13">
        <v>0.0</v>
      </c>
      <c r="CT17" s="13">
        <v>0.0</v>
      </c>
      <c r="CU17" s="13">
        <v>0.0</v>
      </c>
      <c r="CV17" s="13">
        <v>0.0</v>
      </c>
      <c r="CW17" s="13">
        <v>0.0</v>
      </c>
      <c r="CX17" s="13">
        <v>0.0</v>
      </c>
      <c r="CY17" s="13">
        <v>0.0</v>
      </c>
      <c r="CZ17" s="13">
        <v>0.0</v>
      </c>
      <c r="DA17" s="13">
        <v>0.0</v>
      </c>
      <c r="DB17" s="13">
        <v>0.0</v>
      </c>
      <c r="DC17" s="13">
        <v>0.0</v>
      </c>
      <c r="DD17" s="13">
        <v>0.0</v>
      </c>
      <c r="DE17" s="13">
        <v>0.0</v>
      </c>
      <c r="DF17" s="13">
        <v>0.0</v>
      </c>
      <c r="DG17" s="13">
        <v>0.0</v>
      </c>
      <c r="DH17" s="13">
        <v>0.0</v>
      </c>
      <c r="DI17" s="13">
        <v>0.0</v>
      </c>
      <c r="DJ17" s="13">
        <v>0.0</v>
      </c>
      <c r="DK17" s="13">
        <v>0.0</v>
      </c>
      <c r="DL17" s="13">
        <v>0.0</v>
      </c>
      <c r="DM17" s="13">
        <v>0.0</v>
      </c>
      <c r="DN17" s="13">
        <v>0.0</v>
      </c>
      <c r="DO17" s="13">
        <v>0.0</v>
      </c>
      <c r="DP17" s="13">
        <v>0.0</v>
      </c>
      <c r="DQ17" s="13">
        <v>0.0</v>
      </c>
      <c r="DR17" s="13">
        <v>0.0</v>
      </c>
      <c r="DS17" s="13">
        <v>0.0</v>
      </c>
      <c r="DT17" s="13"/>
      <c r="DU17" s="13">
        <v>0.0</v>
      </c>
      <c r="DV17" s="13">
        <v>0.0</v>
      </c>
      <c r="DW17" s="13">
        <v>0.0</v>
      </c>
      <c r="DX17" s="13"/>
      <c r="DY17" s="13">
        <v>0.0</v>
      </c>
      <c r="DZ17" s="13">
        <v>0.0</v>
      </c>
      <c r="EA17" s="13">
        <v>0.0</v>
      </c>
      <c r="EB17" s="13">
        <v>0.0</v>
      </c>
      <c r="EC17" s="13">
        <v>0.0</v>
      </c>
      <c r="ED17" s="13">
        <v>0.0</v>
      </c>
      <c r="EE17" s="13">
        <v>0.0</v>
      </c>
      <c r="EF17" s="13">
        <v>0.0</v>
      </c>
      <c r="EG17" s="13">
        <v>0.0</v>
      </c>
      <c r="EH17" s="13">
        <v>0.0</v>
      </c>
      <c r="EI17" s="13">
        <v>0.0</v>
      </c>
      <c r="EJ17" s="13">
        <v>0.0</v>
      </c>
    </row>
    <row r="18">
      <c r="A18" s="9" t="s">
        <v>177</v>
      </c>
      <c r="B18" s="13"/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/>
      <c r="I18" s="16">
        <f>iferror(vlookup(A18,'Inst Lending numbers'!A:D,4,false)," ")</f>
        <v>0.1624</v>
      </c>
      <c r="J18" s="13"/>
      <c r="K18" s="13"/>
      <c r="L18" s="13"/>
      <c r="M18" s="13"/>
      <c r="N18" s="13"/>
      <c r="O18" s="13">
        <f t="shared" si="5"/>
        <v>0.03932233526</v>
      </c>
      <c r="P18" s="13">
        <f t="shared" si="2"/>
        <v>0</v>
      </c>
      <c r="Q18" s="13"/>
      <c r="R18" s="13"/>
      <c r="S18" s="13"/>
      <c r="T18" s="13"/>
      <c r="U18" s="13"/>
      <c r="V18" s="13"/>
      <c r="W18" s="13"/>
      <c r="X18" s="13"/>
      <c r="Y18" s="13">
        <f t="shared" si="3"/>
        <v>0</v>
      </c>
      <c r="Z18" s="13"/>
      <c r="AA18" s="13">
        <v>0.0</v>
      </c>
      <c r="AB18" s="13">
        <f t="shared" si="6"/>
        <v>0.1957867833</v>
      </c>
      <c r="AC18" s="13"/>
      <c r="AD18" s="13"/>
      <c r="AE18" s="13">
        <f>iferror(sumif('Weekly Rates'!D:D,A18,'Weekly Rates'!F:F)/countif('Weekly Rates'!D:D,A18),0)</f>
        <v>0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 t="str">
        <f>iferror(VLOOKUP($A18,EAM!A$2:E$14,2,FALSE))</f>
        <v/>
      </c>
      <c r="AT18" s="13"/>
      <c r="AU18" s="13">
        <f>sumif('Weekly Rates'!A:A,A18,'Weekly Rates'!B:B)</f>
        <v>0</v>
      </c>
      <c r="AV18" s="13">
        <v>0.0</v>
      </c>
      <c r="AW18" s="13">
        <v>0.0</v>
      </c>
      <c r="AX18" s="13">
        <v>0.0</v>
      </c>
      <c r="AY18" s="13">
        <v>0.0</v>
      </c>
      <c r="AZ18" s="13">
        <v>0.0</v>
      </c>
      <c r="BA18" s="13">
        <v>0.0</v>
      </c>
      <c r="BB18" s="13">
        <v>0.0</v>
      </c>
      <c r="BC18" s="13">
        <v>0.0</v>
      </c>
      <c r="BD18" s="13">
        <v>0.0</v>
      </c>
      <c r="BE18" s="13">
        <v>0.0</v>
      </c>
      <c r="BF18" s="13">
        <v>0.0</v>
      </c>
      <c r="BG18" s="13">
        <v>0.0</v>
      </c>
      <c r="BH18" s="13">
        <v>0.0</v>
      </c>
      <c r="BI18" s="13">
        <v>0.0</v>
      </c>
      <c r="BJ18" s="13">
        <v>0.0</v>
      </c>
      <c r="BK18" s="13">
        <v>0.0</v>
      </c>
      <c r="BL18" s="13">
        <v>0.0</v>
      </c>
      <c r="BM18" s="13">
        <v>0.0</v>
      </c>
      <c r="BN18" s="13">
        <v>0.0</v>
      </c>
      <c r="BO18" s="13">
        <v>0.0</v>
      </c>
      <c r="BP18" s="13">
        <v>0.0</v>
      </c>
      <c r="BQ18" s="13">
        <v>0.0</v>
      </c>
      <c r="BR18" s="13">
        <v>0.0</v>
      </c>
      <c r="BS18" s="13">
        <v>0.0</v>
      </c>
      <c r="BT18" s="13">
        <v>0.0</v>
      </c>
      <c r="BU18" s="13">
        <v>0.0</v>
      </c>
      <c r="BV18" s="13">
        <v>0.0</v>
      </c>
      <c r="BW18" s="13">
        <v>0.0</v>
      </c>
      <c r="BX18" s="13">
        <v>0.0</v>
      </c>
      <c r="BY18" s="13">
        <v>0.0</v>
      </c>
      <c r="BZ18" s="13">
        <v>0.0</v>
      </c>
      <c r="CA18" s="13">
        <v>0.0</v>
      </c>
      <c r="CB18" s="13">
        <v>0.0</v>
      </c>
      <c r="CC18" s="13">
        <v>0.0</v>
      </c>
      <c r="CD18" s="13">
        <v>0.0</v>
      </c>
      <c r="CE18" s="13">
        <v>0.0</v>
      </c>
      <c r="CF18" s="13">
        <v>0.0</v>
      </c>
      <c r="CG18" s="13">
        <v>0.0</v>
      </c>
      <c r="CH18" s="13">
        <v>0.0</v>
      </c>
      <c r="CI18" s="13">
        <v>0.0</v>
      </c>
      <c r="CJ18" s="13">
        <v>0.0</v>
      </c>
      <c r="CK18" s="13">
        <v>0.0</v>
      </c>
      <c r="CL18" s="13">
        <v>0.0</v>
      </c>
      <c r="CM18" s="13">
        <v>0.0</v>
      </c>
      <c r="CN18" s="13">
        <v>0.0</v>
      </c>
      <c r="CO18" s="13">
        <v>0.0</v>
      </c>
      <c r="CP18" s="13">
        <v>0.0</v>
      </c>
      <c r="CQ18" s="13">
        <v>0.0</v>
      </c>
      <c r="CR18" s="13">
        <v>0.0</v>
      </c>
      <c r="CS18" s="13">
        <v>0.0</v>
      </c>
      <c r="CT18" s="13">
        <v>0.0</v>
      </c>
      <c r="CU18" s="13">
        <v>0.0</v>
      </c>
      <c r="CV18" s="13">
        <v>0.0</v>
      </c>
      <c r="CW18" s="13">
        <v>0.0</v>
      </c>
      <c r="CX18" s="13">
        <v>0.0</v>
      </c>
      <c r="CY18" s="13">
        <v>0.0</v>
      </c>
      <c r="CZ18" s="13">
        <v>0.0</v>
      </c>
      <c r="DA18" s="13">
        <v>0.0</v>
      </c>
      <c r="DB18" s="13">
        <v>0.0</v>
      </c>
      <c r="DC18" s="13">
        <v>0.0</v>
      </c>
      <c r="DD18" s="13">
        <v>0.0</v>
      </c>
      <c r="DE18" s="13">
        <v>0.0</v>
      </c>
      <c r="DF18" s="13">
        <v>0.0</v>
      </c>
      <c r="DG18" s="13">
        <v>0.0</v>
      </c>
      <c r="DH18" s="13">
        <v>0.0</v>
      </c>
      <c r="DI18" s="13">
        <v>0.0</v>
      </c>
      <c r="DJ18" s="13">
        <v>0.0</v>
      </c>
      <c r="DK18" s="13">
        <v>0.0</v>
      </c>
      <c r="DL18" s="13">
        <v>0.0</v>
      </c>
      <c r="DM18" s="13">
        <v>0.0</v>
      </c>
      <c r="DN18" s="13">
        <v>0.0</v>
      </c>
      <c r="DO18" s="13">
        <v>0.0</v>
      </c>
      <c r="DP18" s="13">
        <v>0.0</v>
      </c>
      <c r="DQ18" s="13">
        <v>0.0</v>
      </c>
      <c r="DR18" s="13">
        <v>0.0</v>
      </c>
      <c r="DS18" s="13">
        <v>0.0</v>
      </c>
      <c r="DT18" s="13"/>
      <c r="DU18" s="13">
        <v>0.0</v>
      </c>
      <c r="DV18" s="13">
        <v>0.0</v>
      </c>
      <c r="DW18" s="13">
        <v>0.0</v>
      </c>
      <c r="DX18" s="13"/>
      <c r="DY18" s="13">
        <v>0.0</v>
      </c>
      <c r="DZ18" s="13">
        <v>0.0</v>
      </c>
      <c r="EA18" s="13">
        <v>0.0</v>
      </c>
      <c r="EB18" s="13">
        <v>0.0</v>
      </c>
      <c r="EC18" s="13">
        <v>0.0</v>
      </c>
      <c r="ED18" s="13">
        <v>0.0</v>
      </c>
      <c r="EE18" s="13">
        <v>0.0</v>
      </c>
      <c r="EF18" s="13">
        <v>0.0</v>
      </c>
      <c r="EG18" s="13">
        <v>0.0</v>
      </c>
      <c r="EH18" s="13">
        <v>0.0</v>
      </c>
      <c r="EI18" s="13">
        <v>0.0</v>
      </c>
      <c r="EJ18" s="13">
        <v>0.0</v>
      </c>
    </row>
    <row r="19">
      <c r="A19" s="9" t="s">
        <v>178</v>
      </c>
      <c r="B19" s="13"/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/>
      <c r="I19" s="16">
        <f>iferror(vlookup(A19,'Inst Lending numbers'!A:D,4,false)," ")</f>
        <v>0.064</v>
      </c>
      <c r="J19" s="13"/>
      <c r="K19" s="13"/>
      <c r="L19" s="13"/>
      <c r="M19" s="13"/>
      <c r="N19" s="13"/>
      <c r="O19" s="13">
        <f t="shared" si="5"/>
        <v>0.03932233526</v>
      </c>
      <c r="P19" s="13">
        <f t="shared" si="2"/>
        <v>0</v>
      </c>
      <c r="Q19" s="13"/>
      <c r="R19" s="13"/>
      <c r="S19" s="13"/>
      <c r="T19" s="13"/>
      <c r="U19" s="13"/>
      <c r="V19" s="13"/>
      <c r="W19" s="13"/>
      <c r="X19" s="13"/>
      <c r="Y19" s="13">
        <f t="shared" si="3"/>
        <v>0</v>
      </c>
      <c r="Z19" s="13"/>
      <c r="AA19" s="13">
        <v>0.0</v>
      </c>
      <c r="AB19" s="13">
        <f t="shared" si="6"/>
        <v>0.1957867833</v>
      </c>
      <c r="AC19" s="13"/>
      <c r="AD19" s="13"/>
      <c r="AE19" s="13">
        <f>iferror(sumif('Weekly Rates'!D:D,A19,'Weekly Rates'!F:F)/countif('Weekly Rates'!D:D,A19),0)</f>
        <v>0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 t="str">
        <f>iferror(VLOOKUP($A19,EAM!A$2:E$14,2,FALSE))</f>
        <v/>
      </c>
      <c r="AT19" s="13"/>
      <c r="AU19" s="13">
        <f>sumif('Weekly Rates'!A:A,A19,'Weekly Rates'!B:B)</f>
        <v>0</v>
      </c>
      <c r="AV19" s="13">
        <v>0.0</v>
      </c>
      <c r="AW19" s="13">
        <v>0.0</v>
      </c>
      <c r="AX19" s="13">
        <v>0.0</v>
      </c>
      <c r="AY19" s="13">
        <v>0.0</v>
      </c>
      <c r="AZ19" s="13">
        <v>0.0</v>
      </c>
      <c r="BA19" s="13">
        <v>0.0</v>
      </c>
      <c r="BB19" s="13"/>
      <c r="BC19" s="13">
        <v>0.022</v>
      </c>
      <c r="BD19" s="13">
        <v>0.0</v>
      </c>
      <c r="BE19" s="13">
        <v>0.0</v>
      </c>
      <c r="BF19" s="13">
        <v>0.0</v>
      </c>
      <c r="BG19" s="13">
        <v>0.0</v>
      </c>
      <c r="BH19" s="13">
        <v>0.0</v>
      </c>
      <c r="BI19" s="13">
        <v>0.0</v>
      </c>
      <c r="BJ19" s="13">
        <f t="array" ref="BJ19">iferror(INDEX('Import from defimon'!$1:$100,MATCH(BJ$1,'Import from defimon'!$A:$A,0),MATCH($A19,'Import from defimon'!$1:$1,0)))</f>
        <v>0.0139</v>
      </c>
      <c r="BK19" s="13">
        <v>0.0</v>
      </c>
      <c r="BL19" s="13">
        <v>0.0</v>
      </c>
      <c r="BM19" s="13">
        <v>0.0</v>
      </c>
      <c r="BN19" s="13">
        <v>0.0</v>
      </c>
      <c r="BO19" s="13">
        <v>0.0</v>
      </c>
      <c r="BP19" s="13">
        <v>0.0</v>
      </c>
      <c r="BQ19" s="13">
        <v>0.0</v>
      </c>
      <c r="BR19" s="13">
        <v>0.0</v>
      </c>
      <c r="BS19" s="13">
        <v>0.0</v>
      </c>
      <c r="BT19" s="13">
        <v>0.0</v>
      </c>
      <c r="BU19" s="13">
        <v>0.0</v>
      </c>
      <c r="BV19" s="13">
        <v>0.0</v>
      </c>
      <c r="BW19" s="13">
        <v>0.0</v>
      </c>
      <c r="BX19" s="13">
        <v>0.0</v>
      </c>
      <c r="BY19" s="13">
        <v>0.0</v>
      </c>
      <c r="BZ19" s="13">
        <v>0.0</v>
      </c>
      <c r="CA19" s="13">
        <v>0.0</v>
      </c>
      <c r="CB19" s="13">
        <v>0.0</v>
      </c>
      <c r="CC19" s="13">
        <v>0.0</v>
      </c>
      <c r="CD19" s="13">
        <v>0.0</v>
      </c>
      <c r="CE19" s="13">
        <v>0.0</v>
      </c>
      <c r="CF19" s="13">
        <v>0.0</v>
      </c>
      <c r="CG19" s="13">
        <v>0.0</v>
      </c>
      <c r="CH19" s="13">
        <v>0.0</v>
      </c>
      <c r="CI19" s="13">
        <v>0.0</v>
      </c>
      <c r="CJ19" s="13">
        <v>0.0</v>
      </c>
      <c r="CK19" s="13">
        <v>0.0</v>
      </c>
      <c r="CL19" s="13">
        <v>0.0</v>
      </c>
      <c r="CM19" s="13">
        <v>0.0</v>
      </c>
      <c r="CN19" s="13">
        <v>0.0</v>
      </c>
      <c r="CO19" s="13">
        <v>0.0</v>
      </c>
      <c r="CP19" s="13">
        <v>0.0</v>
      </c>
      <c r="CQ19" s="13">
        <v>0.0</v>
      </c>
      <c r="CR19" s="13">
        <v>0.0</v>
      </c>
      <c r="CS19" s="13">
        <v>0.0</v>
      </c>
      <c r="CT19" s="13">
        <v>0.0</v>
      </c>
      <c r="CU19" s="13">
        <v>0.0</v>
      </c>
      <c r="CV19" s="13">
        <v>0.0</v>
      </c>
      <c r="CW19" s="13">
        <v>0.0</v>
      </c>
      <c r="CX19" s="13">
        <v>0.0</v>
      </c>
      <c r="CY19" s="13">
        <v>0.0</v>
      </c>
      <c r="CZ19" s="13">
        <v>0.0</v>
      </c>
      <c r="DA19" s="13">
        <v>0.0</v>
      </c>
      <c r="DB19" s="13">
        <v>0.0</v>
      </c>
      <c r="DC19" s="13">
        <v>0.0</v>
      </c>
      <c r="DD19" s="13">
        <v>0.0</v>
      </c>
      <c r="DE19" s="13">
        <v>0.0</v>
      </c>
      <c r="DF19" s="13">
        <v>0.0</v>
      </c>
      <c r="DG19" s="13">
        <v>0.0</v>
      </c>
      <c r="DH19" s="13">
        <v>0.0</v>
      </c>
      <c r="DI19" s="13">
        <v>0.0</v>
      </c>
      <c r="DJ19" s="13">
        <v>0.0</v>
      </c>
      <c r="DK19" s="13">
        <v>0.0</v>
      </c>
      <c r="DL19" s="13">
        <v>0.0</v>
      </c>
      <c r="DM19" s="13">
        <v>0.0</v>
      </c>
      <c r="DN19" s="13">
        <v>0.0</v>
      </c>
      <c r="DO19" s="13">
        <v>0.0</v>
      </c>
      <c r="DP19" s="13">
        <v>0.0</v>
      </c>
      <c r="DQ19" s="13">
        <v>0.0</v>
      </c>
      <c r="DR19" s="13">
        <v>0.0</v>
      </c>
      <c r="DS19" s="13">
        <v>0.0</v>
      </c>
      <c r="DT19" s="13"/>
      <c r="DU19" s="13">
        <v>0.0</v>
      </c>
      <c r="DV19" s="13">
        <v>0.0</v>
      </c>
      <c r="DW19" s="13">
        <v>0.0</v>
      </c>
      <c r="DX19" s="13"/>
      <c r="DY19" s="13">
        <v>0.0</v>
      </c>
      <c r="DZ19" s="13">
        <v>0.0</v>
      </c>
      <c r="EA19" s="13">
        <v>0.0</v>
      </c>
      <c r="EB19" s="13">
        <v>0.0</v>
      </c>
      <c r="EC19" s="13">
        <v>0.0</v>
      </c>
      <c r="ED19" s="13">
        <v>0.0</v>
      </c>
      <c r="EE19" s="13">
        <v>0.0</v>
      </c>
      <c r="EF19" s="13">
        <v>0.0</v>
      </c>
      <c r="EG19" s="13">
        <v>0.0</v>
      </c>
      <c r="EH19" s="13">
        <v>0.0</v>
      </c>
      <c r="EI19" s="13">
        <v>0.0</v>
      </c>
      <c r="EJ19" s="13">
        <v>0.0</v>
      </c>
    </row>
    <row r="20">
      <c r="A20" s="9" t="s">
        <v>179</v>
      </c>
      <c r="B20" s="13"/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/>
      <c r="I20" s="16">
        <f>iferror(vlookup(A20,'Inst Lending numbers'!A:D,4,false)," ")</f>
        <v>0.0476</v>
      </c>
      <c r="J20" s="13">
        <v>0.0</v>
      </c>
      <c r="K20" s="13"/>
      <c r="L20" s="13"/>
      <c r="M20" s="13"/>
      <c r="N20" s="13"/>
      <c r="O20" s="13">
        <f t="shared" si="5"/>
        <v>0.03932233526</v>
      </c>
      <c r="P20" s="13">
        <f t="shared" si="2"/>
        <v>0</v>
      </c>
      <c r="Q20" s="13"/>
      <c r="R20" s="13"/>
      <c r="S20" s="13"/>
      <c r="T20" s="13"/>
      <c r="U20" s="13"/>
      <c r="V20" s="13"/>
      <c r="W20" s="13"/>
      <c r="X20" s="13"/>
      <c r="Y20" s="13">
        <f t="shared" si="3"/>
        <v>0</v>
      </c>
      <c r="Z20" s="13"/>
      <c r="AA20" s="13">
        <v>0.0</v>
      </c>
      <c r="AB20" s="13">
        <f t="shared" si="6"/>
        <v>0.1957867833</v>
      </c>
      <c r="AC20" s="13"/>
      <c r="AD20" s="13"/>
      <c r="AE20" s="13">
        <f>iferror(sumif('Weekly Rates'!D:D,A20,'Weekly Rates'!F:F)/countif('Weekly Rates'!D:D,A20),0)</f>
        <v>0.0305359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 t="str">
        <f>iferror(VLOOKUP($A20,EAM!A$2:E$14,2,FALSE))</f>
        <v/>
      </c>
      <c r="AT20" s="13"/>
      <c r="AU20" s="13">
        <f>sumif('Weekly Rates'!A:A,A20,'Weekly Rates'!B:B)</f>
        <v>0</v>
      </c>
      <c r="AV20" s="13">
        <v>0.0</v>
      </c>
      <c r="AW20" s="13">
        <v>0.0</v>
      </c>
      <c r="AX20" s="13">
        <v>0.0</v>
      </c>
      <c r="AY20" s="13">
        <v>0.0</v>
      </c>
      <c r="AZ20" s="13">
        <v>0.0</v>
      </c>
      <c r="BA20" s="13">
        <v>0.0</v>
      </c>
      <c r="BB20" s="13">
        <v>0.0</v>
      </c>
      <c r="BC20" s="13">
        <v>0.0</v>
      </c>
      <c r="BD20" s="13">
        <v>0.0</v>
      </c>
      <c r="BE20" s="13">
        <v>0.0</v>
      </c>
      <c r="BF20" s="13">
        <v>0.0</v>
      </c>
      <c r="BG20" s="13">
        <v>0.0</v>
      </c>
      <c r="BH20" s="13">
        <v>0.0</v>
      </c>
      <c r="BI20" s="13">
        <v>0.0</v>
      </c>
      <c r="BJ20" s="13">
        <v>0.0</v>
      </c>
      <c r="BK20" s="13">
        <v>0.0</v>
      </c>
      <c r="BL20" s="13">
        <v>0.0</v>
      </c>
      <c r="BM20" s="13">
        <v>0.0</v>
      </c>
      <c r="BN20" s="13">
        <v>0.0</v>
      </c>
      <c r="BO20" s="13">
        <v>0.0</v>
      </c>
      <c r="BP20" s="13">
        <v>0.0</v>
      </c>
      <c r="BQ20" s="13">
        <v>0.0</v>
      </c>
      <c r="BR20" s="13">
        <v>0.0</v>
      </c>
      <c r="BS20" s="13">
        <v>0.0</v>
      </c>
      <c r="BT20" s="13">
        <v>0.0</v>
      </c>
      <c r="BU20" s="13">
        <v>0.0</v>
      </c>
      <c r="BV20" s="13">
        <v>0.0</v>
      </c>
      <c r="BW20" s="13">
        <v>0.0</v>
      </c>
      <c r="BX20" s="13">
        <v>0.0</v>
      </c>
      <c r="BY20" s="13">
        <v>0.0</v>
      </c>
      <c r="BZ20" s="13">
        <v>0.0</v>
      </c>
      <c r="CA20" s="13">
        <v>0.0</v>
      </c>
      <c r="CB20" s="13">
        <v>0.0</v>
      </c>
      <c r="CC20" s="13">
        <v>0.0</v>
      </c>
      <c r="CD20" s="13">
        <v>0.0</v>
      </c>
      <c r="CE20" s="13">
        <v>0.0</v>
      </c>
      <c r="CF20" s="13">
        <v>0.0</v>
      </c>
      <c r="CG20" s="13">
        <v>0.0</v>
      </c>
      <c r="CH20" s="13">
        <v>0.0</v>
      </c>
      <c r="CI20" s="13">
        <v>0.0</v>
      </c>
      <c r="CJ20" s="13">
        <v>0.0</v>
      </c>
      <c r="CK20" s="13">
        <v>0.0</v>
      </c>
      <c r="CL20" s="13">
        <v>0.0</v>
      </c>
      <c r="CM20" s="13">
        <v>0.0</v>
      </c>
      <c r="CN20" s="13">
        <v>0.0</v>
      </c>
      <c r="CO20" s="13">
        <v>0.0</v>
      </c>
      <c r="CP20" s="13">
        <v>0.0</v>
      </c>
      <c r="CQ20" s="13">
        <v>0.0</v>
      </c>
      <c r="CR20" s="13">
        <v>0.0</v>
      </c>
      <c r="CS20" s="13">
        <v>0.0</v>
      </c>
      <c r="CT20" s="13">
        <v>0.0</v>
      </c>
      <c r="CU20" s="13">
        <v>0.0</v>
      </c>
      <c r="CV20" s="13">
        <v>0.0</v>
      </c>
      <c r="CW20" s="13">
        <v>0.0</v>
      </c>
      <c r="CX20" s="13">
        <v>0.0</v>
      </c>
      <c r="CY20" s="13">
        <v>0.0</v>
      </c>
      <c r="CZ20" s="13">
        <v>0.0</v>
      </c>
      <c r="DA20" s="13">
        <v>0.0</v>
      </c>
      <c r="DB20" s="13">
        <v>0.0</v>
      </c>
      <c r="DC20" s="13">
        <v>0.0</v>
      </c>
      <c r="DD20" s="13">
        <v>0.0</v>
      </c>
      <c r="DE20" s="13">
        <v>0.0</v>
      </c>
      <c r="DF20" s="13">
        <v>0.0</v>
      </c>
      <c r="DG20" s="13">
        <v>0.0</v>
      </c>
      <c r="DH20" s="13">
        <v>0.0</v>
      </c>
      <c r="DI20" s="13">
        <v>0.0</v>
      </c>
      <c r="DJ20" s="13">
        <v>0.0</v>
      </c>
      <c r="DK20" s="13">
        <v>0.0</v>
      </c>
      <c r="DL20" s="13">
        <v>0.0</v>
      </c>
      <c r="DM20" s="13">
        <v>0.0</v>
      </c>
      <c r="DN20" s="13">
        <v>0.0</v>
      </c>
      <c r="DO20" s="13">
        <v>0.0</v>
      </c>
      <c r="DP20" s="13">
        <v>0.0</v>
      </c>
      <c r="DQ20" s="13">
        <v>0.0</v>
      </c>
      <c r="DR20" s="13">
        <v>0.0</v>
      </c>
      <c r="DS20" s="13">
        <v>0.0</v>
      </c>
      <c r="DT20" s="13"/>
      <c r="DU20" s="13">
        <v>0.0</v>
      </c>
      <c r="DV20" s="13">
        <v>0.0</v>
      </c>
      <c r="DW20" s="13">
        <v>0.0</v>
      </c>
      <c r="DX20" s="13"/>
      <c r="DY20" s="13">
        <v>0.0</v>
      </c>
      <c r="DZ20" s="13">
        <v>0.0</v>
      </c>
      <c r="EA20" s="13">
        <v>0.0</v>
      </c>
      <c r="EB20" s="13">
        <v>0.0</v>
      </c>
      <c r="EC20" s="13">
        <v>0.0</v>
      </c>
      <c r="ED20" s="13">
        <v>0.0</v>
      </c>
      <c r="EE20" s="13">
        <v>0.0</v>
      </c>
      <c r="EF20" s="13">
        <v>0.0</v>
      </c>
      <c r="EG20" s="13">
        <v>0.0</v>
      </c>
      <c r="EH20" s="13">
        <v>0.0</v>
      </c>
      <c r="EI20" s="13">
        <v>0.0</v>
      </c>
      <c r="EJ20" s="13">
        <v>0.0</v>
      </c>
    </row>
    <row r="21">
      <c r="A21" s="9" t="s">
        <v>180</v>
      </c>
      <c r="B21" s="13"/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/>
      <c r="I21" s="16">
        <f>iferror(vlookup(A21,'Inst Lending numbers'!A:D,4,false)," ")</f>
        <v>0.038</v>
      </c>
      <c r="J21" s="13"/>
      <c r="K21" s="13"/>
      <c r="L21" s="13"/>
      <c r="M21" s="13"/>
      <c r="N21" s="13"/>
      <c r="O21" s="13">
        <f t="shared" si="5"/>
        <v>0.03932233526</v>
      </c>
      <c r="P21" s="13">
        <f t="shared" si="2"/>
        <v>0</v>
      </c>
      <c r="Q21" s="13"/>
      <c r="R21" s="13"/>
      <c r="S21" s="13"/>
      <c r="T21" s="13"/>
      <c r="U21" s="13"/>
      <c r="V21" s="13"/>
      <c r="W21" s="13"/>
      <c r="X21" s="13"/>
      <c r="Y21" s="13">
        <f t="shared" si="3"/>
        <v>0</v>
      </c>
      <c r="Z21" s="13"/>
      <c r="AA21" s="13">
        <v>0.0</v>
      </c>
      <c r="AB21" s="13">
        <f t="shared" si="6"/>
        <v>0.1957867833</v>
      </c>
      <c r="AC21" s="13"/>
      <c r="AD21" s="13"/>
      <c r="AE21" s="13">
        <f>iferror(sumif('Weekly Rates'!D:D,A21,'Weekly Rates'!F:F)/countif('Weekly Rates'!D:D,A21),0)</f>
        <v>0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0.12</v>
      </c>
      <c r="AR21" s="13"/>
      <c r="AS21" s="13" t="str">
        <f>iferror(VLOOKUP($A21,EAM!A$2:E$14,2,FALSE))</f>
        <v/>
      </c>
      <c r="AT21" s="13"/>
      <c r="AU21" s="13">
        <f>sumif('Weekly Rates'!A:A,A21,'Weekly Rates'!B:B)</f>
        <v>0</v>
      </c>
      <c r="AV21" s="13">
        <v>0.0</v>
      </c>
      <c r="AW21" s="13">
        <v>0.0</v>
      </c>
      <c r="AX21" s="13">
        <v>0.0</v>
      </c>
      <c r="AY21" s="13">
        <v>0.0</v>
      </c>
      <c r="AZ21" s="13">
        <v>0.0</v>
      </c>
      <c r="BA21" s="13">
        <v>0.0</v>
      </c>
      <c r="BB21" s="13">
        <v>0.0</v>
      </c>
      <c r="BC21" s="13">
        <v>0.0</v>
      </c>
      <c r="BD21" s="13">
        <v>0.0</v>
      </c>
      <c r="BE21" s="13">
        <v>0.0</v>
      </c>
      <c r="BF21" s="13">
        <v>0.0</v>
      </c>
      <c r="BG21" s="13">
        <v>0.0</v>
      </c>
      <c r="BH21" s="13">
        <v>0.0</v>
      </c>
      <c r="BI21" s="13">
        <v>0.0</v>
      </c>
      <c r="BJ21" s="13">
        <v>0.0</v>
      </c>
      <c r="BK21" s="13">
        <v>0.0</v>
      </c>
      <c r="BL21" s="13">
        <v>0.0</v>
      </c>
      <c r="BM21" s="13">
        <v>0.0</v>
      </c>
      <c r="BN21" s="13">
        <v>0.0</v>
      </c>
      <c r="BO21" s="13">
        <v>0.0</v>
      </c>
      <c r="BP21" s="13">
        <v>0.0</v>
      </c>
      <c r="BQ21" s="13">
        <v>0.0</v>
      </c>
      <c r="BR21" s="13">
        <v>0.0</v>
      </c>
      <c r="BS21" s="13">
        <v>0.0</v>
      </c>
      <c r="BT21" s="13">
        <v>0.0</v>
      </c>
      <c r="BU21" s="13">
        <v>0.0</v>
      </c>
      <c r="BV21" s="13">
        <v>0.0</v>
      </c>
      <c r="BW21" s="13">
        <v>0.0</v>
      </c>
      <c r="BX21" s="13">
        <v>0.0</v>
      </c>
      <c r="BY21" s="13">
        <v>0.0</v>
      </c>
      <c r="BZ21" s="13">
        <v>0.0</v>
      </c>
      <c r="CA21" s="13">
        <v>0.0</v>
      </c>
      <c r="CB21" s="13">
        <v>0.0</v>
      </c>
      <c r="CC21" s="13">
        <v>0.0</v>
      </c>
      <c r="CD21" s="13">
        <v>0.0</v>
      </c>
      <c r="CE21" s="13">
        <v>0.0</v>
      </c>
      <c r="CF21" s="13">
        <v>0.0</v>
      </c>
      <c r="CG21" s="13">
        <v>0.0</v>
      </c>
      <c r="CH21" s="13">
        <v>0.0</v>
      </c>
      <c r="CI21" s="13">
        <v>0.0</v>
      </c>
      <c r="CJ21" s="13">
        <v>0.0</v>
      </c>
      <c r="CK21" s="13">
        <v>0.0</v>
      </c>
      <c r="CL21" s="13">
        <v>0.0</v>
      </c>
      <c r="CM21" s="13">
        <v>0.0</v>
      </c>
      <c r="CN21" s="13">
        <v>0.0</v>
      </c>
      <c r="CO21" s="13">
        <v>0.0</v>
      </c>
      <c r="CP21" s="13">
        <v>0.0</v>
      </c>
      <c r="CQ21" s="13">
        <v>0.0</v>
      </c>
      <c r="CR21" s="13">
        <v>0.0</v>
      </c>
      <c r="CS21" s="13">
        <v>0.0</v>
      </c>
      <c r="CT21" s="13">
        <v>0.0</v>
      </c>
      <c r="CU21" s="13">
        <v>0.0</v>
      </c>
      <c r="CV21" s="13">
        <v>0.0</v>
      </c>
      <c r="CW21" s="13">
        <v>0.0</v>
      </c>
      <c r="CX21" s="13">
        <v>0.0</v>
      </c>
      <c r="CY21" s="13">
        <v>0.0</v>
      </c>
      <c r="CZ21" s="13">
        <v>0.0</v>
      </c>
      <c r="DA21" s="13">
        <v>0.0</v>
      </c>
      <c r="DB21" s="13">
        <v>0.0</v>
      </c>
      <c r="DC21" s="13">
        <v>0.0</v>
      </c>
      <c r="DD21" s="13">
        <v>0.0</v>
      </c>
      <c r="DE21" s="13">
        <v>0.0</v>
      </c>
      <c r="DF21" s="13">
        <v>0.0</v>
      </c>
      <c r="DG21" s="13">
        <v>0.0</v>
      </c>
      <c r="DH21" s="13">
        <v>0.0</v>
      </c>
      <c r="DI21" s="13">
        <v>0.0</v>
      </c>
      <c r="DJ21" s="13">
        <v>0.0</v>
      </c>
      <c r="DK21" s="13">
        <v>0.0</v>
      </c>
      <c r="DL21" s="13">
        <v>0.0</v>
      </c>
      <c r="DM21" s="13">
        <v>0.0</v>
      </c>
      <c r="DN21" s="13">
        <v>0.0</v>
      </c>
      <c r="DO21" s="13">
        <v>0.0</v>
      </c>
      <c r="DP21" s="13">
        <v>0.0</v>
      </c>
      <c r="DQ21" s="13">
        <v>0.0</v>
      </c>
      <c r="DR21" s="13">
        <v>0.0</v>
      </c>
      <c r="DS21" s="13">
        <v>0.0</v>
      </c>
      <c r="DT21" s="13"/>
      <c r="DU21" s="13">
        <v>0.0</v>
      </c>
      <c r="DV21" s="13">
        <v>0.0</v>
      </c>
      <c r="DW21" s="13">
        <v>0.0</v>
      </c>
      <c r="DX21" s="13"/>
      <c r="DY21" s="13">
        <v>0.0</v>
      </c>
      <c r="DZ21" s="13">
        <v>0.0</v>
      </c>
      <c r="EA21" s="13">
        <v>0.0</v>
      </c>
      <c r="EB21" s="13">
        <v>0.0</v>
      </c>
      <c r="EC21" s="13">
        <v>0.0</v>
      </c>
      <c r="ED21" s="13">
        <v>0.0</v>
      </c>
      <c r="EE21" s="13">
        <v>0.0</v>
      </c>
      <c r="EF21" s="13">
        <v>0.0</v>
      </c>
      <c r="EG21" s="13">
        <v>0.0</v>
      </c>
      <c r="EH21" s="13">
        <v>0.0</v>
      </c>
      <c r="EI21" s="13">
        <v>0.0</v>
      </c>
      <c r="EJ21" s="13">
        <v>0.0</v>
      </c>
    </row>
    <row r="22">
      <c r="A22" s="9" t="s">
        <v>181</v>
      </c>
      <c r="B22" s="13"/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/>
      <c r="I22" s="16">
        <f>iferror(vlookup(A22,'Inst Lending numbers'!A:D,4,false)," ")</f>
        <v>0.0716</v>
      </c>
      <c r="J22" s="13"/>
      <c r="K22" s="13"/>
      <c r="L22" s="13"/>
      <c r="M22" s="13"/>
      <c r="N22" s="13"/>
      <c r="O22" s="13">
        <f t="shared" si="5"/>
        <v>0.03932233526</v>
      </c>
      <c r="P22" s="13">
        <f t="shared" si="2"/>
        <v>0</v>
      </c>
      <c r="Q22" s="13"/>
      <c r="R22" s="13"/>
      <c r="S22" s="13"/>
      <c r="T22" s="13"/>
      <c r="U22" s="13"/>
      <c r="V22" s="13"/>
      <c r="W22" s="13"/>
      <c r="X22" s="13"/>
      <c r="Y22" s="13">
        <f t="shared" si="3"/>
        <v>0</v>
      </c>
      <c r="Z22" s="13"/>
      <c r="AA22" s="13">
        <v>0.0</v>
      </c>
      <c r="AB22" s="13">
        <f t="shared" si="6"/>
        <v>0.1957867833</v>
      </c>
      <c r="AC22" s="13"/>
      <c r="AD22" s="13"/>
      <c r="AE22" s="13">
        <f>iferror(sumif('Weekly Rates'!D:D,A22,'Weekly Rates'!F:F)/countif('Weekly Rates'!D:D,A22),0)</f>
        <v>0.00876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 t="str">
        <f>iferror(VLOOKUP($A22,EAM!A$2:E$14,2,FALSE))</f>
        <v/>
      </c>
      <c r="AT22" s="13"/>
      <c r="AU22" s="13">
        <f>sumif('Weekly Rates'!A:A,A22,'Weekly Rates'!B:B)</f>
        <v>0</v>
      </c>
      <c r="AV22" s="13">
        <v>0.0</v>
      </c>
      <c r="AW22" s="13">
        <v>0.0</v>
      </c>
      <c r="AX22" s="13">
        <v>0.0</v>
      </c>
      <c r="AY22" s="13">
        <v>0.0</v>
      </c>
      <c r="AZ22" s="13">
        <v>0.0</v>
      </c>
      <c r="BA22" s="13">
        <v>0.0</v>
      </c>
      <c r="BB22" s="13">
        <v>0.0</v>
      </c>
      <c r="BC22" s="13">
        <v>0.0</v>
      </c>
      <c r="BD22" s="13">
        <v>0.0</v>
      </c>
      <c r="BE22" s="13">
        <v>0.0</v>
      </c>
      <c r="BF22" s="13">
        <v>0.0</v>
      </c>
      <c r="BG22" s="13">
        <v>0.0</v>
      </c>
      <c r="BH22" s="13">
        <v>0.0</v>
      </c>
      <c r="BI22" s="13">
        <v>0.0</v>
      </c>
      <c r="BJ22" s="13">
        <v>0.0</v>
      </c>
      <c r="BK22" s="13">
        <v>0.0</v>
      </c>
      <c r="BL22" s="13">
        <v>0.0</v>
      </c>
      <c r="BM22" s="13">
        <v>0.0</v>
      </c>
      <c r="BN22" s="13">
        <v>0.0</v>
      </c>
      <c r="BO22" s="13">
        <v>0.5</v>
      </c>
      <c r="BP22" s="13">
        <v>0.0</v>
      </c>
      <c r="BQ22" s="13">
        <v>0.0</v>
      </c>
      <c r="BR22" s="13">
        <v>0.0</v>
      </c>
      <c r="BS22" s="13">
        <v>0.0</v>
      </c>
      <c r="BT22" s="13">
        <v>0.0</v>
      </c>
      <c r="BU22" s="13">
        <v>0.0</v>
      </c>
      <c r="BV22" s="13">
        <v>0.0</v>
      </c>
      <c r="BW22" s="13">
        <v>0.0</v>
      </c>
      <c r="BX22" s="13">
        <v>0.0</v>
      </c>
      <c r="BY22" s="13">
        <v>0.0</v>
      </c>
      <c r="BZ22" s="13">
        <v>0.0</v>
      </c>
      <c r="CA22" s="13">
        <v>0.0</v>
      </c>
      <c r="CB22" s="13">
        <v>0.0</v>
      </c>
      <c r="CC22" s="13">
        <v>0.0</v>
      </c>
      <c r="CD22" s="13">
        <v>0.0</v>
      </c>
      <c r="CE22" s="13">
        <v>0.0</v>
      </c>
      <c r="CF22" s="13">
        <v>0.0</v>
      </c>
      <c r="CG22" s="13">
        <v>0.0</v>
      </c>
      <c r="CH22" s="13">
        <v>0.0</v>
      </c>
      <c r="CI22" s="13">
        <v>0.0</v>
      </c>
      <c r="CJ22" s="13">
        <v>0.0</v>
      </c>
      <c r="CK22" s="13">
        <v>0.0</v>
      </c>
      <c r="CL22" s="13">
        <v>0.0</v>
      </c>
      <c r="CM22" s="13">
        <v>0.0</v>
      </c>
      <c r="CN22" s="13">
        <v>0.0</v>
      </c>
      <c r="CO22" s="13">
        <v>0.0</v>
      </c>
      <c r="CP22" s="13">
        <v>0.0</v>
      </c>
      <c r="CQ22" s="13">
        <v>0.0</v>
      </c>
      <c r="CR22" s="13">
        <v>0.0</v>
      </c>
      <c r="CS22" s="13">
        <v>0.0</v>
      </c>
      <c r="CT22" s="13">
        <v>0.0</v>
      </c>
      <c r="CU22" s="13">
        <v>0.0</v>
      </c>
      <c r="CV22" s="13">
        <v>0.0</v>
      </c>
      <c r="CW22" s="13">
        <v>0.0</v>
      </c>
      <c r="CX22" s="13">
        <v>0.0</v>
      </c>
      <c r="CY22" s="13">
        <v>0.0</v>
      </c>
      <c r="CZ22" s="13">
        <v>0.0</v>
      </c>
      <c r="DA22" s="13">
        <v>0.0</v>
      </c>
      <c r="DB22" s="13">
        <v>0.0</v>
      </c>
      <c r="DC22" s="13">
        <v>0.0</v>
      </c>
      <c r="DD22" s="13">
        <v>0.0</v>
      </c>
      <c r="DE22" s="13">
        <v>0.0</v>
      </c>
      <c r="DF22" s="13">
        <v>0.0</v>
      </c>
      <c r="DG22" s="13">
        <v>0.0</v>
      </c>
      <c r="DH22" s="13">
        <v>0.0</v>
      </c>
      <c r="DI22" s="13">
        <v>0.0</v>
      </c>
      <c r="DJ22" s="13">
        <v>0.0</v>
      </c>
      <c r="DK22" s="13">
        <v>0.0</v>
      </c>
      <c r="DL22" s="13">
        <v>0.0</v>
      </c>
      <c r="DM22" s="13">
        <v>0.0</v>
      </c>
      <c r="DN22" s="13">
        <v>0.0</v>
      </c>
      <c r="DO22" s="13">
        <v>0.0</v>
      </c>
      <c r="DP22" s="13">
        <v>0.0</v>
      </c>
      <c r="DQ22" s="13">
        <v>0.0</v>
      </c>
      <c r="DR22" s="13">
        <v>0.0</v>
      </c>
      <c r="DS22" s="13">
        <v>0.0</v>
      </c>
      <c r="DT22" s="13"/>
      <c r="DU22" s="13">
        <v>0.0</v>
      </c>
      <c r="DV22" s="13">
        <v>0.0</v>
      </c>
      <c r="DW22" s="13">
        <v>0.0</v>
      </c>
      <c r="DX22" s="13"/>
      <c r="DY22" s="13">
        <v>0.0</v>
      </c>
      <c r="DZ22" s="13">
        <v>0.0</v>
      </c>
      <c r="EA22" s="13">
        <v>0.0</v>
      </c>
      <c r="EB22" s="13">
        <v>0.0</v>
      </c>
      <c r="EC22" s="13">
        <v>0.0</v>
      </c>
      <c r="ED22" s="13">
        <v>0.0</v>
      </c>
      <c r="EE22" s="13">
        <v>0.0</v>
      </c>
      <c r="EF22" s="13">
        <v>0.0</v>
      </c>
      <c r="EG22" s="13">
        <v>0.0</v>
      </c>
      <c r="EH22" s="13">
        <v>0.0</v>
      </c>
      <c r="EI22" s="13">
        <v>0.0</v>
      </c>
      <c r="EJ22" s="13">
        <v>0.0</v>
      </c>
    </row>
    <row r="23">
      <c r="A23" s="9" t="s">
        <v>182</v>
      </c>
      <c r="B23" s="13"/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/>
      <c r="I23" s="16" t="str">
        <f>iferror(vlookup(A23,'Inst Lending numbers'!A:D,4,false)," ")</f>
        <v> </v>
      </c>
      <c r="J23" s="13"/>
      <c r="K23" s="13"/>
      <c r="L23" s="13"/>
      <c r="M23" s="13"/>
      <c r="N23" s="13"/>
      <c r="O23" s="13">
        <f t="shared" si="5"/>
        <v>0.03932233526</v>
      </c>
      <c r="P23" s="13">
        <f t="shared" si="2"/>
        <v>0</v>
      </c>
      <c r="Q23" s="13"/>
      <c r="R23" s="13"/>
      <c r="S23" s="13"/>
      <c r="T23" s="13"/>
      <c r="U23" s="13"/>
      <c r="V23" s="13"/>
      <c r="W23" s="13"/>
      <c r="X23" s="13"/>
      <c r="Y23" s="13">
        <f t="shared" si="3"/>
        <v>0</v>
      </c>
      <c r="Z23" s="13"/>
      <c r="AA23" s="13">
        <v>0.0</v>
      </c>
      <c r="AB23" s="13">
        <f t="shared" si="6"/>
        <v>0.1957867833</v>
      </c>
      <c r="AC23" s="13"/>
      <c r="AD23" s="13"/>
      <c r="AE23" s="13">
        <f>iferror(sumif('Weekly Rates'!D:D,A23,'Weekly Rates'!F:F)/countif('Weekly Rates'!D:D,A23),0)</f>
        <v>0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 t="str">
        <f>iferror(VLOOKUP($A23,EAM!A$2:E$14,2,FALSE))</f>
        <v/>
      </c>
      <c r="AT23" s="13"/>
      <c r="AU23" s="13">
        <f>sumif('Weekly Rates'!A:A,A23,'Weekly Rates'!B:B)</f>
        <v>0</v>
      </c>
      <c r="AV23" s="13">
        <v>0.0</v>
      </c>
      <c r="AW23" s="13">
        <v>0.0</v>
      </c>
      <c r="AX23" s="13">
        <v>0.0</v>
      </c>
      <c r="AY23" s="13">
        <v>0.0</v>
      </c>
      <c r="AZ23" s="13">
        <v>0.0</v>
      </c>
      <c r="BA23" s="13">
        <v>0.0</v>
      </c>
      <c r="BB23" s="13">
        <v>0.0</v>
      </c>
      <c r="BC23" s="13">
        <v>0.0</v>
      </c>
      <c r="BD23" s="13">
        <v>0.0</v>
      </c>
      <c r="BE23" s="13">
        <v>0.0</v>
      </c>
      <c r="BF23" s="13">
        <v>0.0</v>
      </c>
      <c r="BG23" s="13">
        <v>0.0</v>
      </c>
      <c r="BH23" s="13">
        <v>0.0</v>
      </c>
      <c r="BI23" s="13">
        <v>0.0</v>
      </c>
      <c r="BJ23" s="13">
        <v>0.0</v>
      </c>
      <c r="BK23" s="13">
        <v>0.0</v>
      </c>
      <c r="BL23" s="13">
        <v>0.0</v>
      </c>
      <c r="BM23" s="13">
        <v>0.0</v>
      </c>
      <c r="BN23" s="13">
        <v>0.0</v>
      </c>
      <c r="BO23" s="13">
        <v>0.0</v>
      </c>
      <c r="BP23" s="13">
        <v>0.0</v>
      </c>
      <c r="BQ23" s="13">
        <v>0.0</v>
      </c>
      <c r="BR23" s="13">
        <v>0.0</v>
      </c>
      <c r="BS23" s="13">
        <v>0.0</v>
      </c>
      <c r="BT23" s="13">
        <v>0.0</v>
      </c>
      <c r="BU23" s="13">
        <v>0.0</v>
      </c>
      <c r="BV23" s="13">
        <v>0.0</v>
      </c>
      <c r="BW23" s="13">
        <v>0.0</v>
      </c>
      <c r="BX23" s="13">
        <v>0.0</v>
      </c>
      <c r="BY23" s="13">
        <v>0.0</v>
      </c>
      <c r="BZ23" s="13">
        <v>0.0</v>
      </c>
      <c r="CA23" s="13">
        <v>0.0</v>
      </c>
      <c r="CB23" s="13">
        <v>0.0</v>
      </c>
      <c r="CC23" s="13">
        <v>0.0</v>
      </c>
      <c r="CD23" s="13">
        <v>0.0</v>
      </c>
      <c r="CE23" s="13">
        <v>0.0</v>
      </c>
      <c r="CF23" s="13">
        <v>0.0</v>
      </c>
      <c r="CG23" s="13">
        <v>0.0</v>
      </c>
      <c r="CH23" s="13">
        <v>0.0</v>
      </c>
      <c r="CI23" s="13">
        <v>0.0</v>
      </c>
      <c r="CJ23" s="13">
        <v>0.0</v>
      </c>
      <c r="CK23" s="13">
        <v>0.0</v>
      </c>
      <c r="CL23" s="13">
        <v>0.0</v>
      </c>
      <c r="CM23" s="13">
        <v>0.0</v>
      </c>
      <c r="CN23" s="13">
        <v>0.0</v>
      </c>
      <c r="CO23" s="13">
        <v>0.0</v>
      </c>
      <c r="CP23" s="13">
        <v>0.0</v>
      </c>
      <c r="CQ23" s="13">
        <v>0.0</v>
      </c>
      <c r="CR23" s="13">
        <v>0.0</v>
      </c>
      <c r="CS23" s="13">
        <v>0.0</v>
      </c>
      <c r="CT23" s="13">
        <v>0.0</v>
      </c>
      <c r="CU23" s="13">
        <v>0.0</v>
      </c>
      <c r="CV23" s="13">
        <v>0.0</v>
      </c>
      <c r="CW23" s="13">
        <v>0.0</v>
      </c>
      <c r="CX23" s="13">
        <v>0.0</v>
      </c>
      <c r="CY23" s="13">
        <v>0.0</v>
      </c>
      <c r="CZ23" s="13">
        <v>0.0</v>
      </c>
      <c r="DA23" s="13">
        <v>0.0</v>
      </c>
      <c r="DB23" s="13">
        <v>0.0</v>
      </c>
      <c r="DC23" s="13">
        <v>0.0</v>
      </c>
      <c r="DD23" s="13">
        <v>0.0</v>
      </c>
      <c r="DE23" s="13">
        <v>0.0</v>
      </c>
      <c r="DF23" s="13">
        <v>0.0</v>
      </c>
      <c r="DG23" s="13">
        <v>0.0</v>
      </c>
      <c r="DH23" s="13">
        <v>0.0</v>
      </c>
      <c r="DI23" s="13">
        <v>0.0</v>
      </c>
      <c r="DJ23" s="13">
        <v>0.0</v>
      </c>
      <c r="DK23" s="13">
        <v>0.0</v>
      </c>
      <c r="DL23" s="13">
        <v>0.0</v>
      </c>
      <c r="DM23" s="13">
        <v>0.0</v>
      </c>
      <c r="DN23" s="13">
        <v>0.0</v>
      </c>
      <c r="DO23" s="13">
        <v>0.0</v>
      </c>
      <c r="DP23" s="13">
        <v>0.0</v>
      </c>
      <c r="DQ23" s="13">
        <v>0.0</v>
      </c>
      <c r="DR23" s="13">
        <v>0.0</v>
      </c>
      <c r="DS23" s="13">
        <v>0.0</v>
      </c>
      <c r="DT23" s="13"/>
      <c r="DU23" s="13">
        <v>0.0</v>
      </c>
      <c r="DV23" s="13">
        <v>0.0</v>
      </c>
      <c r="DW23" s="13">
        <v>0.0</v>
      </c>
      <c r="DX23" s="13"/>
      <c r="DY23" s="13">
        <v>0.0</v>
      </c>
      <c r="DZ23" s="13">
        <v>0.0</v>
      </c>
      <c r="EA23" s="13">
        <v>0.0</v>
      </c>
      <c r="EB23" s="13">
        <v>0.0</v>
      </c>
      <c r="EC23" s="13">
        <v>0.0</v>
      </c>
      <c r="ED23" s="13">
        <v>0.0</v>
      </c>
      <c r="EE23" s="13">
        <v>0.0</v>
      </c>
      <c r="EF23" s="13">
        <v>0.0</v>
      </c>
      <c r="EG23" s="13">
        <v>0.0</v>
      </c>
      <c r="EH23" s="13">
        <v>0.0</v>
      </c>
      <c r="EI23" s="13">
        <v>0.0</v>
      </c>
      <c r="EJ23" s="13">
        <v>0.0</v>
      </c>
    </row>
    <row r="24">
      <c r="A24" s="9" t="s">
        <v>183</v>
      </c>
      <c r="B24" s="13"/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/>
      <c r="I24" s="16" t="str">
        <f>iferror(vlookup(A24,'Inst Lending numbers'!A:D,4,false)," ")</f>
        <v> </v>
      </c>
      <c r="J24" s="13"/>
      <c r="K24" s="13"/>
      <c r="L24" s="13"/>
      <c r="M24" s="13"/>
      <c r="N24" s="13"/>
      <c r="O24" s="13">
        <f t="shared" si="5"/>
        <v>0.03932233526</v>
      </c>
      <c r="P24" s="13">
        <f t="shared" si="2"/>
        <v>0</v>
      </c>
      <c r="Q24" s="13"/>
      <c r="R24" s="13"/>
      <c r="S24" s="13"/>
      <c r="T24" s="13"/>
      <c r="U24" s="13"/>
      <c r="V24" s="13"/>
      <c r="W24" s="13"/>
      <c r="X24" s="13"/>
      <c r="Y24" s="13">
        <f t="shared" si="3"/>
        <v>0</v>
      </c>
      <c r="Z24" s="13"/>
      <c r="AA24" s="13">
        <v>0.0</v>
      </c>
      <c r="AB24" s="13">
        <f t="shared" si="6"/>
        <v>0.1957867833</v>
      </c>
      <c r="AC24" s="13"/>
      <c r="AD24" s="13"/>
      <c r="AE24" s="13">
        <f>iferror(sumif('Weekly Rates'!D:D,A24,'Weekly Rates'!F:F)/countif('Weekly Rates'!D:D,A24),0)</f>
        <v>0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 t="str">
        <f>iferror(VLOOKUP($A24,EAM!A$2:E$14,2,FALSE))</f>
        <v/>
      </c>
      <c r="AT24" s="13"/>
      <c r="AU24" s="13">
        <f>sumif('Weekly Rates'!A:A,A24,'Weekly Rates'!B:B)</f>
        <v>0</v>
      </c>
      <c r="AV24" s="13">
        <v>0.0</v>
      </c>
      <c r="AW24" s="13">
        <v>0.0</v>
      </c>
      <c r="AX24" s="13">
        <v>0.0</v>
      </c>
      <c r="AY24" s="13">
        <v>0.0</v>
      </c>
      <c r="AZ24" s="13">
        <v>0.0</v>
      </c>
      <c r="BA24" s="13">
        <v>0.0</v>
      </c>
      <c r="BB24" s="13">
        <v>0.0</v>
      </c>
      <c r="BC24" s="13">
        <v>0.0</v>
      </c>
      <c r="BD24" s="13">
        <v>0.0</v>
      </c>
      <c r="BE24" s="13">
        <v>0.0</v>
      </c>
      <c r="BF24" s="13">
        <v>0.0</v>
      </c>
      <c r="BG24" s="13">
        <v>0.0</v>
      </c>
      <c r="BH24" s="13">
        <v>0.0</v>
      </c>
      <c r="BI24" s="13">
        <v>0.0</v>
      </c>
      <c r="BJ24" s="13">
        <v>0.0</v>
      </c>
      <c r="BK24" s="13">
        <v>0.0</v>
      </c>
      <c r="BL24" s="13">
        <v>0.0</v>
      </c>
      <c r="BM24" s="13">
        <v>0.0</v>
      </c>
      <c r="BN24" s="13">
        <v>0.0</v>
      </c>
      <c r="BO24" s="13">
        <v>0.0</v>
      </c>
      <c r="BP24" s="13">
        <v>0.0</v>
      </c>
      <c r="BQ24" s="13">
        <v>0.0</v>
      </c>
      <c r="BR24" s="13">
        <v>0.0</v>
      </c>
      <c r="BS24" s="13">
        <v>0.0</v>
      </c>
      <c r="BT24" s="13">
        <v>0.0</v>
      </c>
      <c r="BU24" s="13">
        <v>0.0</v>
      </c>
      <c r="BV24" s="13">
        <v>0.0</v>
      </c>
      <c r="BW24" s="13">
        <v>0.0</v>
      </c>
      <c r="BX24" s="13">
        <v>0.0</v>
      </c>
      <c r="BY24" s="13">
        <v>0.0</v>
      </c>
      <c r="BZ24" s="13">
        <v>0.0</v>
      </c>
      <c r="CA24" s="13">
        <v>0.0</v>
      </c>
      <c r="CB24" s="13">
        <v>0.0</v>
      </c>
      <c r="CC24" s="13">
        <v>0.0</v>
      </c>
      <c r="CD24" s="13">
        <v>0.0</v>
      </c>
      <c r="CE24" s="13">
        <v>0.0</v>
      </c>
      <c r="CF24" s="13">
        <v>0.0</v>
      </c>
      <c r="CG24" s="13">
        <v>0.0</v>
      </c>
      <c r="CH24" s="13">
        <v>0.0</v>
      </c>
      <c r="CI24" s="13">
        <v>0.0</v>
      </c>
      <c r="CJ24" s="13">
        <v>0.0</v>
      </c>
      <c r="CK24" s="13">
        <v>0.0</v>
      </c>
      <c r="CL24" s="13">
        <v>0.0</v>
      </c>
      <c r="CM24" s="13">
        <v>0.0</v>
      </c>
      <c r="CN24" s="13">
        <v>0.0</v>
      </c>
      <c r="CO24" s="13">
        <v>0.0</v>
      </c>
      <c r="CP24" s="13">
        <v>0.0</v>
      </c>
      <c r="CQ24" s="13">
        <v>0.0</v>
      </c>
      <c r="CR24" s="13">
        <v>0.0</v>
      </c>
      <c r="CS24" s="13">
        <v>0.0</v>
      </c>
      <c r="CT24" s="13">
        <v>0.0</v>
      </c>
      <c r="CU24" s="13">
        <v>0.0</v>
      </c>
      <c r="CV24" s="13">
        <v>0.0</v>
      </c>
      <c r="CW24" s="13">
        <v>0.0</v>
      </c>
      <c r="CX24" s="13">
        <v>0.0</v>
      </c>
      <c r="CY24" s="13">
        <v>0.0</v>
      </c>
      <c r="CZ24" s="13">
        <v>0.0</v>
      </c>
      <c r="DA24" s="13">
        <v>0.0</v>
      </c>
      <c r="DB24" s="13">
        <v>0.0</v>
      </c>
      <c r="DC24" s="13">
        <v>0.0</v>
      </c>
      <c r="DD24" s="13">
        <v>0.0</v>
      </c>
      <c r="DE24" s="13">
        <v>0.0</v>
      </c>
      <c r="DF24" s="13">
        <v>0.0</v>
      </c>
      <c r="DG24" s="13">
        <v>0.0</v>
      </c>
      <c r="DH24" s="13">
        <v>0.0</v>
      </c>
      <c r="DI24" s="13">
        <v>0.0</v>
      </c>
      <c r="DJ24" s="13">
        <v>0.0</v>
      </c>
      <c r="DK24" s="13">
        <v>0.0</v>
      </c>
      <c r="DL24" s="13">
        <v>0.0</v>
      </c>
      <c r="DM24" s="13">
        <v>0.0</v>
      </c>
      <c r="DN24" s="13">
        <v>0.0</v>
      </c>
      <c r="DO24" s="13">
        <v>0.0</v>
      </c>
      <c r="DP24" s="13">
        <v>0.0</v>
      </c>
      <c r="DQ24" s="13">
        <v>0.0</v>
      </c>
      <c r="DR24" s="13">
        <v>0.0</v>
      </c>
      <c r="DS24" s="13">
        <v>0.0</v>
      </c>
      <c r="DT24" s="13"/>
      <c r="DU24" s="13">
        <v>0.0</v>
      </c>
      <c r="DV24" s="13">
        <v>0.0</v>
      </c>
      <c r="DW24" s="13">
        <v>0.0</v>
      </c>
      <c r="DX24" s="13"/>
      <c r="DY24" s="13">
        <v>0.0</v>
      </c>
      <c r="DZ24" s="13">
        <v>0.0</v>
      </c>
      <c r="EA24" s="13">
        <v>0.0</v>
      </c>
      <c r="EB24" s="13">
        <v>0.0</v>
      </c>
      <c r="EC24" s="13">
        <v>0.0</v>
      </c>
      <c r="ED24" s="13">
        <v>0.0</v>
      </c>
      <c r="EE24" s="13">
        <v>0.0</v>
      </c>
      <c r="EF24" s="13">
        <v>0.0</v>
      </c>
      <c r="EG24" s="13">
        <v>0.0</v>
      </c>
      <c r="EH24" s="13">
        <v>0.0</v>
      </c>
      <c r="EI24" s="13">
        <v>0.0</v>
      </c>
      <c r="EJ24" s="13">
        <v>0.0</v>
      </c>
    </row>
    <row r="25">
      <c r="A25" s="9" t="s">
        <v>184</v>
      </c>
      <c r="B25" s="13"/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/>
      <c r="I25" s="16" t="str">
        <f>iferror(vlookup(A25,'Inst Lending numbers'!A:D,4,false)," ")</f>
        <v> </v>
      </c>
      <c r="J25" s="13"/>
      <c r="K25" s="13"/>
      <c r="L25" s="13"/>
      <c r="M25" s="13"/>
      <c r="N25" s="13"/>
      <c r="O25" s="13">
        <f t="shared" si="5"/>
        <v>0.03932233526</v>
      </c>
      <c r="P25" s="13">
        <f t="shared" si="2"/>
        <v>0</v>
      </c>
      <c r="Q25" s="13"/>
      <c r="R25" s="13"/>
      <c r="S25" s="13"/>
      <c r="T25" s="13"/>
      <c r="U25" s="13"/>
      <c r="V25" s="13"/>
      <c r="W25" s="13"/>
      <c r="X25" s="13"/>
      <c r="Y25" s="13">
        <f t="shared" si="3"/>
        <v>0</v>
      </c>
      <c r="Z25" s="13"/>
      <c r="AA25" s="13">
        <v>0.0</v>
      </c>
      <c r="AB25" s="13">
        <f t="shared" si="6"/>
        <v>0.1957867833</v>
      </c>
      <c r="AC25" s="13"/>
      <c r="AD25" s="13"/>
      <c r="AE25" s="13">
        <f>iferror(sumif('Weekly Rates'!D:D,A25,'Weekly Rates'!F:F)/countif('Weekly Rates'!D:D,A25),0)</f>
        <v>0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 t="str">
        <f>iferror(VLOOKUP($A25,EAM!A$2:E$14,2,FALSE))</f>
        <v/>
      </c>
      <c r="AT25" s="13"/>
      <c r="AU25" s="13">
        <f>sumif('Weekly Rates'!A:A,A25,'Weekly Rates'!B:B)</f>
        <v>0.0402</v>
      </c>
      <c r="AV25" s="13">
        <v>0.0</v>
      </c>
      <c r="AW25" s="13">
        <v>0.0</v>
      </c>
      <c r="AX25" s="13">
        <v>0.0</v>
      </c>
      <c r="AY25" s="13">
        <v>0.0</v>
      </c>
      <c r="AZ25" s="13">
        <v>0.0</v>
      </c>
      <c r="BA25" s="13">
        <v>0.0</v>
      </c>
      <c r="BB25" s="13">
        <v>0.0</v>
      </c>
      <c r="BC25" s="13">
        <v>0.0</v>
      </c>
      <c r="BD25" s="13">
        <v>0.0</v>
      </c>
      <c r="BE25" s="13">
        <v>0.0</v>
      </c>
      <c r="BF25" s="13">
        <v>0.0</v>
      </c>
      <c r="BG25" s="13">
        <v>0.0</v>
      </c>
      <c r="BH25" s="13">
        <v>0.0</v>
      </c>
      <c r="BI25" s="13">
        <v>0.0</v>
      </c>
      <c r="BJ25" s="13">
        <v>0.0</v>
      </c>
      <c r="BK25" s="13">
        <v>0.0</v>
      </c>
      <c r="BL25" s="13">
        <v>0.0</v>
      </c>
      <c r="BM25" s="13">
        <v>0.0</v>
      </c>
      <c r="BN25" s="13">
        <v>0.0</v>
      </c>
      <c r="BO25" s="13">
        <v>0.0</v>
      </c>
      <c r="BP25" s="13">
        <v>0.0</v>
      </c>
      <c r="BQ25" s="13">
        <v>0.0</v>
      </c>
      <c r="BR25" s="13">
        <v>0.0</v>
      </c>
      <c r="BS25" s="13">
        <v>0.0</v>
      </c>
      <c r="BT25" s="13">
        <v>0.0</v>
      </c>
      <c r="BU25" s="13">
        <v>0.0</v>
      </c>
      <c r="BV25" s="13">
        <v>0.0</v>
      </c>
      <c r="BW25" s="13">
        <v>0.0</v>
      </c>
      <c r="BX25" s="13">
        <v>0.0</v>
      </c>
      <c r="BY25" s="13">
        <v>0.0</v>
      </c>
      <c r="BZ25" s="13">
        <v>0.0</v>
      </c>
      <c r="CA25" s="13">
        <v>0.0</v>
      </c>
      <c r="CB25" s="13">
        <v>0.0</v>
      </c>
      <c r="CC25" s="13">
        <v>0.0</v>
      </c>
      <c r="CD25" s="13">
        <v>0.0</v>
      </c>
      <c r="CE25" s="13">
        <v>0.0</v>
      </c>
      <c r="CF25" s="13">
        <v>0.0</v>
      </c>
      <c r="CG25" s="13">
        <v>0.0</v>
      </c>
      <c r="CH25" s="13">
        <v>0.0</v>
      </c>
      <c r="CI25" s="13">
        <v>0.0</v>
      </c>
      <c r="CJ25" s="13">
        <v>0.0</v>
      </c>
      <c r="CK25" s="13">
        <v>0.0</v>
      </c>
      <c r="CL25" s="13">
        <v>0.0</v>
      </c>
      <c r="CM25" s="13">
        <v>0.0</v>
      </c>
      <c r="CN25" s="13">
        <v>0.0</v>
      </c>
      <c r="CO25" s="13">
        <v>0.0</v>
      </c>
      <c r="CP25" s="13">
        <v>0.0</v>
      </c>
      <c r="CQ25" s="13">
        <v>0.0</v>
      </c>
      <c r="CR25" s="13">
        <v>0.0</v>
      </c>
      <c r="CS25" s="13">
        <v>0.0</v>
      </c>
      <c r="CT25" s="13">
        <v>0.0</v>
      </c>
      <c r="CU25" s="13">
        <v>0.0</v>
      </c>
      <c r="CV25" s="13">
        <v>0.0</v>
      </c>
      <c r="CW25" s="13">
        <v>0.0</v>
      </c>
      <c r="CX25" s="13">
        <v>0.0</v>
      </c>
      <c r="CY25" s="13">
        <v>0.0</v>
      </c>
      <c r="CZ25" s="13">
        <v>0.0</v>
      </c>
      <c r="DA25" s="13">
        <v>0.0</v>
      </c>
      <c r="DB25" s="13">
        <v>0.0</v>
      </c>
      <c r="DC25" s="13">
        <v>0.0</v>
      </c>
      <c r="DD25" s="13">
        <v>0.0</v>
      </c>
      <c r="DE25" s="13">
        <v>0.0</v>
      </c>
      <c r="DF25" s="13">
        <v>0.0</v>
      </c>
      <c r="DG25" s="13">
        <v>0.0</v>
      </c>
      <c r="DH25" s="13">
        <v>0.0</v>
      </c>
      <c r="DI25" s="13">
        <v>0.0</v>
      </c>
      <c r="DJ25" s="13">
        <v>0.0</v>
      </c>
      <c r="DK25" s="13">
        <v>0.0</v>
      </c>
      <c r="DL25" s="13">
        <v>0.0</v>
      </c>
      <c r="DM25" s="13">
        <v>0.0</v>
      </c>
      <c r="DN25" s="13">
        <v>0.0</v>
      </c>
      <c r="DO25" s="13">
        <v>0.0</v>
      </c>
      <c r="DP25" s="13">
        <v>0.0</v>
      </c>
      <c r="DQ25" s="13">
        <v>0.0</v>
      </c>
      <c r="DR25" s="13">
        <v>0.0</v>
      </c>
      <c r="DS25" s="13">
        <v>0.0</v>
      </c>
      <c r="DT25" s="13"/>
      <c r="DU25" s="13">
        <v>0.0</v>
      </c>
      <c r="DV25" s="13">
        <v>0.0</v>
      </c>
      <c r="DW25" s="13">
        <v>0.0</v>
      </c>
      <c r="DX25" s="13"/>
      <c r="DY25" s="13">
        <v>0.0</v>
      </c>
      <c r="DZ25" s="13">
        <v>0.0</v>
      </c>
      <c r="EA25" s="13">
        <v>0.0</v>
      </c>
      <c r="EB25" s="13">
        <v>0.0</v>
      </c>
      <c r="EC25" s="13">
        <v>0.0</v>
      </c>
      <c r="ED25" s="13">
        <v>0.0</v>
      </c>
      <c r="EE25" s="13">
        <v>0.0</v>
      </c>
      <c r="EF25" s="13">
        <v>0.0</v>
      </c>
      <c r="EG25" s="13">
        <v>0.0</v>
      </c>
      <c r="EH25" s="13">
        <v>0.0</v>
      </c>
      <c r="EI25" s="13">
        <v>0.0</v>
      </c>
      <c r="EJ25" s="13">
        <v>0.0</v>
      </c>
    </row>
    <row r="26" ht="15.75" customHeight="1">
      <c r="A26" s="9" t="s">
        <v>185</v>
      </c>
      <c r="B26" s="13"/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/>
      <c r="I26" s="16">
        <f>iferror(vlookup(A26,'Inst Lending numbers'!A:D,4,false)," ")</f>
        <v>0.0295</v>
      </c>
      <c r="J26" s="13">
        <v>0.0</v>
      </c>
      <c r="K26" s="13">
        <v>0.0</v>
      </c>
      <c r="L26" s="13"/>
      <c r="M26" s="13">
        <v>0.0</v>
      </c>
      <c r="N26" s="13">
        <v>0.0</v>
      </c>
      <c r="O26" s="13">
        <f t="shared" si="5"/>
        <v>0.03932233526</v>
      </c>
      <c r="P26" s="13">
        <f t="shared" si="2"/>
        <v>0</v>
      </c>
      <c r="Q26" s="13"/>
      <c r="R26" s="13"/>
      <c r="S26" s="13"/>
      <c r="T26" s="13"/>
      <c r="U26" s="13"/>
      <c r="V26" s="13"/>
      <c r="W26" s="13"/>
      <c r="X26" s="13"/>
      <c r="Y26" s="13">
        <f t="shared" si="3"/>
        <v>0</v>
      </c>
      <c r="Z26" s="13"/>
      <c r="AA26" s="13">
        <v>0.0</v>
      </c>
      <c r="AB26" s="13">
        <f t="shared" si="6"/>
        <v>0.1957867833</v>
      </c>
      <c r="AC26" s="13"/>
      <c r="AD26" s="13"/>
      <c r="AE26" s="13">
        <f>iferror(sumif('Weekly Rates'!D:D,A26,'Weekly Rates'!F:F)/countif('Weekly Rates'!D:D,A26),0)</f>
        <v>0.0149796</v>
      </c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>
        <v>0.3</v>
      </c>
      <c r="AS26" s="13">
        <f>iferror(VLOOKUP($A26,EAM!A$2:E$14,2,FALSE))</f>
        <v>0.05362683443</v>
      </c>
      <c r="AT26" s="13"/>
      <c r="AU26" s="13">
        <f>sumif('Weekly Rates'!A:A,A26,'Weekly Rates'!B:B)</f>
        <v>0</v>
      </c>
      <c r="AV26" s="13">
        <v>0.0</v>
      </c>
      <c r="AW26" s="13">
        <v>0.0</v>
      </c>
      <c r="AX26" s="13">
        <v>0.0</v>
      </c>
      <c r="AY26" s="13">
        <v>0.0</v>
      </c>
      <c r="AZ26" s="13">
        <v>0.0</v>
      </c>
      <c r="BA26" s="13">
        <v>0.0</v>
      </c>
      <c r="BB26" s="13"/>
      <c r="BC26" s="13">
        <v>0.0096</v>
      </c>
      <c r="BD26" s="13">
        <v>0.0</v>
      </c>
      <c r="BE26" s="13">
        <v>0.0</v>
      </c>
      <c r="BF26" s="13">
        <v>0.0</v>
      </c>
      <c r="BG26" s="13">
        <v>0.0</v>
      </c>
      <c r="BH26" s="13">
        <v>0.0</v>
      </c>
      <c r="BI26" s="13">
        <v>0.0322</v>
      </c>
      <c r="BJ26" s="13">
        <f t="array" ref="BJ26">iferror(INDEX('Import from defimon'!$1:$100,MATCH(BJ$1,'Import from defimon'!$A:$A,0),MATCH($A26,'Import from defimon'!$1:$1,0)))</f>
        <v>0.0801</v>
      </c>
      <c r="BK26" s="13">
        <v>0.0</v>
      </c>
      <c r="BL26" s="13">
        <v>0.06</v>
      </c>
      <c r="BM26" s="13">
        <v>0.0</v>
      </c>
      <c r="BN26" s="13">
        <v>0.01</v>
      </c>
      <c r="BO26" s="13">
        <v>0.06</v>
      </c>
      <c r="BP26" s="13">
        <v>0.0</v>
      </c>
      <c r="BQ26" s="13">
        <v>0.0</v>
      </c>
      <c r="BR26" s="13">
        <v>0.0</v>
      </c>
      <c r="BS26" s="13">
        <v>0.0</v>
      </c>
      <c r="BT26" s="13">
        <f>IFERROR(__xludf.DUMMYFUNCTION("importrange(""https://docs.google.com/spreadsheets/d/1sEJbnmLMGxlqg2Slrotvc3YAgqP9DQwYm8VpUh_GslY/edit#gid=0"",""Sheet1!C27"")"),0.0488)</f>
        <v>0.0488</v>
      </c>
      <c r="BU26" s="13">
        <v>0.0</v>
      </c>
      <c r="BV26" s="13">
        <v>0.0</v>
      </c>
      <c r="BW26" s="13">
        <v>0.0</v>
      </c>
      <c r="BX26" s="13">
        <v>0.0</v>
      </c>
      <c r="BY26" s="13">
        <v>0.0</v>
      </c>
      <c r="BZ26" s="13">
        <v>0.0</v>
      </c>
      <c r="CA26" s="13">
        <v>0.0</v>
      </c>
      <c r="CB26" s="13">
        <v>0.0</v>
      </c>
      <c r="CC26" s="13">
        <f>IFERROR(__xludf.DUMMYFUNCTION("importrange(""https://docs.google.com/spreadsheets/d/1sEJbnmLMGxlqg2Slrotvc3YAgqP9DQwYm8VpUh_GslY/edit#gid=0"",""Sheet1!C31"")"),0.0092)</f>
        <v>0.0092</v>
      </c>
      <c r="CD26" s="13">
        <v>0.0</v>
      </c>
      <c r="CE26" s="13">
        <v>0.0</v>
      </c>
      <c r="CF26" s="13">
        <f>IFERROR(__xludf.DUMMYFUNCTION("importrange(""https://docs.google.com/spreadsheets/d/1sEJbnmLMGxlqg2Slrotvc3YAgqP9DQwYm8VpUh_GslY/edit#gid=0"",""Sheet1!C28"")"),0.0125)</f>
        <v>0.0125</v>
      </c>
      <c r="CG26" s="13">
        <v>0.0885</v>
      </c>
      <c r="CH26" s="13">
        <v>0.0</v>
      </c>
      <c r="CI26" s="13">
        <v>0.0</v>
      </c>
      <c r="CJ26" s="13">
        <v>0.0</v>
      </c>
      <c r="CK26" s="13">
        <v>0.0</v>
      </c>
      <c r="CL26" s="13">
        <v>0.0</v>
      </c>
      <c r="CM26" s="13">
        <v>0.0</v>
      </c>
      <c r="CN26" s="13">
        <v>0.0</v>
      </c>
      <c r="CO26" s="13">
        <v>0.0</v>
      </c>
      <c r="CP26" s="13">
        <v>0.0</v>
      </c>
      <c r="CQ26" s="13">
        <v>0.0</v>
      </c>
      <c r="CR26" s="13">
        <v>0.0</v>
      </c>
      <c r="CS26" s="13">
        <v>0.0</v>
      </c>
      <c r="CT26" s="13">
        <v>0.0</v>
      </c>
      <c r="CU26" s="13">
        <v>0.0</v>
      </c>
      <c r="CV26" s="13">
        <v>0.0</v>
      </c>
      <c r="CW26" s="13">
        <v>0.0</v>
      </c>
      <c r="CX26" s="13">
        <v>0.0</v>
      </c>
      <c r="CY26" s="13">
        <v>0.0</v>
      </c>
      <c r="CZ26" s="13">
        <v>0.0</v>
      </c>
      <c r="DA26" s="13">
        <v>0.0</v>
      </c>
      <c r="DB26" s="13">
        <v>0.0</v>
      </c>
      <c r="DC26" s="13">
        <v>0.0</v>
      </c>
      <c r="DD26" s="13">
        <v>0.0</v>
      </c>
      <c r="DE26" s="13">
        <v>0.0</v>
      </c>
      <c r="DF26" s="13">
        <v>0.0</v>
      </c>
      <c r="DG26" s="13">
        <v>0.16</v>
      </c>
      <c r="DH26" s="13">
        <f>IFERROR(__xludf.DUMMYFUNCTION("importrange(""https://docs.google.com/spreadsheets/d/1sEJbnmLMGxlqg2Slrotvc3YAgqP9DQwYm8VpUh_GslY/edit#gid=0"",""Sheet1!C20"")"),0.0621)</f>
        <v>0.0621</v>
      </c>
      <c r="DI26" s="13">
        <v>0.0</v>
      </c>
      <c r="DJ26" s="13">
        <v>0.0</v>
      </c>
      <c r="DK26" s="13">
        <v>0.0</v>
      </c>
      <c r="DL26" s="13">
        <v>0.0</v>
      </c>
      <c r="DM26" s="13">
        <v>0.03</v>
      </c>
      <c r="DN26" s="13">
        <v>0.0</v>
      </c>
      <c r="DO26" s="13">
        <v>0.0</v>
      </c>
      <c r="DP26" s="12">
        <v>0.07</v>
      </c>
      <c r="DQ26" s="13">
        <v>0.0785</v>
      </c>
      <c r="DR26" s="13">
        <v>0.0</v>
      </c>
      <c r="DS26" s="13">
        <v>0.0</v>
      </c>
      <c r="DT26" s="13"/>
      <c r="DU26" s="13">
        <v>0.14</v>
      </c>
      <c r="DV26" s="13">
        <v>0.0</v>
      </c>
      <c r="DW26" s="13">
        <v>0.0</v>
      </c>
      <c r="DX26" s="13"/>
      <c r="DY26" s="13">
        <v>0.0</v>
      </c>
      <c r="DZ26" s="17">
        <f>IFERROR(__xludf.DUMMYFUNCTION("importrange(""https://docs.google.com/spreadsheets/d/1sEJbnmLMGxlqg2Slrotvc3YAgqP9DQwYm8VpUh_GslY/edit#gid=0"",""Sheet1!C47"")"),0.28)</f>
        <v>0.28</v>
      </c>
      <c r="EA26" s="17">
        <v>0.055</v>
      </c>
      <c r="EB26" s="13">
        <v>0.0</v>
      </c>
      <c r="EC26" s="13">
        <v>0.0</v>
      </c>
      <c r="ED26" s="13">
        <v>0.0</v>
      </c>
      <c r="EE26" s="13">
        <v>0.0</v>
      </c>
      <c r="EF26" s="13">
        <v>0.0</v>
      </c>
      <c r="EG26" s="13">
        <v>0.0</v>
      </c>
      <c r="EH26" s="13">
        <v>0.0</v>
      </c>
      <c r="EI26" s="13">
        <v>0.0</v>
      </c>
      <c r="EJ26" s="13">
        <v>0.0</v>
      </c>
    </row>
    <row r="27" ht="15.75" customHeight="1">
      <c r="A27" s="9" t="s">
        <v>186</v>
      </c>
      <c r="B27" s="13"/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/>
      <c r="I27" s="16" t="str">
        <f>iferror(vlookup(A27,'Inst Lending numbers'!A:D,4,false)," ")</f>
        <v> </v>
      </c>
      <c r="J27" s="13"/>
      <c r="K27" s="13"/>
      <c r="L27" s="13"/>
      <c r="M27" s="13"/>
      <c r="N27" s="13"/>
      <c r="O27" s="13">
        <f t="shared" si="5"/>
        <v>0.03932233526</v>
      </c>
      <c r="P27" s="13">
        <f t="shared" si="2"/>
        <v>0</v>
      </c>
      <c r="Q27" s="13"/>
      <c r="R27" s="13"/>
      <c r="S27" s="13"/>
      <c r="T27" s="13"/>
      <c r="U27" s="13"/>
      <c r="V27" s="13"/>
      <c r="W27" s="13"/>
      <c r="X27" s="13"/>
      <c r="Y27" s="13">
        <f t="shared" si="3"/>
        <v>0</v>
      </c>
      <c r="Z27" s="13"/>
      <c r="AA27" s="13">
        <v>0.0</v>
      </c>
      <c r="AB27" s="13">
        <f t="shared" si="6"/>
        <v>0.1957867833</v>
      </c>
      <c r="AC27" s="13"/>
      <c r="AD27" s="13"/>
      <c r="AE27" s="13">
        <f>iferror(sumif('Weekly Rates'!D:D,A27,'Weekly Rates'!F:F)/countif('Weekly Rates'!D:D,A27),0)</f>
        <v>0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 t="str">
        <f>iferror(VLOOKUP($A27,EAM!A$2:E$14,2,FALSE))</f>
        <v/>
      </c>
      <c r="AT27" s="13"/>
      <c r="AU27" s="13">
        <f>sumif('Weekly Rates'!A:A,A27,'Weekly Rates'!B:B)</f>
        <v>0.0693</v>
      </c>
      <c r="AV27" s="13">
        <v>0.0</v>
      </c>
      <c r="AW27" s="13">
        <v>0.0</v>
      </c>
      <c r="AX27" s="13">
        <v>0.0</v>
      </c>
      <c r="AY27" s="13">
        <v>0.0</v>
      </c>
      <c r="AZ27" s="13">
        <v>0.0</v>
      </c>
      <c r="BA27" s="13">
        <v>0.0</v>
      </c>
      <c r="BB27" s="13">
        <v>0.0</v>
      </c>
      <c r="BC27" s="13">
        <v>0.0</v>
      </c>
      <c r="BD27" s="13">
        <v>0.0</v>
      </c>
      <c r="BE27" s="13">
        <v>0.0</v>
      </c>
      <c r="BF27" s="13">
        <v>0.0</v>
      </c>
      <c r="BG27" s="13">
        <v>0.0</v>
      </c>
      <c r="BH27" s="13">
        <v>0.0</v>
      </c>
      <c r="BI27" s="13">
        <v>0.0</v>
      </c>
      <c r="BJ27" s="13">
        <v>0.0</v>
      </c>
      <c r="BK27" s="13">
        <v>0.0</v>
      </c>
      <c r="BL27" s="13">
        <v>0.0</v>
      </c>
      <c r="BM27" s="13">
        <v>0.0</v>
      </c>
      <c r="BN27" s="13">
        <v>0.0</v>
      </c>
      <c r="BO27" s="13">
        <v>0.0</v>
      </c>
      <c r="BP27" s="13">
        <v>0.0</v>
      </c>
      <c r="BQ27" s="13">
        <v>0.0</v>
      </c>
      <c r="BR27" s="13">
        <v>0.0</v>
      </c>
      <c r="BS27" s="13">
        <v>0.0</v>
      </c>
      <c r="BT27" s="13">
        <v>0.0</v>
      </c>
      <c r="BU27" s="13">
        <v>0.0</v>
      </c>
      <c r="BV27" s="13">
        <v>0.0</v>
      </c>
      <c r="BW27" s="13">
        <v>0.0</v>
      </c>
      <c r="BX27" s="13">
        <v>0.0</v>
      </c>
      <c r="BY27" s="13">
        <v>0.0</v>
      </c>
      <c r="BZ27" s="13">
        <v>0.0</v>
      </c>
      <c r="CA27" s="13">
        <v>0.0</v>
      </c>
      <c r="CB27" s="13">
        <v>0.0</v>
      </c>
      <c r="CC27" s="13">
        <v>0.0</v>
      </c>
      <c r="CD27" s="13">
        <v>0.0</v>
      </c>
      <c r="CE27" s="13">
        <v>0.0</v>
      </c>
      <c r="CF27" s="13">
        <v>0.0</v>
      </c>
      <c r="CG27" s="13">
        <v>0.0</v>
      </c>
      <c r="CH27" s="13">
        <v>0.0</v>
      </c>
      <c r="CI27" s="13">
        <v>0.0</v>
      </c>
      <c r="CJ27" s="13">
        <v>0.0</v>
      </c>
      <c r="CK27" s="13">
        <v>0.0</v>
      </c>
      <c r="CL27" s="13">
        <v>0.0</v>
      </c>
      <c r="CM27" s="13">
        <v>0.0</v>
      </c>
      <c r="CN27" s="13">
        <v>0.0</v>
      </c>
      <c r="CO27" s="13">
        <v>0.0</v>
      </c>
      <c r="CP27" s="13">
        <v>0.0</v>
      </c>
      <c r="CQ27" s="13">
        <v>0.0</v>
      </c>
      <c r="CR27" s="13">
        <v>0.0</v>
      </c>
      <c r="CS27" s="13">
        <v>0.0</v>
      </c>
      <c r="CT27" s="13">
        <v>0.0</v>
      </c>
      <c r="CU27" s="13">
        <v>0.0</v>
      </c>
      <c r="CV27" s="13">
        <v>0.0</v>
      </c>
      <c r="CW27" s="13">
        <v>0.0</v>
      </c>
      <c r="CX27" s="13">
        <v>0.0</v>
      </c>
      <c r="CY27" s="13">
        <v>0.0</v>
      </c>
      <c r="CZ27" s="13">
        <v>0.0</v>
      </c>
      <c r="DA27" s="13">
        <v>0.0</v>
      </c>
      <c r="DB27" s="13">
        <v>0.0</v>
      </c>
      <c r="DC27" s="13">
        <v>0.0</v>
      </c>
      <c r="DD27" s="13">
        <v>0.0</v>
      </c>
      <c r="DE27" s="13">
        <v>0.0</v>
      </c>
      <c r="DF27" s="13">
        <v>0.0</v>
      </c>
      <c r="DG27" s="13">
        <v>0.0</v>
      </c>
      <c r="DH27" s="13">
        <v>0.0</v>
      </c>
      <c r="DI27" s="13">
        <v>0.0</v>
      </c>
      <c r="DJ27" s="13">
        <v>0.0</v>
      </c>
      <c r="DK27" s="13">
        <v>0.0</v>
      </c>
      <c r="DL27" s="13">
        <v>0.0</v>
      </c>
      <c r="DM27" s="13">
        <v>0.0</v>
      </c>
      <c r="DN27" s="13">
        <v>0.0</v>
      </c>
      <c r="DO27" s="13">
        <v>0.0</v>
      </c>
      <c r="DP27" s="13">
        <v>0.0</v>
      </c>
      <c r="DQ27" s="13">
        <v>0.0</v>
      </c>
      <c r="DR27" s="13">
        <v>0.0</v>
      </c>
      <c r="DS27" s="13">
        <v>0.0</v>
      </c>
      <c r="DT27" s="13"/>
      <c r="DU27" s="13">
        <v>0.0</v>
      </c>
      <c r="DV27" s="13">
        <v>0.0</v>
      </c>
      <c r="DW27" s="13">
        <v>0.0</v>
      </c>
      <c r="DX27" s="13"/>
      <c r="DY27" s="13">
        <v>0.0</v>
      </c>
      <c r="DZ27" s="13">
        <v>0.0</v>
      </c>
      <c r="EA27" s="13">
        <v>0.0</v>
      </c>
      <c r="EB27" s="13">
        <v>0.0</v>
      </c>
      <c r="EC27" s="13">
        <v>0.0</v>
      </c>
      <c r="ED27" s="13">
        <v>0.0</v>
      </c>
      <c r="EE27" s="13">
        <v>0.0</v>
      </c>
      <c r="EF27" s="13">
        <v>0.0</v>
      </c>
      <c r="EG27" s="13">
        <v>0.0</v>
      </c>
      <c r="EH27" s="13">
        <v>0.0</v>
      </c>
      <c r="EI27" s="13">
        <v>0.0</v>
      </c>
      <c r="EJ27" s="13">
        <v>0.0</v>
      </c>
    </row>
    <row r="28" ht="15.75" customHeight="1">
      <c r="A28" s="9" t="s">
        <v>187</v>
      </c>
      <c r="B28" s="13"/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/>
      <c r="I28" s="16" t="str">
        <f>iferror(vlookup(A28,'Inst Lending numbers'!A:D,4,false)," ")</f>
        <v> </v>
      </c>
      <c r="J28" s="13"/>
      <c r="K28" s="13"/>
      <c r="L28" s="13">
        <v>0.034</v>
      </c>
      <c r="M28" s="13"/>
      <c r="N28" s="13"/>
      <c r="O28" s="13">
        <f t="shared" si="5"/>
        <v>0.03932233526</v>
      </c>
      <c r="P28" s="13">
        <f t="shared" si="2"/>
        <v>0</v>
      </c>
      <c r="Q28" s="13"/>
      <c r="R28" s="13"/>
      <c r="S28" s="13"/>
      <c r="T28" s="13"/>
      <c r="U28" s="13"/>
      <c r="V28" s="13"/>
      <c r="W28" s="13"/>
      <c r="X28" s="13"/>
      <c r="Y28" s="13">
        <f t="shared" si="3"/>
        <v>0</v>
      </c>
      <c r="Z28" s="13"/>
      <c r="AA28" s="13">
        <v>0.0</v>
      </c>
      <c r="AB28" s="13">
        <f t="shared" si="6"/>
        <v>0.1957867833</v>
      </c>
      <c r="AC28" s="13"/>
      <c r="AD28" s="13"/>
      <c r="AE28" s="13">
        <f>iferror(sumif('Weekly Rates'!D:D,A28,'Weekly Rates'!F:F)/countif('Weekly Rates'!D:D,A28),0)</f>
        <v>0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 t="str">
        <f>iferror(VLOOKUP($A28,EAM!A$2:E$14,2,FALSE))</f>
        <v/>
      </c>
      <c r="AT28" s="13"/>
      <c r="AU28" s="13">
        <f>sumif('Weekly Rates'!A:A,A28,'Weekly Rates'!B:B)</f>
        <v>0</v>
      </c>
      <c r="AV28" s="13">
        <v>0.0</v>
      </c>
      <c r="AW28" s="13">
        <v>0.0</v>
      </c>
      <c r="AX28" s="13">
        <v>0.0</v>
      </c>
      <c r="AY28" s="13">
        <v>0.0</v>
      </c>
      <c r="AZ28" s="13">
        <f>IFERROR(__xludf.DUMMYFUNCTION("importrange(""https://docs.google.com/spreadsheets/d/1sEJbnmLMGxlqg2Slrotvc3YAgqP9DQwYm8VpUh_GslY/edit#gid=0"",""Sheet1!C17"")"),0.0416)</f>
        <v>0.0416</v>
      </c>
      <c r="BA28" s="13">
        <v>0.0</v>
      </c>
      <c r="BB28" s="13">
        <v>0.0</v>
      </c>
      <c r="BC28" s="13">
        <v>0.0</v>
      </c>
      <c r="BD28" s="13">
        <v>0.0277</v>
      </c>
      <c r="BE28" s="13">
        <v>0.0</v>
      </c>
      <c r="BF28" s="13">
        <v>0.0</v>
      </c>
      <c r="BG28" s="13">
        <v>0.0</v>
      </c>
      <c r="BH28" s="13">
        <v>0.0</v>
      </c>
      <c r="BI28" s="13">
        <v>0.0</v>
      </c>
      <c r="BJ28" s="13">
        <v>0.0</v>
      </c>
      <c r="BK28" s="13">
        <v>0.0</v>
      </c>
      <c r="BL28" s="13">
        <v>0.0</v>
      </c>
      <c r="BM28" s="13">
        <v>0.0</v>
      </c>
      <c r="BN28" s="13">
        <v>0.0</v>
      </c>
      <c r="BO28" s="13">
        <v>0.0</v>
      </c>
      <c r="BP28" s="13">
        <v>0.0</v>
      </c>
      <c r="BQ28" s="13">
        <v>0.0</v>
      </c>
      <c r="BR28" s="13">
        <v>0.0</v>
      </c>
      <c r="BS28" s="13">
        <v>0.0</v>
      </c>
      <c r="BT28" s="13">
        <v>0.0</v>
      </c>
      <c r="BU28" s="13">
        <v>0.0</v>
      </c>
      <c r="BV28" s="13">
        <v>0.0</v>
      </c>
      <c r="BW28" s="13">
        <v>0.0</v>
      </c>
      <c r="BX28" s="13">
        <v>0.0</v>
      </c>
      <c r="BY28" s="13">
        <v>0.0</v>
      </c>
      <c r="BZ28" s="13">
        <v>0.0</v>
      </c>
      <c r="CA28" s="13">
        <v>0.0</v>
      </c>
      <c r="CB28" s="13">
        <v>0.0</v>
      </c>
      <c r="CC28" s="13">
        <v>0.0</v>
      </c>
      <c r="CD28" s="13">
        <v>0.0</v>
      </c>
      <c r="CE28" s="13">
        <v>0.0</v>
      </c>
      <c r="CF28" s="13">
        <v>0.0</v>
      </c>
      <c r="CG28" s="13">
        <v>0.0</v>
      </c>
      <c r="CH28" s="13">
        <v>0.0</v>
      </c>
      <c r="CI28" s="13">
        <v>0.0</v>
      </c>
      <c r="CJ28" s="13">
        <v>0.0</v>
      </c>
      <c r="CK28" s="13">
        <v>0.0</v>
      </c>
      <c r="CL28" s="13">
        <v>0.0</v>
      </c>
      <c r="CM28" s="13">
        <v>0.0</v>
      </c>
      <c r="CN28" s="13">
        <v>0.0</v>
      </c>
      <c r="CO28" s="13">
        <v>0.0</v>
      </c>
      <c r="CP28" s="13">
        <v>0.0</v>
      </c>
      <c r="CQ28" s="13">
        <v>0.0</v>
      </c>
      <c r="CR28" s="13">
        <v>0.0</v>
      </c>
      <c r="CS28" s="13">
        <v>0.0</v>
      </c>
      <c r="CT28" s="13">
        <v>0.0</v>
      </c>
      <c r="CU28" s="13">
        <v>0.0</v>
      </c>
      <c r="CV28" s="13">
        <v>0.0</v>
      </c>
      <c r="CW28" s="13">
        <v>0.0</v>
      </c>
      <c r="CX28" s="13">
        <v>0.0</v>
      </c>
      <c r="CY28" s="13">
        <v>0.0</v>
      </c>
      <c r="CZ28" s="13">
        <v>0.0</v>
      </c>
      <c r="DA28" s="13">
        <v>0.0</v>
      </c>
      <c r="DB28" s="13">
        <v>0.0</v>
      </c>
      <c r="DC28" s="13">
        <v>0.0</v>
      </c>
      <c r="DD28" s="13">
        <v>0.0</v>
      </c>
      <c r="DE28" s="13">
        <v>0.0</v>
      </c>
      <c r="DF28" s="13">
        <v>0.0</v>
      </c>
      <c r="DG28" s="13">
        <v>0.0</v>
      </c>
      <c r="DH28" s="13">
        <v>0.0</v>
      </c>
      <c r="DI28" s="13">
        <v>0.0</v>
      </c>
      <c r="DJ28" s="13">
        <v>0.0</v>
      </c>
      <c r="DK28" s="13">
        <v>0.0</v>
      </c>
      <c r="DL28" s="13">
        <v>0.0</v>
      </c>
      <c r="DM28" s="13">
        <v>0.0</v>
      </c>
      <c r="DN28" s="13">
        <v>0.0</v>
      </c>
      <c r="DO28" s="13">
        <v>0.0</v>
      </c>
      <c r="DP28" s="13">
        <v>0.0</v>
      </c>
      <c r="DQ28" s="13">
        <v>0.0</v>
      </c>
      <c r="DR28" s="13">
        <v>0.0</v>
      </c>
      <c r="DS28" s="13">
        <v>0.0</v>
      </c>
      <c r="DT28" s="13"/>
      <c r="DU28" s="13">
        <v>0.0</v>
      </c>
      <c r="DV28" s="13">
        <v>0.0</v>
      </c>
      <c r="DW28" s="13">
        <v>0.0</v>
      </c>
      <c r="DX28" s="13"/>
      <c r="DY28" s="13">
        <v>0.0</v>
      </c>
      <c r="DZ28" s="13">
        <v>0.0</v>
      </c>
      <c r="EA28" s="13">
        <v>0.0</v>
      </c>
      <c r="EB28" s="13">
        <v>0.0</v>
      </c>
      <c r="EC28" s="13">
        <v>0.0</v>
      </c>
      <c r="ED28" s="13">
        <v>0.0</v>
      </c>
      <c r="EE28" s="13">
        <v>0.0</v>
      </c>
      <c r="EF28" s="13">
        <v>0.0</v>
      </c>
      <c r="EG28" s="13">
        <v>0.0</v>
      </c>
      <c r="EH28" s="13">
        <v>0.0</v>
      </c>
      <c r="EI28" s="13">
        <v>0.0</v>
      </c>
      <c r="EJ28" s="13">
        <v>0.0</v>
      </c>
    </row>
    <row r="29" ht="15.75" customHeight="1">
      <c r="A29" s="9" t="s">
        <v>151</v>
      </c>
      <c r="B29" s="13"/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6">
        <f>iferror(vlookup(A29,'Inst Lending numbers'!A:D,4,false)," ")</f>
        <v>0</v>
      </c>
      <c r="J29" s="13"/>
      <c r="K29" s="13">
        <v>0.0</v>
      </c>
      <c r="L29" s="13"/>
      <c r="M29" s="13"/>
      <c r="N29" s="13"/>
      <c r="O29" s="13">
        <f t="shared" si="5"/>
        <v>0.03932233526</v>
      </c>
      <c r="P29" s="13">
        <f t="shared" si="2"/>
        <v>0</v>
      </c>
      <c r="Q29" s="13"/>
      <c r="R29" s="13"/>
      <c r="S29" s="13"/>
      <c r="T29" s="13"/>
      <c r="U29" s="13"/>
      <c r="V29" s="13"/>
      <c r="W29" s="13"/>
      <c r="X29" s="13"/>
      <c r="Y29" s="13">
        <f t="shared" si="3"/>
        <v>0</v>
      </c>
      <c r="Z29" s="13"/>
      <c r="AA29" s="13">
        <v>0.0</v>
      </c>
      <c r="AB29" s="13">
        <f t="shared" si="6"/>
        <v>0.1957867833</v>
      </c>
      <c r="AC29" s="13"/>
      <c r="AD29" s="13"/>
      <c r="AE29" s="13">
        <f>iferror(sumif('Weekly Rates'!D:D,A29,'Weekly Rates'!F:F)/countif('Weekly Rates'!D:D,A29),0)</f>
        <v>0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 t="str">
        <f>iferror(VLOOKUP($A29,EAM!A$2:E$14,2,FALSE))</f>
        <v/>
      </c>
      <c r="AT29" s="13"/>
      <c r="AU29" s="13">
        <f>sumif('Weekly Rates'!A:A,A29,'Weekly Rates'!B:B)</f>
        <v>0</v>
      </c>
      <c r="AV29" s="13">
        <v>0.0</v>
      </c>
      <c r="AW29" s="13">
        <v>0.0</v>
      </c>
      <c r="AX29" s="13">
        <v>0.0</v>
      </c>
      <c r="AY29" s="13">
        <v>0.0</v>
      </c>
      <c r="AZ29" s="13">
        <v>0.0</v>
      </c>
      <c r="BA29" s="13">
        <v>0.0</v>
      </c>
      <c r="BB29" s="13">
        <v>0.0</v>
      </c>
      <c r="BC29" s="13">
        <v>0.0</v>
      </c>
      <c r="BD29" s="13">
        <v>0.0</v>
      </c>
      <c r="BE29" s="13">
        <v>0.0</v>
      </c>
      <c r="BF29" s="13">
        <v>0.0</v>
      </c>
      <c r="BG29" s="13">
        <v>0.0</v>
      </c>
      <c r="BH29" s="13">
        <v>0.0</v>
      </c>
      <c r="BI29" s="13">
        <v>0.0</v>
      </c>
      <c r="BJ29" s="13">
        <v>0.0</v>
      </c>
      <c r="BK29" s="13">
        <v>0.0</v>
      </c>
      <c r="BL29" s="13">
        <v>0.0</v>
      </c>
      <c r="BM29" s="13">
        <v>0.0</v>
      </c>
      <c r="BN29" s="13">
        <v>0.0</v>
      </c>
      <c r="BO29" s="13">
        <v>0.0</v>
      </c>
      <c r="BP29" s="13">
        <v>0.0</v>
      </c>
      <c r="BQ29" s="13">
        <v>0.0</v>
      </c>
      <c r="BR29" s="13">
        <v>0.0</v>
      </c>
      <c r="BS29" s="13">
        <v>0.0</v>
      </c>
      <c r="BT29" s="13">
        <v>0.0</v>
      </c>
      <c r="BU29" s="13">
        <v>0.0</v>
      </c>
      <c r="BV29" s="13">
        <v>0.0</v>
      </c>
      <c r="BW29" s="13">
        <v>0.0</v>
      </c>
      <c r="BX29" s="13">
        <v>0.0</v>
      </c>
      <c r="BY29" s="13">
        <v>0.0</v>
      </c>
      <c r="BZ29" s="13">
        <v>0.0</v>
      </c>
      <c r="CA29" s="13">
        <v>0.0</v>
      </c>
      <c r="CB29" s="13">
        <v>0.0</v>
      </c>
      <c r="CC29" s="13">
        <v>0.0</v>
      </c>
      <c r="CD29" s="13">
        <v>0.0</v>
      </c>
      <c r="CE29" s="13">
        <v>0.0</v>
      </c>
      <c r="CF29" s="13">
        <v>0.0</v>
      </c>
      <c r="CG29" s="13">
        <v>0.0</v>
      </c>
      <c r="CH29" s="13">
        <v>0.0</v>
      </c>
      <c r="CI29" s="13">
        <v>0.0</v>
      </c>
      <c r="CJ29" s="13">
        <v>0.0</v>
      </c>
      <c r="CK29" s="13">
        <v>0.0</v>
      </c>
      <c r="CL29" s="13">
        <v>0.0</v>
      </c>
      <c r="CM29" s="13">
        <v>0.0</v>
      </c>
      <c r="CN29" s="13">
        <v>0.0</v>
      </c>
      <c r="CO29" s="13">
        <v>0.0</v>
      </c>
      <c r="CP29" s="13">
        <v>0.0</v>
      </c>
      <c r="CQ29" s="13">
        <v>0.0</v>
      </c>
      <c r="CR29" s="13">
        <v>0.0</v>
      </c>
      <c r="CS29" s="13">
        <v>0.0</v>
      </c>
      <c r="CT29" s="13">
        <v>0.0</v>
      </c>
      <c r="CU29" s="13">
        <v>0.0</v>
      </c>
      <c r="CV29" s="13">
        <v>0.0</v>
      </c>
      <c r="CW29" s="13">
        <v>0.0</v>
      </c>
      <c r="CX29" s="13">
        <v>0.0</v>
      </c>
      <c r="CY29" s="13">
        <v>0.0</v>
      </c>
      <c r="CZ29" s="13">
        <v>0.0</v>
      </c>
      <c r="DA29" s="13">
        <v>0.0</v>
      </c>
      <c r="DB29" s="13">
        <v>0.0</v>
      </c>
      <c r="DC29" s="13">
        <v>0.0</v>
      </c>
      <c r="DD29" s="13">
        <v>0.0</v>
      </c>
      <c r="DE29" s="13">
        <v>0.0</v>
      </c>
      <c r="DF29" s="13">
        <v>0.0</v>
      </c>
      <c r="DG29" s="13">
        <v>0.0</v>
      </c>
      <c r="DH29" s="13">
        <v>0.0</v>
      </c>
      <c r="DI29" s="13">
        <v>0.0</v>
      </c>
      <c r="DJ29" s="13">
        <v>0.0</v>
      </c>
      <c r="DK29" s="13">
        <v>0.0</v>
      </c>
      <c r="DL29" s="13">
        <v>0.0</v>
      </c>
      <c r="DM29" s="13">
        <v>0.0</v>
      </c>
      <c r="DN29" s="13">
        <v>0.0</v>
      </c>
      <c r="DO29" s="13">
        <v>0.0</v>
      </c>
      <c r="DP29" s="13">
        <v>0.0</v>
      </c>
      <c r="DQ29" s="13">
        <v>0.0</v>
      </c>
      <c r="DR29" s="13">
        <v>0.0</v>
      </c>
      <c r="DS29" s="13">
        <v>0.0</v>
      </c>
      <c r="DT29" s="13"/>
      <c r="DU29" s="13">
        <v>0.0</v>
      </c>
      <c r="DV29" s="13">
        <v>0.0</v>
      </c>
      <c r="DW29" s="13">
        <v>0.0</v>
      </c>
      <c r="DX29" s="13"/>
      <c r="DY29" s="13">
        <v>0.0</v>
      </c>
      <c r="DZ29" s="13">
        <v>0.0</v>
      </c>
      <c r="EA29" s="13">
        <v>0.0</v>
      </c>
      <c r="EB29" s="13">
        <v>0.0</v>
      </c>
      <c r="EC29" s="13">
        <v>0.0</v>
      </c>
      <c r="ED29" s="13">
        <v>0.0</v>
      </c>
      <c r="EE29" s="13">
        <v>0.0</v>
      </c>
      <c r="EF29" s="13">
        <v>0.0</v>
      </c>
      <c r="EG29" s="13">
        <v>0.0</v>
      </c>
      <c r="EH29" s="13">
        <v>0.0</v>
      </c>
      <c r="EI29" s="13">
        <v>0.0</v>
      </c>
      <c r="EJ29" s="13">
        <v>0.0</v>
      </c>
    </row>
    <row r="30" ht="15.75" customHeight="1">
      <c r="A30" s="9" t="s">
        <v>188</v>
      </c>
      <c r="B30" s="13"/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/>
      <c r="I30" s="16">
        <f>iferror(vlookup(A30,'Inst Lending numbers'!A:D,4,false)," ")</f>
        <v>0.0778</v>
      </c>
      <c r="J30" s="13"/>
      <c r="K30" s="13"/>
      <c r="L30" s="13"/>
      <c r="M30" s="13"/>
      <c r="N30" s="13"/>
      <c r="O30" s="13">
        <f t="shared" si="5"/>
        <v>0.03932233526</v>
      </c>
      <c r="P30" s="13">
        <f t="shared" si="2"/>
        <v>0</v>
      </c>
      <c r="Q30" s="13"/>
      <c r="R30" s="13"/>
      <c r="S30" s="13"/>
      <c r="T30" s="13"/>
      <c r="U30" s="13"/>
      <c r="V30" s="13"/>
      <c r="W30" s="13"/>
      <c r="X30" s="13"/>
      <c r="Y30" s="13">
        <f t="shared" si="3"/>
        <v>0</v>
      </c>
      <c r="Z30" s="13"/>
      <c r="AA30" s="13">
        <v>0.0</v>
      </c>
      <c r="AB30" s="13">
        <f t="shared" si="6"/>
        <v>0.1957867833</v>
      </c>
      <c r="AC30" s="13"/>
      <c r="AD30" s="13"/>
      <c r="AE30" s="13">
        <f>iferror(sumif('Weekly Rates'!D:D,A30,'Weekly Rates'!F:F)/countif('Weekly Rates'!D:D,A30),0)</f>
        <v>0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 t="str">
        <f>iferror(VLOOKUP($A30,EAM!A$2:E$14,2,FALSE))</f>
        <v/>
      </c>
      <c r="AT30" s="13"/>
      <c r="AU30" s="13">
        <f>sumif('Weekly Rates'!A:A,A30,'Weekly Rates'!B:B)</f>
        <v>0</v>
      </c>
      <c r="AV30" s="13">
        <v>0.0</v>
      </c>
      <c r="AW30" s="13">
        <v>0.0</v>
      </c>
      <c r="AX30" s="13">
        <v>0.0</v>
      </c>
      <c r="AY30" s="13">
        <v>0.0</v>
      </c>
      <c r="AZ30" s="13">
        <v>0.0</v>
      </c>
      <c r="BA30" s="13">
        <v>0.0</v>
      </c>
      <c r="BB30" s="13">
        <v>0.0</v>
      </c>
      <c r="BC30" s="13">
        <v>0.031</v>
      </c>
      <c r="BD30" s="13">
        <v>0.0313</v>
      </c>
      <c r="BE30" s="13">
        <v>0.0</v>
      </c>
      <c r="BF30" s="13">
        <v>0.0</v>
      </c>
      <c r="BG30" s="13">
        <v>0.0</v>
      </c>
      <c r="BH30" s="13">
        <v>0.0</v>
      </c>
      <c r="BI30" s="13">
        <v>0.0</v>
      </c>
      <c r="BJ30" s="13">
        <v>0.0</v>
      </c>
      <c r="BK30" s="13">
        <v>0.0</v>
      </c>
      <c r="BL30" s="13">
        <v>0.0</v>
      </c>
      <c r="BM30" s="13">
        <v>0.0</v>
      </c>
      <c r="BN30" s="13">
        <v>0.0</v>
      </c>
      <c r="BO30" s="13">
        <v>0.0</v>
      </c>
      <c r="BP30" s="13">
        <v>0.0</v>
      </c>
      <c r="BQ30" s="13">
        <v>0.0</v>
      </c>
      <c r="BR30" s="13">
        <v>0.0</v>
      </c>
      <c r="BS30" s="13">
        <v>0.0</v>
      </c>
      <c r="BT30" s="13">
        <v>0.0</v>
      </c>
      <c r="BU30" s="13">
        <v>0.0</v>
      </c>
      <c r="BV30" s="13">
        <v>0.0</v>
      </c>
      <c r="BW30" s="13">
        <v>0.0</v>
      </c>
      <c r="BX30" s="13">
        <v>0.0</v>
      </c>
      <c r="BY30" s="13">
        <v>0.0</v>
      </c>
      <c r="BZ30" s="13">
        <v>0.0</v>
      </c>
      <c r="CA30" s="13">
        <v>0.0</v>
      </c>
      <c r="CB30" s="13">
        <v>0.0</v>
      </c>
      <c r="CC30" s="13">
        <v>0.0</v>
      </c>
      <c r="CD30" s="13">
        <v>0.0</v>
      </c>
      <c r="CE30" s="13">
        <v>0.0</v>
      </c>
      <c r="CF30" s="13">
        <v>0.0</v>
      </c>
      <c r="CG30" s="13">
        <v>0.0</v>
      </c>
      <c r="CH30" s="13">
        <v>0.0</v>
      </c>
      <c r="CI30" s="13">
        <v>0.0</v>
      </c>
      <c r="CJ30" s="13">
        <v>0.0</v>
      </c>
      <c r="CK30" s="13">
        <v>0.0</v>
      </c>
      <c r="CL30" s="13">
        <v>0.0</v>
      </c>
      <c r="CM30" s="13">
        <v>0.0</v>
      </c>
      <c r="CN30" s="13">
        <v>0.0</v>
      </c>
      <c r="CO30" s="13">
        <v>0.0</v>
      </c>
      <c r="CP30" s="13">
        <v>0.0</v>
      </c>
      <c r="CQ30" s="13">
        <v>0.0</v>
      </c>
      <c r="CR30" s="13">
        <v>0.0</v>
      </c>
      <c r="CS30" s="13">
        <v>0.0</v>
      </c>
      <c r="CT30" s="13">
        <v>0.0</v>
      </c>
      <c r="CU30" s="13">
        <v>0.0</v>
      </c>
      <c r="CV30" s="13">
        <v>0.0</v>
      </c>
      <c r="CW30" s="13">
        <v>0.0</v>
      </c>
      <c r="CX30" s="13">
        <v>0.0</v>
      </c>
      <c r="CY30" s="13">
        <v>0.0</v>
      </c>
      <c r="CZ30" s="13">
        <v>0.0</v>
      </c>
      <c r="DA30" s="13">
        <v>0.0</v>
      </c>
      <c r="DB30" s="13">
        <v>0.0</v>
      </c>
      <c r="DC30" s="13">
        <v>0.0</v>
      </c>
      <c r="DD30" s="13">
        <v>0.0</v>
      </c>
      <c r="DE30" s="13">
        <v>0.0</v>
      </c>
      <c r="DF30" s="13">
        <v>0.0</v>
      </c>
      <c r="DG30" s="13">
        <v>0.0</v>
      </c>
      <c r="DH30" s="13">
        <v>0.0</v>
      </c>
      <c r="DI30" s="13">
        <v>0.0</v>
      </c>
      <c r="DJ30" s="13">
        <v>0.0</v>
      </c>
      <c r="DK30" s="13">
        <v>0.0</v>
      </c>
      <c r="DL30" s="13">
        <v>0.0</v>
      </c>
      <c r="DM30" s="13">
        <v>0.0</v>
      </c>
      <c r="DN30" s="13">
        <v>0.0</v>
      </c>
      <c r="DO30" s="13">
        <v>0.0</v>
      </c>
      <c r="DP30" s="13">
        <v>0.0</v>
      </c>
      <c r="DQ30" s="13">
        <v>0.0</v>
      </c>
      <c r="DR30" s="13">
        <v>0.0</v>
      </c>
      <c r="DS30" s="13">
        <v>0.0</v>
      </c>
      <c r="DT30" s="13"/>
      <c r="DU30" s="13">
        <v>0.0</v>
      </c>
      <c r="DV30" s="13">
        <v>0.0</v>
      </c>
      <c r="DW30" s="13">
        <v>0.0</v>
      </c>
      <c r="DX30" s="13"/>
      <c r="DY30" s="13">
        <v>0.0</v>
      </c>
      <c r="DZ30" s="13">
        <v>0.0</v>
      </c>
      <c r="EA30" s="13">
        <v>0.0</v>
      </c>
      <c r="EB30" s="13">
        <v>0.0</v>
      </c>
      <c r="EC30" s="13">
        <v>0.0</v>
      </c>
      <c r="ED30" s="13">
        <v>0.0</v>
      </c>
      <c r="EE30" s="13">
        <v>0.0</v>
      </c>
      <c r="EF30" s="13">
        <v>0.0</v>
      </c>
      <c r="EG30" s="13">
        <v>0.0</v>
      </c>
      <c r="EH30" s="13">
        <v>0.0</v>
      </c>
      <c r="EI30" s="13">
        <v>0.0</v>
      </c>
      <c r="EJ30" s="13">
        <v>0.0</v>
      </c>
    </row>
    <row r="31" ht="15.75" customHeight="1">
      <c r="A31" s="7" t="s">
        <v>189</v>
      </c>
      <c r="B31" s="13"/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/>
      <c r="I31" s="16"/>
      <c r="J31" s="13"/>
      <c r="K31" s="13"/>
      <c r="L31" s="13"/>
      <c r="M31" s="13"/>
      <c r="N31" s="13"/>
      <c r="O31" s="13"/>
      <c r="P31" s="13">
        <f t="shared" si="2"/>
        <v>0</v>
      </c>
      <c r="Q31" s="13"/>
      <c r="R31" s="13"/>
      <c r="S31" s="13"/>
      <c r="T31" s="13"/>
      <c r="U31" s="13"/>
      <c r="V31" s="13"/>
      <c r="W31" s="13"/>
      <c r="X31" s="13"/>
      <c r="Y31" s="13">
        <f t="shared" si="3"/>
        <v>0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 t="str">
        <f>iferror(VLOOKUP($A31,EAM!A$2:E$14,2,FALSE))</f>
        <v/>
      </c>
      <c r="AT31" s="13"/>
      <c r="AU31" s="13"/>
      <c r="AV31" s="13"/>
      <c r="AW31" s="13"/>
      <c r="AX31" s="13"/>
      <c r="AY31" s="13">
        <v>0.0</v>
      </c>
      <c r="AZ31" s="13">
        <v>0.0</v>
      </c>
      <c r="BA31" s="13">
        <v>0.0</v>
      </c>
      <c r="BB31" s="13">
        <v>0.0</v>
      </c>
      <c r="BC31" s="13">
        <v>0.0</v>
      </c>
      <c r="BD31" s="13">
        <v>0.0</v>
      </c>
      <c r="BE31" s="13">
        <v>0.0</v>
      </c>
      <c r="BF31" s="13">
        <v>0.0</v>
      </c>
      <c r="BG31" s="13">
        <v>0.0</v>
      </c>
      <c r="BH31" s="13">
        <v>0.0</v>
      </c>
      <c r="BI31" s="13">
        <v>0.0</v>
      </c>
      <c r="BJ31" s="13">
        <v>0.0</v>
      </c>
      <c r="BK31" s="13">
        <v>0.0</v>
      </c>
      <c r="BL31" s="13">
        <v>0.0</v>
      </c>
      <c r="BM31" s="13">
        <v>0.0</v>
      </c>
      <c r="BN31" s="13">
        <v>0.0</v>
      </c>
      <c r="BO31" s="13">
        <v>0.0</v>
      </c>
      <c r="BP31" s="13">
        <v>0.0</v>
      </c>
      <c r="BQ31" s="13">
        <v>0.0</v>
      </c>
      <c r="BR31" s="13">
        <v>0.0</v>
      </c>
      <c r="BS31" s="13">
        <v>0.0</v>
      </c>
      <c r="BT31" s="13">
        <v>0.0</v>
      </c>
      <c r="BU31" s="13">
        <v>0.0</v>
      </c>
      <c r="BV31" s="13">
        <v>0.0</v>
      </c>
      <c r="BW31" s="13">
        <v>0.0</v>
      </c>
      <c r="BX31" s="13">
        <v>0.0</v>
      </c>
      <c r="BY31" s="13">
        <v>0.0</v>
      </c>
      <c r="BZ31" s="13">
        <v>0.0</v>
      </c>
      <c r="CA31" s="13">
        <v>0.0</v>
      </c>
      <c r="CB31" s="13">
        <v>0.0</v>
      </c>
      <c r="CC31" s="13">
        <v>0.0</v>
      </c>
      <c r="CD31" s="13">
        <v>0.0</v>
      </c>
      <c r="CE31" s="13">
        <v>0.0</v>
      </c>
      <c r="CF31" s="13">
        <v>0.0</v>
      </c>
      <c r="CG31" s="13">
        <v>0.0</v>
      </c>
      <c r="CH31" s="13">
        <v>0.0</v>
      </c>
      <c r="CI31" s="13">
        <v>0.0</v>
      </c>
      <c r="CJ31" s="13">
        <v>0.0</v>
      </c>
      <c r="CK31" s="13">
        <v>0.0</v>
      </c>
      <c r="CL31" s="13">
        <v>0.0</v>
      </c>
      <c r="CM31" s="13">
        <v>0.0</v>
      </c>
      <c r="CN31" s="13">
        <v>0.0</v>
      </c>
      <c r="CO31" s="13">
        <v>0.0</v>
      </c>
      <c r="CP31" s="13">
        <v>0.0</v>
      </c>
      <c r="CQ31" s="13">
        <v>0.0</v>
      </c>
      <c r="CR31" s="13">
        <v>0.0</v>
      </c>
      <c r="CS31" s="13">
        <v>0.0</v>
      </c>
      <c r="CT31" s="13">
        <v>0.0</v>
      </c>
      <c r="CU31" s="13">
        <v>0.0</v>
      </c>
      <c r="CV31" s="13">
        <v>0.0</v>
      </c>
      <c r="CW31" s="13">
        <v>0.0</v>
      </c>
      <c r="CX31" s="13">
        <v>0.0</v>
      </c>
      <c r="CY31" s="13">
        <v>0.0</v>
      </c>
      <c r="CZ31" s="13">
        <v>0.0</v>
      </c>
      <c r="DA31" s="13">
        <v>0.0</v>
      </c>
      <c r="DB31" s="13">
        <v>0.0</v>
      </c>
      <c r="DC31" s="13">
        <v>0.0</v>
      </c>
      <c r="DD31" s="13">
        <v>0.0</v>
      </c>
      <c r="DE31" s="13">
        <v>0.0</v>
      </c>
      <c r="DF31" s="13">
        <v>0.0</v>
      </c>
      <c r="DG31" s="13">
        <v>0.0</v>
      </c>
      <c r="DH31" s="13">
        <v>0.0</v>
      </c>
      <c r="DI31" s="13">
        <v>0.0</v>
      </c>
      <c r="DJ31" s="13">
        <v>0.0</v>
      </c>
      <c r="DK31" s="13">
        <v>0.0</v>
      </c>
      <c r="DL31" s="13">
        <v>0.0</v>
      </c>
      <c r="DM31" s="13">
        <v>0.0</v>
      </c>
      <c r="DN31" s="13">
        <v>0.0</v>
      </c>
      <c r="DO31" s="13">
        <v>0.0</v>
      </c>
      <c r="DP31" s="13">
        <v>0.0</v>
      </c>
      <c r="DQ31" s="13">
        <v>0.0</v>
      </c>
      <c r="DR31" s="13">
        <v>0.0</v>
      </c>
      <c r="DS31" s="13">
        <v>0.0</v>
      </c>
      <c r="DT31" s="13"/>
      <c r="DU31" s="13">
        <v>0.0</v>
      </c>
      <c r="DV31" s="13">
        <v>0.0</v>
      </c>
      <c r="DW31" s="13">
        <v>0.0</v>
      </c>
      <c r="DX31" s="13"/>
      <c r="DY31" s="13">
        <v>0.0</v>
      </c>
      <c r="DZ31" s="13">
        <v>0.0</v>
      </c>
      <c r="EA31" s="13">
        <v>0.0</v>
      </c>
      <c r="EB31" s="13">
        <v>0.0</v>
      </c>
      <c r="EC31" s="13">
        <v>0.0</v>
      </c>
      <c r="ED31" s="13">
        <v>0.0</v>
      </c>
      <c r="EE31" s="13">
        <v>0.0</v>
      </c>
      <c r="EF31" s="13">
        <v>0.0</v>
      </c>
      <c r="EG31" s="13">
        <v>0.0</v>
      </c>
      <c r="EH31" s="13">
        <v>0.0</v>
      </c>
      <c r="EI31" s="13">
        <v>0.0</v>
      </c>
      <c r="EJ31" s="13">
        <v>0.0</v>
      </c>
    </row>
    <row r="32" ht="15.75" customHeight="1">
      <c r="A32" s="9" t="s">
        <v>190</v>
      </c>
      <c r="B32" s="13"/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/>
      <c r="I32" s="16">
        <f>iferror(vlookup(A32,'Inst Lending numbers'!A:D,4,false)," ")</f>
        <v>0.1264</v>
      </c>
      <c r="J32" s="13"/>
      <c r="K32" s="13"/>
      <c r="L32" s="13"/>
      <c r="M32" s="13"/>
      <c r="N32" s="13"/>
      <c r="O32" s="13">
        <f t="shared" ref="O32:O36" si="7">$O$4</f>
        <v>0.03932233526</v>
      </c>
      <c r="P32" s="13">
        <f t="shared" si="2"/>
        <v>0</v>
      </c>
      <c r="Q32" s="13"/>
      <c r="R32" s="13"/>
      <c r="S32" s="13"/>
      <c r="T32" s="13"/>
      <c r="U32" s="13"/>
      <c r="V32" s="13"/>
      <c r="W32" s="13"/>
      <c r="X32" s="13"/>
      <c r="Y32" s="13">
        <f t="shared" si="3"/>
        <v>0</v>
      </c>
      <c r="Z32" s="13"/>
      <c r="AA32" s="13">
        <v>0.0</v>
      </c>
      <c r="AB32" s="13">
        <f t="shared" ref="AB32:AB36" si="8">$AB$4</f>
        <v>0.1957867833</v>
      </c>
      <c r="AC32" s="13"/>
      <c r="AD32" s="13"/>
      <c r="AE32" s="13">
        <f>iferror(sumif('Weekly Rates'!D:D,A32,'Weekly Rates'!F:F)/countif('Weekly Rates'!D:D,A32),0)</f>
        <v>0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 t="str">
        <f>iferror(VLOOKUP($A32,EAM!A$2:E$14,2,FALSE))</f>
        <v/>
      </c>
      <c r="AT32" s="13"/>
      <c r="AU32" s="13">
        <f>sumif('Weekly Rates'!A:A,A32,'Weekly Rates'!B:B)</f>
        <v>0</v>
      </c>
      <c r="AV32" s="13">
        <v>0.0</v>
      </c>
      <c r="AW32" s="13">
        <v>0.0</v>
      </c>
      <c r="AX32" s="13">
        <v>0.0</v>
      </c>
      <c r="AY32" s="13">
        <v>0.0</v>
      </c>
      <c r="AZ32" s="13">
        <v>0.0</v>
      </c>
      <c r="BA32" s="13">
        <v>0.0</v>
      </c>
      <c r="BB32" s="13">
        <v>0.0</v>
      </c>
      <c r="BC32" s="13">
        <v>0.0</v>
      </c>
      <c r="BD32" s="13">
        <v>0.0</v>
      </c>
      <c r="BE32" s="13">
        <v>0.0</v>
      </c>
      <c r="BF32" s="13">
        <v>0.0</v>
      </c>
      <c r="BG32" s="13">
        <v>0.0</v>
      </c>
      <c r="BH32" s="13">
        <v>0.0</v>
      </c>
      <c r="BI32" s="13">
        <v>0.0</v>
      </c>
      <c r="BJ32" s="13">
        <v>0.0</v>
      </c>
      <c r="BK32" s="13">
        <v>0.0</v>
      </c>
      <c r="BL32" s="13">
        <v>0.0</v>
      </c>
      <c r="BM32" s="13">
        <v>0.0</v>
      </c>
      <c r="BN32" s="13">
        <v>0.0</v>
      </c>
      <c r="BO32" s="13">
        <v>0.0</v>
      </c>
      <c r="BP32" s="13">
        <v>0.0</v>
      </c>
      <c r="BQ32" s="13">
        <v>0.0</v>
      </c>
      <c r="BR32" s="13">
        <v>0.0</v>
      </c>
      <c r="BS32" s="13">
        <v>0.0</v>
      </c>
      <c r="BT32" s="13">
        <v>0.0</v>
      </c>
      <c r="BU32" s="13">
        <v>0.0</v>
      </c>
      <c r="BV32" s="13">
        <v>0.0</v>
      </c>
      <c r="BW32" s="13">
        <v>0.0</v>
      </c>
      <c r="BX32" s="13">
        <v>0.0</v>
      </c>
      <c r="BY32" s="13">
        <v>0.0</v>
      </c>
      <c r="BZ32" s="13">
        <v>0.0</v>
      </c>
      <c r="CA32" s="13">
        <v>0.0</v>
      </c>
      <c r="CB32" s="13">
        <v>0.0</v>
      </c>
      <c r="CC32" s="13">
        <v>0.0</v>
      </c>
      <c r="CD32" s="13">
        <v>0.0</v>
      </c>
      <c r="CE32" s="13">
        <v>0.0</v>
      </c>
      <c r="CF32" s="13">
        <v>0.0</v>
      </c>
      <c r="CG32" s="13">
        <v>0.0</v>
      </c>
      <c r="CH32" s="13">
        <v>0.0</v>
      </c>
      <c r="CI32" s="13">
        <v>0.0</v>
      </c>
      <c r="CJ32" s="13">
        <v>0.0</v>
      </c>
      <c r="CK32" s="13">
        <v>0.0</v>
      </c>
      <c r="CL32" s="13">
        <v>0.0</v>
      </c>
      <c r="CM32" s="13">
        <v>0.0</v>
      </c>
      <c r="CN32" s="13">
        <v>0.0</v>
      </c>
      <c r="CO32" s="13">
        <v>0.0</v>
      </c>
      <c r="CP32" s="13">
        <v>0.0</v>
      </c>
      <c r="CQ32" s="13">
        <v>0.0</v>
      </c>
      <c r="CR32" s="13">
        <v>0.0</v>
      </c>
      <c r="CS32" s="13">
        <v>0.0</v>
      </c>
      <c r="CT32" s="13">
        <v>0.0</v>
      </c>
      <c r="CU32" s="13">
        <v>0.0</v>
      </c>
      <c r="CV32" s="13">
        <v>0.0</v>
      </c>
      <c r="CW32" s="13">
        <v>0.0</v>
      </c>
      <c r="CX32" s="13">
        <v>0.0</v>
      </c>
      <c r="CY32" s="13">
        <v>0.0</v>
      </c>
      <c r="CZ32" s="13">
        <v>0.0</v>
      </c>
      <c r="DA32" s="13">
        <v>0.0</v>
      </c>
      <c r="DB32" s="13">
        <v>0.0</v>
      </c>
      <c r="DC32" s="13">
        <v>0.0</v>
      </c>
      <c r="DD32" s="13">
        <v>0.0</v>
      </c>
      <c r="DE32" s="13">
        <v>0.0</v>
      </c>
      <c r="DF32" s="13">
        <v>0.0</v>
      </c>
      <c r="DG32" s="13">
        <v>0.0</v>
      </c>
      <c r="DH32" s="13">
        <v>0.0</v>
      </c>
      <c r="DI32" s="13">
        <v>0.0</v>
      </c>
      <c r="DJ32" s="13">
        <v>0.0</v>
      </c>
      <c r="DK32" s="13">
        <v>0.0</v>
      </c>
      <c r="DL32" s="13">
        <v>0.0</v>
      </c>
      <c r="DM32" s="13">
        <v>0.0</v>
      </c>
      <c r="DN32" s="13">
        <v>0.0</v>
      </c>
      <c r="DO32" s="13">
        <v>0.0</v>
      </c>
      <c r="DP32" s="13">
        <v>0.0</v>
      </c>
      <c r="DQ32" s="13">
        <v>0.0</v>
      </c>
      <c r="DR32" s="13">
        <v>0.0</v>
      </c>
      <c r="DS32" s="13">
        <v>0.0</v>
      </c>
      <c r="DT32" s="13"/>
      <c r="DU32" s="13">
        <v>0.0</v>
      </c>
      <c r="DV32" s="13">
        <v>0.0</v>
      </c>
      <c r="DW32" s="13">
        <v>0.0</v>
      </c>
      <c r="DX32" s="13"/>
      <c r="DY32" s="13">
        <v>0.0</v>
      </c>
      <c r="DZ32" s="13">
        <v>0.0</v>
      </c>
      <c r="EA32" s="13">
        <v>0.0</v>
      </c>
      <c r="EB32" s="13">
        <v>0.0</v>
      </c>
      <c r="EC32" s="13">
        <v>0.0</v>
      </c>
      <c r="ED32" s="13">
        <v>0.0</v>
      </c>
      <c r="EE32" s="13">
        <v>0.0</v>
      </c>
      <c r="EF32" s="13">
        <v>0.0</v>
      </c>
      <c r="EG32" s="13">
        <v>0.0</v>
      </c>
      <c r="EH32" s="13">
        <v>0.0</v>
      </c>
      <c r="EI32" s="13">
        <v>0.0</v>
      </c>
      <c r="EJ32" s="13">
        <v>0.0</v>
      </c>
    </row>
    <row r="33" ht="15.75" customHeight="1">
      <c r="A33" s="9" t="s">
        <v>191</v>
      </c>
      <c r="B33" s="13"/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/>
      <c r="I33" s="16" t="str">
        <f>iferror(vlookup(A33,'Inst Lending numbers'!A:D,4,false)," ")</f>
        <v> </v>
      </c>
      <c r="J33" s="13"/>
      <c r="K33" s="13"/>
      <c r="L33" s="13"/>
      <c r="M33" s="7" t="s">
        <v>168</v>
      </c>
      <c r="N33" s="13"/>
      <c r="O33" s="13">
        <f t="shared" si="7"/>
        <v>0.03932233526</v>
      </c>
      <c r="P33" s="13">
        <f t="shared" si="2"/>
        <v>0</v>
      </c>
      <c r="Q33" s="13"/>
      <c r="R33" s="13"/>
      <c r="S33" s="13"/>
      <c r="T33" s="13"/>
      <c r="U33" s="13"/>
      <c r="V33" s="13"/>
      <c r="W33" s="13"/>
      <c r="X33" s="13"/>
      <c r="Y33" s="13">
        <f t="shared" si="3"/>
        <v>0</v>
      </c>
      <c r="Z33" s="13"/>
      <c r="AA33" s="13">
        <v>0.0</v>
      </c>
      <c r="AB33" s="13">
        <f t="shared" si="8"/>
        <v>0.1957867833</v>
      </c>
      <c r="AC33" s="13"/>
      <c r="AD33" s="13"/>
      <c r="AE33" s="13">
        <f>iferror(sumif('Weekly Rates'!D:D,A33,'Weekly Rates'!F:F)/countif('Weekly Rates'!D:D,A33),0)</f>
        <v>0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 t="str">
        <f>iferror(VLOOKUP($A33,EAM!A$2:E$14,2,FALSE))</f>
        <v/>
      </c>
      <c r="AT33" s="13"/>
      <c r="AU33" s="13">
        <f>sumif('Weekly Rates'!A:A,A33,'Weekly Rates'!B:B)</f>
        <v>0</v>
      </c>
      <c r="AV33" s="13">
        <v>0.0</v>
      </c>
      <c r="AW33" s="13">
        <v>0.0</v>
      </c>
      <c r="AX33" s="13">
        <v>0.0</v>
      </c>
      <c r="AY33" s="13">
        <v>0.0</v>
      </c>
      <c r="AZ33" s="13">
        <v>0.0</v>
      </c>
      <c r="BA33" s="13">
        <v>0.0</v>
      </c>
      <c r="BB33" s="13">
        <v>0.0</v>
      </c>
      <c r="BC33" s="13">
        <v>0.0</v>
      </c>
      <c r="BD33" s="13">
        <v>0.0</v>
      </c>
      <c r="BE33" s="13">
        <v>0.0</v>
      </c>
      <c r="BF33" s="13">
        <v>0.0</v>
      </c>
      <c r="BG33" s="13">
        <v>0.0</v>
      </c>
      <c r="BH33" s="13">
        <v>0.0</v>
      </c>
      <c r="BI33" s="13">
        <v>0.0</v>
      </c>
      <c r="BJ33" s="13">
        <v>0.0</v>
      </c>
      <c r="BK33" s="13">
        <v>0.0</v>
      </c>
      <c r="BL33" s="13">
        <v>0.0</v>
      </c>
      <c r="BM33" s="13">
        <v>0.0</v>
      </c>
      <c r="BN33" s="13">
        <v>0.0</v>
      </c>
      <c r="BO33" s="13">
        <v>0.0</v>
      </c>
      <c r="BP33" s="13">
        <v>0.0</v>
      </c>
      <c r="BQ33" s="13">
        <v>0.0</v>
      </c>
      <c r="BR33" s="13">
        <v>0.0</v>
      </c>
      <c r="BS33" s="13">
        <v>0.0</v>
      </c>
      <c r="BT33" s="13">
        <v>0.0</v>
      </c>
      <c r="BU33" s="13">
        <v>0.0</v>
      </c>
      <c r="BV33" s="13">
        <v>0.0</v>
      </c>
      <c r="BW33" s="13">
        <v>0.0</v>
      </c>
      <c r="BX33" s="13">
        <v>0.0</v>
      </c>
      <c r="BY33" s="13">
        <v>0.0</v>
      </c>
      <c r="BZ33" s="13">
        <v>0.0</v>
      </c>
      <c r="CA33" s="13">
        <v>0.0</v>
      </c>
      <c r="CB33" s="13">
        <v>0.0</v>
      </c>
      <c r="CC33" s="13">
        <v>0.0</v>
      </c>
      <c r="CD33" s="13">
        <v>0.0</v>
      </c>
      <c r="CE33" s="13">
        <v>0.0</v>
      </c>
      <c r="CF33" s="13">
        <v>0.0</v>
      </c>
      <c r="CG33" s="13">
        <v>0.0</v>
      </c>
      <c r="CH33" s="13">
        <v>0.0</v>
      </c>
      <c r="CI33" s="13">
        <v>0.0</v>
      </c>
      <c r="CJ33" s="13">
        <v>0.0</v>
      </c>
      <c r="CK33" s="13">
        <v>0.0</v>
      </c>
      <c r="CL33" s="13">
        <v>0.0</v>
      </c>
      <c r="CM33" s="13">
        <v>0.0</v>
      </c>
      <c r="CN33" s="13">
        <v>0.0</v>
      </c>
      <c r="CO33" s="13">
        <v>0.0</v>
      </c>
      <c r="CP33" s="13">
        <v>0.0</v>
      </c>
      <c r="CQ33" s="13">
        <v>0.0</v>
      </c>
      <c r="CR33" s="13">
        <v>0.0</v>
      </c>
      <c r="CS33" s="13">
        <v>0.0</v>
      </c>
      <c r="CT33" s="13">
        <v>0.0</v>
      </c>
      <c r="CU33" s="13">
        <v>0.0</v>
      </c>
      <c r="CV33" s="13">
        <v>0.0</v>
      </c>
      <c r="CW33" s="13">
        <v>0.0</v>
      </c>
      <c r="CX33" s="13">
        <v>0.0</v>
      </c>
      <c r="CY33" s="13">
        <v>0.0</v>
      </c>
      <c r="CZ33" s="13">
        <v>0.0</v>
      </c>
      <c r="DA33" s="13">
        <v>0.0</v>
      </c>
      <c r="DB33" s="13">
        <v>0.0</v>
      </c>
      <c r="DC33" s="13">
        <v>0.0</v>
      </c>
      <c r="DD33" s="13">
        <v>0.0</v>
      </c>
      <c r="DE33" s="13">
        <v>0.0</v>
      </c>
      <c r="DF33" s="13">
        <v>0.0</v>
      </c>
      <c r="DG33" s="13">
        <v>0.0</v>
      </c>
      <c r="DH33" s="13">
        <v>0.0</v>
      </c>
      <c r="DI33" s="13">
        <v>0.0</v>
      </c>
      <c r="DJ33" s="13">
        <v>0.0</v>
      </c>
      <c r="DK33" s="13">
        <v>0.0</v>
      </c>
      <c r="DL33" s="13">
        <v>0.0</v>
      </c>
      <c r="DM33" s="13">
        <v>0.0</v>
      </c>
      <c r="DN33" s="13">
        <v>0.0</v>
      </c>
      <c r="DO33" s="13">
        <v>0.0</v>
      </c>
      <c r="DP33" s="13">
        <v>0.0</v>
      </c>
      <c r="DQ33" s="13">
        <v>0.0</v>
      </c>
      <c r="DR33" s="13">
        <v>0.0</v>
      </c>
      <c r="DS33" s="13">
        <v>0.0</v>
      </c>
      <c r="DT33" s="13"/>
      <c r="DU33" s="13">
        <v>0.0</v>
      </c>
      <c r="DV33" s="13">
        <v>0.0</v>
      </c>
      <c r="DW33" s="13">
        <v>0.0</v>
      </c>
      <c r="DX33" s="13"/>
      <c r="DY33" s="13">
        <v>0.0</v>
      </c>
      <c r="DZ33" s="13">
        <v>0.0</v>
      </c>
      <c r="EA33" s="13">
        <v>0.0</v>
      </c>
      <c r="EB33" s="13">
        <v>0.0</v>
      </c>
      <c r="EC33" s="13">
        <v>0.0</v>
      </c>
      <c r="ED33" s="13">
        <v>0.0</v>
      </c>
      <c r="EE33" s="13">
        <v>0.0</v>
      </c>
      <c r="EF33" s="13">
        <v>0.0</v>
      </c>
      <c r="EG33" s="13">
        <v>0.0</v>
      </c>
      <c r="EH33" s="13">
        <v>0.0</v>
      </c>
      <c r="EI33" s="13">
        <v>0.0</v>
      </c>
      <c r="EJ33" s="13">
        <v>0.0</v>
      </c>
    </row>
    <row r="34" ht="15.75" customHeight="1">
      <c r="A34" s="9" t="s">
        <v>192</v>
      </c>
      <c r="B34" s="13"/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/>
      <c r="I34" s="16">
        <f>iferror(vlookup(A34,'Inst Lending numbers'!A:D,4,false)," ")</f>
        <v>0.0425</v>
      </c>
      <c r="J34" s="13"/>
      <c r="K34" s="13"/>
      <c r="L34" s="13"/>
      <c r="M34" s="13"/>
      <c r="N34" s="13"/>
      <c r="O34" s="13">
        <f t="shared" si="7"/>
        <v>0.03932233526</v>
      </c>
      <c r="P34" s="13">
        <f t="shared" si="2"/>
        <v>0</v>
      </c>
      <c r="Q34" s="13"/>
      <c r="R34" s="13"/>
      <c r="S34" s="13"/>
      <c r="T34" s="13"/>
      <c r="U34" s="13"/>
      <c r="V34" s="13"/>
      <c r="W34" s="13"/>
      <c r="X34" s="13"/>
      <c r="Y34" s="13">
        <f t="shared" si="3"/>
        <v>0</v>
      </c>
      <c r="Z34" s="13"/>
      <c r="AA34" s="13">
        <v>0.0</v>
      </c>
      <c r="AB34" s="13">
        <f t="shared" si="8"/>
        <v>0.1957867833</v>
      </c>
      <c r="AC34" s="13"/>
      <c r="AD34" s="13"/>
      <c r="AE34" s="13">
        <f>iferror(sumif('Weekly Rates'!D:D,A34,'Weekly Rates'!F:F)/countif('Weekly Rates'!D:D,A34),0)</f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>
        <v>0.02</v>
      </c>
      <c r="AR34" s="13"/>
      <c r="AS34" s="13" t="str">
        <f>iferror(VLOOKUP($A34,EAM!A$2:E$14,2,FALSE))</f>
        <v/>
      </c>
      <c r="AT34" s="13"/>
      <c r="AU34" s="13">
        <f>sumif('Weekly Rates'!A:A,A34,'Weekly Rates'!B:B)</f>
        <v>0.0635</v>
      </c>
      <c r="AV34" s="13">
        <v>0.0</v>
      </c>
      <c r="AW34" s="13">
        <v>0.0</v>
      </c>
      <c r="AX34" s="13">
        <v>0.0</v>
      </c>
      <c r="AY34" s="13">
        <v>0.0</v>
      </c>
      <c r="AZ34" s="13">
        <v>0.0</v>
      </c>
      <c r="BA34" s="13">
        <v>0.0</v>
      </c>
      <c r="BB34" s="13">
        <v>0.0</v>
      </c>
      <c r="BC34" s="13">
        <v>0.0</v>
      </c>
      <c r="BD34" s="13">
        <v>0.0</v>
      </c>
      <c r="BE34" s="13">
        <v>0.0</v>
      </c>
      <c r="BF34" s="13">
        <v>0.0</v>
      </c>
      <c r="BG34" s="13">
        <v>0.0</v>
      </c>
      <c r="BH34" s="13">
        <v>0.0</v>
      </c>
      <c r="BI34" s="13">
        <v>0.0</v>
      </c>
      <c r="BJ34" s="13">
        <v>0.0</v>
      </c>
      <c r="BK34" s="13">
        <v>0.0</v>
      </c>
      <c r="BL34" s="13">
        <v>0.0</v>
      </c>
      <c r="BM34" s="13">
        <v>0.0</v>
      </c>
      <c r="BN34" s="13">
        <v>0.0</v>
      </c>
      <c r="BO34" s="13">
        <v>0.0</v>
      </c>
      <c r="BP34" s="13">
        <v>0.0</v>
      </c>
      <c r="BQ34" s="13">
        <v>0.0</v>
      </c>
      <c r="BR34" s="13">
        <v>0.0</v>
      </c>
      <c r="BS34" s="13">
        <v>0.0</v>
      </c>
      <c r="BT34" s="13">
        <v>0.0</v>
      </c>
      <c r="BU34" s="13">
        <v>0.0</v>
      </c>
      <c r="BV34" s="13">
        <v>0.0</v>
      </c>
      <c r="BW34" s="13">
        <v>0.0</v>
      </c>
      <c r="BX34" s="13">
        <v>0.0</v>
      </c>
      <c r="BY34" s="13">
        <v>0.0</v>
      </c>
      <c r="BZ34" s="13">
        <v>0.0</v>
      </c>
      <c r="CA34" s="13">
        <v>0.0</v>
      </c>
      <c r="CB34" s="13">
        <v>0.0</v>
      </c>
      <c r="CC34" s="13">
        <v>0.0</v>
      </c>
      <c r="CD34" s="13">
        <v>0.0</v>
      </c>
      <c r="CE34" s="13">
        <v>0.0</v>
      </c>
      <c r="CF34" s="13">
        <v>0.0</v>
      </c>
      <c r="CG34" s="13">
        <v>0.0</v>
      </c>
      <c r="CH34" s="13">
        <v>0.0</v>
      </c>
      <c r="CI34" s="13">
        <v>0.0</v>
      </c>
      <c r="CJ34" s="13">
        <v>0.0</v>
      </c>
      <c r="CK34" s="13">
        <v>0.0</v>
      </c>
      <c r="CL34" s="13">
        <v>0.0</v>
      </c>
      <c r="CM34" s="13">
        <v>0.0</v>
      </c>
      <c r="CN34" s="13">
        <v>0.0</v>
      </c>
      <c r="CO34" s="13">
        <v>0.0</v>
      </c>
      <c r="CP34" s="13">
        <v>0.0</v>
      </c>
      <c r="CQ34" s="13">
        <v>0.0</v>
      </c>
      <c r="CR34" s="13">
        <v>0.0</v>
      </c>
      <c r="CS34" s="13">
        <v>0.0</v>
      </c>
      <c r="CT34" s="13">
        <v>0.0</v>
      </c>
      <c r="CU34" s="13">
        <v>0.0</v>
      </c>
      <c r="CV34" s="13">
        <v>0.0</v>
      </c>
      <c r="CW34" s="13">
        <v>0.0</v>
      </c>
      <c r="CX34" s="13">
        <v>0.0</v>
      </c>
      <c r="CY34" s="13">
        <v>0.0</v>
      </c>
      <c r="CZ34" s="13">
        <v>0.0</v>
      </c>
      <c r="DA34" s="13">
        <v>0.0</v>
      </c>
      <c r="DB34" s="13">
        <v>0.0</v>
      </c>
      <c r="DC34" s="13">
        <v>0.0</v>
      </c>
      <c r="DD34" s="13">
        <v>0.0</v>
      </c>
      <c r="DE34" s="13">
        <v>0.0</v>
      </c>
      <c r="DF34" s="13">
        <v>0.0</v>
      </c>
      <c r="DG34" s="13">
        <v>0.0</v>
      </c>
      <c r="DH34" s="13">
        <v>0.0</v>
      </c>
      <c r="DI34" s="13">
        <v>0.0</v>
      </c>
      <c r="DJ34" s="13">
        <v>0.0</v>
      </c>
      <c r="DK34" s="13">
        <v>0.0</v>
      </c>
      <c r="DL34" s="13">
        <v>0.0</v>
      </c>
      <c r="DM34" s="13">
        <v>0.0</v>
      </c>
      <c r="DN34" s="13">
        <v>0.0</v>
      </c>
      <c r="DO34" s="13">
        <v>0.0</v>
      </c>
      <c r="DP34" s="13">
        <v>0.0</v>
      </c>
      <c r="DQ34" s="13">
        <v>0.0</v>
      </c>
      <c r="DR34" s="13">
        <v>0.0</v>
      </c>
      <c r="DS34" s="13">
        <v>0.0</v>
      </c>
      <c r="DT34" s="13"/>
      <c r="DU34" s="13">
        <v>0.0</v>
      </c>
      <c r="DV34" s="13">
        <v>0.0</v>
      </c>
      <c r="DW34" s="13">
        <v>0.0</v>
      </c>
      <c r="DX34" s="13"/>
      <c r="DY34" s="13">
        <v>0.0</v>
      </c>
      <c r="DZ34" s="13">
        <v>0.0</v>
      </c>
      <c r="EA34" s="13">
        <v>0.0</v>
      </c>
      <c r="EB34" s="13">
        <v>0.0</v>
      </c>
      <c r="EC34" s="13">
        <v>0.0</v>
      </c>
      <c r="ED34" s="13">
        <v>0.0</v>
      </c>
      <c r="EE34" s="13">
        <v>0.0</v>
      </c>
      <c r="EF34" s="13">
        <v>0.0</v>
      </c>
      <c r="EG34" s="13">
        <v>0.0</v>
      </c>
      <c r="EH34" s="13">
        <v>0.0</v>
      </c>
      <c r="EI34" s="13">
        <v>0.0</v>
      </c>
      <c r="EJ34" s="13">
        <v>0.0</v>
      </c>
    </row>
    <row r="35" ht="15.75" customHeight="1">
      <c r="A35" s="9" t="s">
        <v>193</v>
      </c>
      <c r="B35" s="13"/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/>
      <c r="I35" s="16" t="str">
        <f>iferror(vlookup(A35,'Inst Lending numbers'!A:D,4,false)," ")</f>
        <v> </v>
      </c>
      <c r="J35" s="13"/>
      <c r="K35" s="13"/>
      <c r="L35" s="13"/>
      <c r="M35" s="13"/>
      <c r="N35" s="13"/>
      <c r="O35" s="13">
        <f t="shared" si="7"/>
        <v>0.03932233526</v>
      </c>
      <c r="P35" s="13">
        <f t="shared" si="2"/>
        <v>0</v>
      </c>
      <c r="Q35" s="13"/>
      <c r="R35" s="13"/>
      <c r="S35" s="13"/>
      <c r="T35" s="13"/>
      <c r="U35" s="13"/>
      <c r="V35" s="13"/>
      <c r="W35" s="13"/>
      <c r="X35" s="13"/>
      <c r="Y35" s="13">
        <f t="shared" si="3"/>
        <v>0</v>
      </c>
      <c r="Z35" s="13"/>
      <c r="AA35" s="13">
        <v>0.0</v>
      </c>
      <c r="AB35" s="13">
        <f t="shared" si="8"/>
        <v>0.1957867833</v>
      </c>
      <c r="AC35" s="13"/>
      <c r="AD35" s="13"/>
      <c r="AE35" s="13">
        <f>iferror(sumif('Weekly Rates'!D:D,A35,'Weekly Rates'!F:F)/countif('Weekly Rates'!D:D,A35),0)</f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 t="str">
        <f>iferror(VLOOKUP($A35,EAM!A$2:E$14,2,FALSE))</f>
        <v/>
      </c>
      <c r="AT35" s="13"/>
      <c r="AU35" s="13">
        <f>sumif('Weekly Rates'!A:A,A35,'Weekly Rates'!B:B)</f>
        <v>0</v>
      </c>
      <c r="AV35" s="13">
        <v>0.0</v>
      </c>
      <c r="AW35" s="13">
        <v>0.0</v>
      </c>
      <c r="AX35" s="13">
        <v>0.0</v>
      </c>
      <c r="AY35" s="13">
        <v>0.0</v>
      </c>
      <c r="AZ35" s="13">
        <v>0.0</v>
      </c>
      <c r="BA35" s="13">
        <v>0.0</v>
      </c>
      <c r="BB35" s="13">
        <v>0.0</v>
      </c>
      <c r="BC35" s="13">
        <v>0.0</v>
      </c>
      <c r="BD35" s="13">
        <v>0.0</v>
      </c>
      <c r="BE35" s="13">
        <v>0.0</v>
      </c>
      <c r="BF35" s="13">
        <v>0.0</v>
      </c>
      <c r="BG35" s="13">
        <v>0.0</v>
      </c>
      <c r="BH35" s="13">
        <v>0.0</v>
      </c>
      <c r="BI35" s="13">
        <v>0.0</v>
      </c>
      <c r="BJ35" s="13">
        <v>0.0</v>
      </c>
      <c r="BK35" s="13">
        <v>0.0</v>
      </c>
      <c r="BL35" s="13">
        <v>0.0</v>
      </c>
      <c r="BM35" s="13">
        <v>0.0</v>
      </c>
      <c r="BN35" s="13">
        <v>0.0</v>
      </c>
      <c r="BO35" s="13">
        <v>0.0</v>
      </c>
      <c r="BP35" s="13">
        <v>0.0</v>
      </c>
      <c r="BQ35" s="13">
        <v>0.0</v>
      </c>
      <c r="BR35" s="13">
        <v>0.0</v>
      </c>
      <c r="BS35" s="13">
        <v>0.0</v>
      </c>
      <c r="BT35" s="13">
        <v>0.0</v>
      </c>
      <c r="BU35" s="13">
        <v>0.0</v>
      </c>
      <c r="BV35" s="13">
        <v>0.0</v>
      </c>
      <c r="BW35" s="13">
        <v>0.0</v>
      </c>
      <c r="BX35" s="13">
        <v>0.0</v>
      </c>
      <c r="BY35" s="13">
        <v>0.0</v>
      </c>
      <c r="BZ35" s="13">
        <v>0.0</v>
      </c>
      <c r="CA35" s="13">
        <v>0.0</v>
      </c>
      <c r="CB35" s="13">
        <v>0.0</v>
      </c>
      <c r="CC35" s="13">
        <v>0.0</v>
      </c>
      <c r="CD35" s="13">
        <v>0.0</v>
      </c>
      <c r="CE35" s="13">
        <v>0.0</v>
      </c>
      <c r="CF35" s="13">
        <v>0.0</v>
      </c>
      <c r="CG35" s="13">
        <v>0.0</v>
      </c>
      <c r="CH35" s="13">
        <v>0.0</v>
      </c>
      <c r="CI35" s="13">
        <v>0.0</v>
      </c>
      <c r="CJ35" s="13">
        <v>0.0</v>
      </c>
      <c r="CK35" s="13">
        <v>0.0</v>
      </c>
      <c r="CL35" s="13">
        <v>0.0</v>
      </c>
      <c r="CM35" s="13">
        <v>0.0</v>
      </c>
      <c r="CN35" s="13">
        <v>0.0</v>
      </c>
      <c r="CO35" s="13">
        <v>0.0</v>
      </c>
      <c r="CP35" s="13">
        <v>0.0</v>
      </c>
      <c r="CQ35" s="13">
        <v>0.0</v>
      </c>
      <c r="CR35" s="13">
        <v>0.0</v>
      </c>
      <c r="CS35" s="13">
        <v>0.0</v>
      </c>
      <c r="CT35" s="13">
        <v>0.0</v>
      </c>
      <c r="CU35" s="13">
        <v>0.0</v>
      </c>
      <c r="CV35" s="13">
        <v>0.0</v>
      </c>
      <c r="CW35" s="13">
        <v>0.0</v>
      </c>
      <c r="CX35" s="13">
        <v>0.0</v>
      </c>
      <c r="CY35" s="13">
        <v>0.0</v>
      </c>
      <c r="CZ35" s="13">
        <v>0.0</v>
      </c>
      <c r="DA35" s="13">
        <v>0.0</v>
      </c>
      <c r="DB35" s="13">
        <v>0.0</v>
      </c>
      <c r="DC35" s="13">
        <v>0.0</v>
      </c>
      <c r="DD35" s="13">
        <v>0.0</v>
      </c>
      <c r="DE35" s="13">
        <v>0.0</v>
      </c>
      <c r="DF35" s="13">
        <v>0.05</v>
      </c>
      <c r="DG35" s="13">
        <v>0.0</v>
      </c>
      <c r="DH35" s="13">
        <v>0.0</v>
      </c>
      <c r="DI35" s="13">
        <v>0.0</v>
      </c>
      <c r="DJ35" s="13">
        <v>0.0</v>
      </c>
      <c r="DK35" s="13">
        <v>0.0</v>
      </c>
      <c r="DL35" s="13">
        <v>0.0</v>
      </c>
      <c r="DM35" s="13">
        <v>0.0</v>
      </c>
      <c r="DN35" s="13">
        <v>0.0</v>
      </c>
      <c r="DO35" s="13">
        <v>0.0</v>
      </c>
      <c r="DP35" s="13">
        <v>0.0</v>
      </c>
      <c r="DQ35" s="13">
        <v>0.0</v>
      </c>
      <c r="DR35" s="13">
        <v>0.0</v>
      </c>
      <c r="DS35" s="13">
        <v>0.0</v>
      </c>
      <c r="DT35" s="13"/>
      <c r="DU35" s="13">
        <v>0.0</v>
      </c>
      <c r="DV35" s="13">
        <v>0.0</v>
      </c>
      <c r="DW35" s="13">
        <v>0.0</v>
      </c>
      <c r="DX35" s="13"/>
      <c r="DY35" s="13">
        <v>0.0</v>
      </c>
      <c r="DZ35" s="13">
        <v>0.0</v>
      </c>
      <c r="EA35" s="13">
        <v>0.0</v>
      </c>
      <c r="EB35" s="13">
        <v>0.0</v>
      </c>
      <c r="EC35" s="13">
        <v>0.0</v>
      </c>
      <c r="ED35" s="13">
        <v>0.0</v>
      </c>
      <c r="EE35" s="13">
        <v>0.0</v>
      </c>
      <c r="EF35" s="13">
        <v>0.0</v>
      </c>
      <c r="EG35" s="13">
        <v>0.0</v>
      </c>
      <c r="EH35" s="13">
        <v>0.0</v>
      </c>
      <c r="EI35" s="13">
        <v>0.0</v>
      </c>
      <c r="EJ35" s="13">
        <v>0.0</v>
      </c>
    </row>
    <row r="36" ht="15.75" customHeight="1">
      <c r="A36" s="9" t="s">
        <v>194</v>
      </c>
      <c r="B36" s="13"/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/>
      <c r="I36" s="16">
        <f>iferror(vlookup(A36,'Inst Lending numbers'!A:D,4,false)," ")</f>
        <v>0.0904</v>
      </c>
      <c r="J36" s="13"/>
      <c r="K36" s="13"/>
      <c r="L36" s="13"/>
      <c r="M36" s="13"/>
      <c r="N36" s="13">
        <v>0.0</v>
      </c>
      <c r="O36" s="13">
        <f t="shared" si="7"/>
        <v>0.03932233526</v>
      </c>
      <c r="P36" s="13">
        <f t="shared" si="2"/>
        <v>0</v>
      </c>
      <c r="Q36" s="13"/>
      <c r="R36" s="13"/>
      <c r="S36" s="13"/>
      <c r="T36" s="13"/>
      <c r="U36" s="13"/>
      <c r="V36" s="13"/>
      <c r="W36" s="13"/>
      <c r="X36" s="13"/>
      <c r="Y36" s="13">
        <f t="shared" si="3"/>
        <v>0</v>
      </c>
      <c r="Z36" s="13"/>
      <c r="AA36" s="13">
        <v>0.0</v>
      </c>
      <c r="AB36" s="13">
        <f t="shared" si="8"/>
        <v>0.1957867833</v>
      </c>
      <c r="AC36" s="13"/>
      <c r="AD36" s="13"/>
      <c r="AE36" s="13">
        <f>iferror(sumif('Weekly Rates'!D:D,A36,'Weekly Rates'!F:F)/countif('Weekly Rates'!D:D,A36),0)</f>
        <v>0</v>
      </c>
      <c r="AF36" s="13"/>
      <c r="AG36" s="13"/>
      <c r="AH36" s="13"/>
      <c r="AI36" s="13"/>
      <c r="AJ36" s="13"/>
      <c r="AK36" s="13"/>
      <c r="AL36" s="13"/>
      <c r="AM36" s="13"/>
      <c r="AN36" s="13">
        <v>0.1</v>
      </c>
      <c r="AO36" s="13"/>
      <c r="AP36" s="13">
        <v>0.12</v>
      </c>
      <c r="AQ36" s="13">
        <v>0.14</v>
      </c>
      <c r="AR36" s="13"/>
      <c r="AS36" s="13" t="str">
        <f>iferror(VLOOKUP($A36,EAM!A$2:E$14,2,FALSE))</f>
        <v/>
      </c>
      <c r="AT36" s="13"/>
      <c r="AU36" s="13">
        <f>sumif('Weekly Rates'!A:A,A36,'Weekly Rates'!B:B)</f>
        <v>0</v>
      </c>
      <c r="AV36" s="13">
        <v>0.0</v>
      </c>
      <c r="AW36" s="13">
        <v>0.0</v>
      </c>
      <c r="AX36" s="13">
        <v>0.0</v>
      </c>
      <c r="AY36" s="13">
        <v>0.0</v>
      </c>
      <c r="AZ36" s="13">
        <v>0.0</v>
      </c>
      <c r="BA36" s="13">
        <v>0.0</v>
      </c>
      <c r="BB36" s="13">
        <v>0.0</v>
      </c>
      <c r="BC36" s="13">
        <v>0.0</v>
      </c>
      <c r="BD36" s="13">
        <v>0.0</v>
      </c>
      <c r="BE36" s="13">
        <v>0.0</v>
      </c>
      <c r="BF36" s="13">
        <v>0.0</v>
      </c>
      <c r="BG36" s="13">
        <v>0.0</v>
      </c>
      <c r="BH36" s="13">
        <v>0.0</v>
      </c>
      <c r="BI36" s="13">
        <v>0.0</v>
      </c>
      <c r="BJ36" s="13">
        <v>0.0</v>
      </c>
      <c r="BK36" s="13">
        <v>0.0</v>
      </c>
      <c r="BL36" s="13">
        <v>0.0</v>
      </c>
      <c r="BM36" s="13">
        <v>0.0</v>
      </c>
      <c r="BN36" s="13">
        <v>0.0</v>
      </c>
      <c r="BO36" s="13">
        <v>0.0</v>
      </c>
      <c r="BP36" s="13">
        <v>0.0</v>
      </c>
      <c r="BQ36" s="13">
        <v>0.0</v>
      </c>
      <c r="BR36" s="13">
        <v>0.0</v>
      </c>
      <c r="BS36" s="13">
        <v>0.0</v>
      </c>
      <c r="BT36" s="13">
        <v>0.0</v>
      </c>
      <c r="BU36" s="13">
        <v>0.0</v>
      </c>
      <c r="BV36" s="13">
        <v>0.0</v>
      </c>
      <c r="BW36" s="13">
        <v>0.0</v>
      </c>
      <c r="BX36" s="13">
        <v>0.0</v>
      </c>
      <c r="BY36" s="13">
        <v>0.0</v>
      </c>
      <c r="BZ36" s="13">
        <v>0.0</v>
      </c>
      <c r="CA36" s="13">
        <v>0.0</v>
      </c>
      <c r="CB36" s="13">
        <v>0.0</v>
      </c>
      <c r="CC36" s="13">
        <v>0.0</v>
      </c>
      <c r="CD36" s="13">
        <v>0.0</v>
      </c>
      <c r="CE36" s="13">
        <v>0.0</v>
      </c>
      <c r="CF36" s="13">
        <v>0.0</v>
      </c>
      <c r="CG36" s="13">
        <v>0.0</v>
      </c>
      <c r="CH36" s="13">
        <v>0.0</v>
      </c>
      <c r="CI36" s="13">
        <v>0.0</v>
      </c>
      <c r="CJ36" s="13">
        <v>0.0</v>
      </c>
      <c r="CK36" s="13">
        <v>0.0</v>
      </c>
      <c r="CL36" s="13">
        <v>0.0</v>
      </c>
      <c r="CM36" s="13">
        <v>0.0</v>
      </c>
      <c r="CN36" s="13">
        <v>0.0</v>
      </c>
      <c r="CO36" s="13">
        <v>0.0</v>
      </c>
      <c r="CP36" s="13">
        <v>0.0</v>
      </c>
      <c r="CQ36" s="13">
        <v>0.0</v>
      </c>
      <c r="CR36" s="13">
        <v>0.0</v>
      </c>
      <c r="CS36" s="13">
        <v>0.0</v>
      </c>
      <c r="CT36" s="13">
        <v>0.0</v>
      </c>
      <c r="CU36" s="13">
        <v>0.0</v>
      </c>
      <c r="CV36" s="13">
        <v>0.0</v>
      </c>
      <c r="CW36" s="13">
        <v>0.0</v>
      </c>
      <c r="CX36" s="13">
        <v>0.0</v>
      </c>
      <c r="CY36" s="13">
        <v>0.0</v>
      </c>
      <c r="CZ36" s="13">
        <v>0.0</v>
      </c>
      <c r="DA36" s="13">
        <v>0.0</v>
      </c>
      <c r="DB36" s="13">
        <v>0.0</v>
      </c>
      <c r="DC36" s="13">
        <v>0.0</v>
      </c>
      <c r="DD36" s="13">
        <v>0.0</v>
      </c>
      <c r="DE36" s="13">
        <v>0.0</v>
      </c>
      <c r="DF36" s="13">
        <v>0.0</v>
      </c>
      <c r="DG36" s="13">
        <v>0.0</v>
      </c>
      <c r="DH36" s="13">
        <v>0.0</v>
      </c>
      <c r="DI36" s="13">
        <v>0.0</v>
      </c>
      <c r="DJ36" s="13">
        <v>0.0</v>
      </c>
      <c r="DK36" s="13">
        <v>0.0</v>
      </c>
      <c r="DL36" s="13">
        <v>0.0</v>
      </c>
      <c r="DM36" s="13">
        <v>0.0</v>
      </c>
      <c r="DN36" s="13">
        <v>0.0</v>
      </c>
      <c r="DO36" s="13">
        <v>0.0</v>
      </c>
      <c r="DP36" s="13">
        <v>0.0</v>
      </c>
      <c r="DQ36" s="13">
        <v>0.0</v>
      </c>
      <c r="DR36" s="13">
        <v>0.0</v>
      </c>
      <c r="DS36" s="13">
        <v>0.0</v>
      </c>
      <c r="DT36" s="13"/>
      <c r="DU36" s="13">
        <v>0.0</v>
      </c>
      <c r="DV36" s="13">
        <v>0.0</v>
      </c>
      <c r="DW36" s="13">
        <v>0.0</v>
      </c>
      <c r="DX36" s="13"/>
      <c r="DY36" s="13">
        <v>0.0</v>
      </c>
      <c r="DZ36" s="13">
        <v>0.0</v>
      </c>
      <c r="EA36" s="13">
        <v>0.0</v>
      </c>
      <c r="EB36" s="13">
        <v>0.0</v>
      </c>
      <c r="EC36" s="13">
        <v>0.0</v>
      </c>
      <c r="ED36" s="13">
        <v>0.0</v>
      </c>
      <c r="EE36" s="13">
        <v>0.0</v>
      </c>
      <c r="EF36" s="13">
        <v>0.0</v>
      </c>
      <c r="EG36" s="13">
        <v>0.0</v>
      </c>
      <c r="EH36" s="13">
        <v>0.0</v>
      </c>
      <c r="EI36" s="13">
        <v>0.0</v>
      </c>
      <c r="EJ36" s="13">
        <v>0.0</v>
      </c>
    </row>
    <row r="37" ht="15.75" customHeight="1">
      <c r="A37" s="7" t="s">
        <v>195</v>
      </c>
      <c r="B37" s="13">
        <v>0.0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3">
        <v>0.0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3">
        <f t="shared" si="2"/>
        <v>0</v>
      </c>
      <c r="Q37" s="13">
        <v>0.0</v>
      </c>
      <c r="R37" s="13">
        <v>0.0</v>
      </c>
      <c r="S37" s="13">
        <v>0.0</v>
      </c>
      <c r="T37" s="13">
        <v>0.0</v>
      </c>
      <c r="U37" s="13">
        <v>0.0</v>
      </c>
      <c r="V37" s="13">
        <v>0.0</v>
      </c>
      <c r="W37" s="13">
        <v>0.0</v>
      </c>
      <c r="X37" s="13">
        <v>0.0</v>
      </c>
      <c r="Y37" s="13">
        <f t="shared" si="3"/>
        <v>0</v>
      </c>
      <c r="Z37" s="13">
        <v>0.0</v>
      </c>
      <c r="AA37" s="13">
        <v>0.0</v>
      </c>
      <c r="AB37" s="13">
        <v>0.0</v>
      </c>
      <c r="AC37" s="13">
        <v>0.0</v>
      </c>
      <c r="AD37" s="13">
        <v>0.0</v>
      </c>
      <c r="AE37" s="13">
        <v>0.0</v>
      </c>
      <c r="AF37" s="13">
        <v>0.0</v>
      </c>
      <c r="AG37" s="13">
        <v>0.0</v>
      </c>
      <c r="AH37" s="13">
        <v>0.0</v>
      </c>
      <c r="AI37" s="13">
        <v>0.0</v>
      </c>
      <c r="AJ37" s="13">
        <v>0.0</v>
      </c>
      <c r="AK37" s="13">
        <v>0.0</v>
      </c>
      <c r="AL37" s="13">
        <v>0.0</v>
      </c>
      <c r="AM37" s="13">
        <v>0.0</v>
      </c>
      <c r="AN37" s="13">
        <v>0.0</v>
      </c>
      <c r="AO37" s="13">
        <v>0.0</v>
      </c>
      <c r="AP37" s="13">
        <v>0.0</v>
      </c>
      <c r="AQ37" s="13">
        <v>0.0</v>
      </c>
      <c r="AR37" s="13">
        <v>0.0</v>
      </c>
      <c r="AS37" s="13" t="str">
        <f>iferror(VLOOKUP($A37,EAM!A$2:E$14,2,FALSE))</f>
        <v/>
      </c>
      <c r="AT37" s="13">
        <v>0.0</v>
      </c>
      <c r="AU37" s="13">
        <v>0.0</v>
      </c>
      <c r="AV37" s="13">
        <v>0.0</v>
      </c>
      <c r="AW37" s="13">
        <v>0.0</v>
      </c>
      <c r="AX37" s="13">
        <v>0.0</v>
      </c>
      <c r="AY37" s="13">
        <v>0.0</v>
      </c>
      <c r="AZ37" s="13">
        <v>0.0</v>
      </c>
      <c r="BA37" s="13">
        <v>0.0</v>
      </c>
      <c r="BB37" s="13">
        <v>0.0</v>
      </c>
      <c r="BC37" s="13">
        <v>0.0</v>
      </c>
      <c r="BD37" s="13">
        <v>0.0</v>
      </c>
      <c r="BE37" s="13">
        <v>0.0</v>
      </c>
      <c r="BF37" s="13">
        <v>0.0</v>
      </c>
      <c r="BG37" s="13">
        <v>0.0</v>
      </c>
      <c r="BH37" s="13">
        <v>0.0</v>
      </c>
      <c r="BI37" s="13">
        <v>0.0</v>
      </c>
      <c r="BJ37" s="13">
        <v>0.0</v>
      </c>
      <c r="BK37" s="13">
        <v>0.0</v>
      </c>
      <c r="BL37" s="13">
        <v>0.0</v>
      </c>
      <c r="BM37" s="13">
        <v>0.0</v>
      </c>
      <c r="BN37" s="13">
        <v>0.0</v>
      </c>
      <c r="BO37" s="13">
        <v>0.0</v>
      </c>
      <c r="BP37" s="13">
        <v>0.0</v>
      </c>
      <c r="BQ37" s="13">
        <v>0.0</v>
      </c>
      <c r="BR37" s="13">
        <v>0.0</v>
      </c>
      <c r="BS37" s="13">
        <v>0.0</v>
      </c>
      <c r="BT37" s="13">
        <v>0.0</v>
      </c>
      <c r="BU37" s="13">
        <v>0.0</v>
      </c>
      <c r="BV37" s="13">
        <v>0.0</v>
      </c>
      <c r="BW37" s="13">
        <v>0.0</v>
      </c>
      <c r="BX37" s="13">
        <v>0.0</v>
      </c>
      <c r="BY37" s="13">
        <v>0.0</v>
      </c>
      <c r="BZ37" s="13">
        <v>0.0</v>
      </c>
      <c r="CA37" s="13">
        <v>0.0</v>
      </c>
      <c r="CB37" s="13">
        <v>0.0</v>
      </c>
      <c r="CC37" s="13">
        <v>0.0</v>
      </c>
      <c r="CD37" s="13">
        <v>0.0</v>
      </c>
      <c r="CE37" s="13">
        <v>0.0</v>
      </c>
      <c r="CF37" s="13">
        <v>0.0</v>
      </c>
      <c r="CG37" s="13">
        <v>0.0</v>
      </c>
      <c r="CH37" s="13">
        <v>0.0</v>
      </c>
      <c r="CI37" s="13">
        <v>0.0</v>
      </c>
      <c r="CJ37" s="13">
        <v>0.0</v>
      </c>
      <c r="CK37" s="13">
        <v>0.0</v>
      </c>
      <c r="CL37" s="13">
        <v>0.0</v>
      </c>
      <c r="CM37" s="13">
        <v>0.0</v>
      </c>
      <c r="CN37" s="13">
        <v>0.0</v>
      </c>
      <c r="CO37" s="13">
        <v>0.0</v>
      </c>
      <c r="CP37" s="13">
        <v>0.0</v>
      </c>
      <c r="CQ37" s="13">
        <v>0.0</v>
      </c>
      <c r="CR37" s="13">
        <v>0.0</v>
      </c>
      <c r="CS37" s="13">
        <v>0.0</v>
      </c>
      <c r="CT37" s="13">
        <v>0.0</v>
      </c>
      <c r="CU37" s="13">
        <v>0.0</v>
      </c>
      <c r="CV37" s="13">
        <v>0.0</v>
      </c>
      <c r="CW37" s="13">
        <v>0.0</v>
      </c>
      <c r="CX37" s="13">
        <v>0.0</v>
      </c>
      <c r="CY37" s="13">
        <v>0.0</v>
      </c>
      <c r="CZ37" s="13">
        <v>0.0</v>
      </c>
      <c r="DA37" s="13">
        <v>0.0</v>
      </c>
      <c r="DB37" s="13">
        <v>0.0</v>
      </c>
      <c r="DC37" s="13">
        <v>0.0</v>
      </c>
      <c r="DD37" s="13">
        <v>0.0</v>
      </c>
      <c r="DE37" s="13">
        <v>0.0</v>
      </c>
      <c r="DF37" s="13">
        <v>0.0</v>
      </c>
      <c r="DG37" s="13">
        <v>0.0</v>
      </c>
      <c r="DH37" s="13">
        <v>0.0</v>
      </c>
      <c r="DI37" s="13">
        <v>0.0</v>
      </c>
      <c r="DJ37" s="13">
        <v>0.0</v>
      </c>
      <c r="DK37" s="13">
        <v>0.0</v>
      </c>
      <c r="DL37" s="13">
        <v>0.0</v>
      </c>
      <c r="DM37" s="13">
        <v>0.0</v>
      </c>
      <c r="DN37" s="13">
        <v>0.0</v>
      </c>
      <c r="DO37" s="13">
        <v>0.0</v>
      </c>
      <c r="DP37" s="13">
        <v>0.0</v>
      </c>
      <c r="DQ37" s="13">
        <v>0.0</v>
      </c>
      <c r="DR37" s="13">
        <v>0.0</v>
      </c>
      <c r="DS37" s="13">
        <v>0.0</v>
      </c>
      <c r="DT37" s="13">
        <v>0.0</v>
      </c>
      <c r="DU37" s="13">
        <v>0.0</v>
      </c>
      <c r="DV37" s="13">
        <v>0.0</v>
      </c>
      <c r="DW37" s="13">
        <v>0.0</v>
      </c>
      <c r="DX37" s="13">
        <v>0.0</v>
      </c>
      <c r="DY37" s="13">
        <v>0.0</v>
      </c>
      <c r="DZ37" s="13">
        <v>0.0</v>
      </c>
      <c r="EA37" s="13">
        <v>0.0</v>
      </c>
      <c r="EB37" s="13">
        <v>0.0</v>
      </c>
      <c r="EC37" s="13">
        <v>0.0</v>
      </c>
      <c r="ED37" s="13">
        <v>0.0</v>
      </c>
      <c r="EE37" s="13">
        <v>0.0</v>
      </c>
      <c r="EF37" s="13">
        <v>0.0</v>
      </c>
      <c r="EG37" s="13">
        <v>0.0</v>
      </c>
      <c r="EH37" s="13">
        <v>0.0</v>
      </c>
      <c r="EI37" s="13">
        <v>0.0</v>
      </c>
      <c r="EJ37" s="13">
        <v>0.0</v>
      </c>
    </row>
    <row r="38" ht="15.75" customHeight="1">
      <c r="A38" s="9" t="s">
        <v>196</v>
      </c>
      <c r="B38" s="13"/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/>
      <c r="I38" s="16">
        <f>iferror(vlookup(A38,'Inst Lending numbers'!A:D,4,false)," ")</f>
        <v>0.0664</v>
      </c>
      <c r="J38" s="13"/>
      <c r="K38" s="13"/>
      <c r="L38" s="13"/>
      <c r="M38" s="13"/>
      <c r="N38" s="13"/>
      <c r="O38" s="13">
        <f t="shared" ref="O38:O42" si="9">$O$4</f>
        <v>0.03932233526</v>
      </c>
      <c r="P38" s="13">
        <f t="shared" si="2"/>
        <v>0</v>
      </c>
      <c r="Q38" s="13"/>
      <c r="R38" s="13"/>
      <c r="S38" s="13"/>
      <c r="T38" s="13"/>
      <c r="U38" s="13"/>
      <c r="V38" s="13"/>
      <c r="W38" s="13"/>
      <c r="X38" s="13"/>
      <c r="Y38" s="13">
        <f t="shared" si="3"/>
        <v>0</v>
      </c>
      <c r="Z38" s="13"/>
      <c r="AA38" s="13">
        <v>0.0</v>
      </c>
      <c r="AB38" s="13">
        <f t="shared" ref="AB38:AB63" si="10">$AB$4</f>
        <v>0.1957867833</v>
      </c>
      <c r="AC38" s="13"/>
      <c r="AD38" s="13"/>
      <c r="AE38" s="13">
        <f>iferror(sumif('Weekly Rates'!D:D,A38,'Weekly Rates'!F:F)/countif('Weekly Rates'!D:D,A38),0)</f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 t="str">
        <f>iferror(VLOOKUP($A38,EAM!A$2:E$14,2,FALSE))</f>
        <v/>
      </c>
      <c r="AT38" s="13"/>
      <c r="AU38" s="13">
        <f>sumif('Weekly Rates'!A:A,A38,'Weekly Rates'!B:B)</f>
        <v>0.0628</v>
      </c>
      <c r="AV38" s="13">
        <v>0.0</v>
      </c>
      <c r="AW38" s="13">
        <v>0.0</v>
      </c>
      <c r="AX38" s="13">
        <v>0.0</v>
      </c>
      <c r="AY38" s="13">
        <v>0.0</v>
      </c>
      <c r="AZ38" s="13">
        <v>0.0</v>
      </c>
      <c r="BA38" s="13">
        <v>0.0</v>
      </c>
      <c r="BB38" s="13">
        <v>0.0</v>
      </c>
      <c r="BC38" s="13">
        <v>0.0</v>
      </c>
      <c r="BD38" s="13">
        <v>0.0</v>
      </c>
      <c r="BE38" s="13">
        <v>0.0</v>
      </c>
      <c r="BF38" s="13">
        <v>0.0</v>
      </c>
      <c r="BG38" s="13">
        <v>0.0</v>
      </c>
      <c r="BH38" s="13">
        <v>0.0</v>
      </c>
      <c r="BI38" s="13">
        <v>0.0</v>
      </c>
      <c r="BJ38" s="13">
        <v>0.0</v>
      </c>
      <c r="BK38" s="13">
        <v>0.0</v>
      </c>
      <c r="BL38" s="13">
        <v>0.0</v>
      </c>
      <c r="BM38" s="13">
        <v>0.0</v>
      </c>
      <c r="BN38" s="13">
        <v>0.0</v>
      </c>
      <c r="BO38" s="13">
        <v>0.0</v>
      </c>
      <c r="BP38" s="13">
        <v>0.0</v>
      </c>
      <c r="BQ38" s="13">
        <v>0.0</v>
      </c>
      <c r="BR38" s="13">
        <v>0.0</v>
      </c>
      <c r="BS38" s="13">
        <v>0.0</v>
      </c>
      <c r="BT38" s="13">
        <v>0.0</v>
      </c>
      <c r="BU38" s="13">
        <v>0.0</v>
      </c>
      <c r="BV38" s="13">
        <v>0.0</v>
      </c>
      <c r="BW38" s="13">
        <v>0.0</v>
      </c>
      <c r="BX38" s="13">
        <v>0.0</v>
      </c>
      <c r="BY38" s="13">
        <v>0.0</v>
      </c>
      <c r="BZ38" s="13">
        <v>0.0</v>
      </c>
      <c r="CA38" s="13">
        <v>0.0</v>
      </c>
      <c r="CB38" s="13">
        <v>0.0</v>
      </c>
      <c r="CC38" s="13">
        <v>0.0</v>
      </c>
      <c r="CD38" s="13">
        <v>0.0</v>
      </c>
      <c r="CE38" s="13">
        <v>0.0</v>
      </c>
      <c r="CF38" s="13">
        <v>0.0</v>
      </c>
      <c r="CG38" s="13">
        <v>0.0</v>
      </c>
      <c r="CH38" s="13">
        <v>0.0</v>
      </c>
      <c r="CI38" s="13">
        <v>0.0</v>
      </c>
      <c r="CJ38" s="13">
        <v>0.0</v>
      </c>
      <c r="CK38" s="13">
        <v>0.0</v>
      </c>
      <c r="CL38" s="13">
        <v>0.0</v>
      </c>
      <c r="CM38" s="13">
        <v>0.0</v>
      </c>
      <c r="CN38" s="13">
        <v>0.0</v>
      </c>
      <c r="CO38" s="13">
        <v>0.0</v>
      </c>
      <c r="CP38" s="13">
        <v>0.0</v>
      </c>
      <c r="CQ38" s="13">
        <v>0.0</v>
      </c>
      <c r="CR38" s="13">
        <v>0.0</v>
      </c>
      <c r="CS38" s="13">
        <v>0.0</v>
      </c>
      <c r="CT38" s="13">
        <v>0.0</v>
      </c>
      <c r="CU38" s="13">
        <v>0.0</v>
      </c>
      <c r="CV38" s="13">
        <v>0.0</v>
      </c>
      <c r="CW38" s="13">
        <v>0.0</v>
      </c>
      <c r="CX38" s="13">
        <v>0.0</v>
      </c>
      <c r="CY38" s="13">
        <v>0.0</v>
      </c>
      <c r="CZ38" s="13">
        <v>0.0</v>
      </c>
      <c r="DA38" s="13">
        <v>0.0</v>
      </c>
      <c r="DB38" s="13">
        <v>0.0</v>
      </c>
      <c r="DC38" s="13">
        <v>0.0</v>
      </c>
      <c r="DD38" s="13">
        <v>0.0</v>
      </c>
      <c r="DE38" s="13">
        <v>0.0</v>
      </c>
      <c r="DF38" s="13">
        <v>0.0</v>
      </c>
      <c r="DG38" s="13">
        <v>0.0</v>
      </c>
      <c r="DH38" s="13">
        <v>0.0</v>
      </c>
      <c r="DI38" s="13">
        <v>0.0</v>
      </c>
      <c r="DJ38" s="13">
        <v>0.0</v>
      </c>
      <c r="DK38" s="13">
        <v>0.0</v>
      </c>
      <c r="DL38" s="13">
        <v>0.0</v>
      </c>
      <c r="DM38" s="13">
        <v>0.0</v>
      </c>
      <c r="DN38" s="13">
        <v>0.0</v>
      </c>
      <c r="DO38" s="13">
        <v>0.0</v>
      </c>
      <c r="DP38" s="13">
        <v>0.0</v>
      </c>
      <c r="DQ38" s="13">
        <v>0.0</v>
      </c>
      <c r="DR38" s="13">
        <v>0.0</v>
      </c>
      <c r="DS38" s="13">
        <v>0.0</v>
      </c>
      <c r="DT38" s="13"/>
      <c r="DU38" s="13">
        <v>0.0</v>
      </c>
      <c r="DV38" s="13">
        <v>0.0</v>
      </c>
      <c r="DW38" s="13">
        <v>0.0</v>
      </c>
      <c r="DX38" s="13"/>
      <c r="DY38" s="13">
        <v>0.0</v>
      </c>
      <c r="DZ38" s="13">
        <v>0.0</v>
      </c>
      <c r="EA38" s="13">
        <v>0.0</v>
      </c>
      <c r="EB38" s="13">
        <v>0.0</v>
      </c>
      <c r="EC38" s="13">
        <v>0.0</v>
      </c>
      <c r="ED38" s="13">
        <v>0.0</v>
      </c>
      <c r="EE38" s="13">
        <v>0.0</v>
      </c>
      <c r="EF38" s="13">
        <v>0.0</v>
      </c>
      <c r="EG38" s="13">
        <v>0.0</v>
      </c>
      <c r="EH38" s="13">
        <v>0.0</v>
      </c>
      <c r="EI38" s="13">
        <v>0.0</v>
      </c>
      <c r="EJ38" s="13">
        <v>0.0</v>
      </c>
    </row>
    <row r="39" ht="15.75" customHeight="1">
      <c r="A39" s="9" t="s">
        <v>197</v>
      </c>
      <c r="B39" s="13"/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/>
      <c r="I39" s="16">
        <f>iferror(vlookup(A39,'Inst Lending numbers'!A:D,4,false)," ")</f>
        <v>0.05</v>
      </c>
      <c r="J39" s="13"/>
      <c r="K39" s="13"/>
      <c r="L39" s="13"/>
      <c r="M39" s="13">
        <v>0.0</v>
      </c>
      <c r="N39" s="13"/>
      <c r="O39" s="13">
        <f t="shared" si="9"/>
        <v>0.03932233526</v>
      </c>
      <c r="P39" s="13">
        <f t="shared" si="2"/>
        <v>0</v>
      </c>
      <c r="Q39" s="13"/>
      <c r="R39" s="13"/>
      <c r="S39" s="13"/>
      <c r="T39" s="13"/>
      <c r="U39" s="13"/>
      <c r="V39" s="13"/>
      <c r="W39" s="13"/>
      <c r="X39" s="13"/>
      <c r="Y39" s="13">
        <f t="shared" si="3"/>
        <v>0</v>
      </c>
      <c r="Z39" s="13"/>
      <c r="AA39" s="13">
        <v>0.0</v>
      </c>
      <c r="AB39" s="13">
        <f t="shared" si="10"/>
        <v>0.1957867833</v>
      </c>
      <c r="AC39" s="13"/>
      <c r="AD39" s="13"/>
      <c r="AE39" s="13">
        <f>iferror(sumif('Weekly Rates'!D:D,A39,'Weekly Rates'!F:F)/countif('Weekly Rates'!D:D,A39),0)</f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 t="str">
        <f>iferror(VLOOKUP($A39,EAM!A$2:E$14,2,FALSE))</f>
        <v/>
      </c>
      <c r="AT39" s="13"/>
      <c r="AU39" s="13">
        <f>sumif('Weekly Rates'!A:A,A39,'Weekly Rates'!B:B)</f>
        <v>0</v>
      </c>
      <c r="AV39" s="13">
        <v>0.0</v>
      </c>
      <c r="AW39" s="13">
        <v>0.0</v>
      </c>
      <c r="AX39" s="13">
        <v>0.0</v>
      </c>
      <c r="AY39" s="13">
        <v>0.0</v>
      </c>
      <c r="AZ39" s="13">
        <v>0.0</v>
      </c>
      <c r="BA39" s="13">
        <v>0.0</v>
      </c>
      <c r="BB39" s="13">
        <v>0.0</v>
      </c>
      <c r="BC39" s="13">
        <v>0.0</v>
      </c>
      <c r="BD39" s="13">
        <v>0.0</v>
      </c>
      <c r="BE39" s="13">
        <v>0.0</v>
      </c>
      <c r="BF39" s="13">
        <v>0.0</v>
      </c>
      <c r="BG39" s="13">
        <v>0.0</v>
      </c>
      <c r="BH39" s="13">
        <v>0.0</v>
      </c>
      <c r="BI39" s="13">
        <v>0.0</v>
      </c>
      <c r="BJ39" s="13">
        <v>0.0</v>
      </c>
      <c r="BK39" s="13">
        <v>0.0</v>
      </c>
      <c r="BL39" s="13">
        <v>0.0</v>
      </c>
      <c r="BM39" s="13">
        <v>0.0</v>
      </c>
      <c r="BN39" s="13">
        <v>0.0</v>
      </c>
      <c r="BO39" s="13">
        <v>0.0</v>
      </c>
      <c r="BP39" s="13">
        <v>0.0</v>
      </c>
      <c r="BQ39" s="13">
        <v>0.0</v>
      </c>
      <c r="BR39" s="13">
        <v>0.0</v>
      </c>
      <c r="BS39" s="13">
        <v>0.0</v>
      </c>
      <c r="BT39" s="13">
        <v>0.0</v>
      </c>
      <c r="BU39" s="13">
        <v>0.0</v>
      </c>
      <c r="BV39" s="13">
        <v>0.0</v>
      </c>
      <c r="BW39" s="13">
        <v>0.0</v>
      </c>
      <c r="BX39" s="13">
        <v>0.0</v>
      </c>
      <c r="BY39" s="13">
        <v>0.0</v>
      </c>
      <c r="BZ39" s="13">
        <v>0.0</v>
      </c>
      <c r="CA39" s="13">
        <v>0.0</v>
      </c>
      <c r="CB39" s="13">
        <v>0.0</v>
      </c>
      <c r="CC39" s="13">
        <v>0.0</v>
      </c>
      <c r="CD39" s="13">
        <v>0.0</v>
      </c>
      <c r="CE39" s="13">
        <v>0.0</v>
      </c>
      <c r="CF39" s="13">
        <v>0.0</v>
      </c>
      <c r="CG39" s="13">
        <v>0.0</v>
      </c>
      <c r="CH39" s="13">
        <v>0.0</v>
      </c>
      <c r="CI39" s="13">
        <v>0.0</v>
      </c>
      <c r="CJ39" s="13">
        <v>0.0</v>
      </c>
      <c r="CK39" s="13">
        <v>0.0</v>
      </c>
      <c r="CL39" s="13">
        <v>0.0</v>
      </c>
      <c r="CM39" s="13">
        <v>0.0</v>
      </c>
      <c r="CN39" s="13">
        <v>0.0</v>
      </c>
      <c r="CO39" s="13">
        <v>0.0</v>
      </c>
      <c r="CP39" s="13">
        <v>0.0</v>
      </c>
      <c r="CQ39" s="13">
        <v>0.0</v>
      </c>
      <c r="CR39" s="13">
        <v>0.0</v>
      </c>
      <c r="CS39" s="13">
        <v>0.0</v>
      </c>
      <c r="CT39" s="13">
        <v>0.0</v>
      </c>
      <c r="CU39" s="13">
        <v>0.0</v>
      </c>
      <c r="CV39" s="13">
        <v>0.0</v>
      </c>
      <c r="CW39" s="13">
        <v>0.0</v>
      </c>
      <c r="CX39" s="13">
        <v>0.0</v>
      </c>
      <c r="CY39" s="13">
        <v>0.0</v>
      </c>
      <c r="CZ39" s="13">
        <v>0.0</v>
      </c>
      <c r="DA39" s="13">
        <v>0.0</v>
      </c>
      <c r="DB39" s="13">
        <v>0.0</v>
      </c>
      <c r="DC39" s="13">
        <v>0.0</v>
      </c>
      <c r="DD39" s="13">
        <v>0.0</v>
      </c>
      <c r="DE39" s="13">
        <v>0.0</v>
      </c>
      <c r="DF39" s="13">
        <v>0.0</v>
      </c>
      <c r="DG39" s="13">
        <v>0.0</v>
      </c>
      <c r="DH39" s="13">
        <v>0.0</v>
      </c>
      <c r="DI39" s="13">
        <v>0.0</v>
      </c>
      <c r="DJ39" s="13">
        <v>0.0</v>
      </c>
      <c r="DK39" s="13">
        <v>0.0</v>
      </c>
      <c r="DL39" s="13">
        <v>0.0</v>
      </c>
      <c r="DM39" s="13">
        <v>0.0</v>
      </c>
      <c r="DN39" s="13">
        <v>0.0</v>
      </c>
      <c r="DO39" s="13">
        <v>0.0</v>
      </c>
      <c r="DP39" s="13">
        <v>0.0</v>
      </c>
      <c r="DQ39" s="13">
        <v>0.0</v>
      </c>
      <c r="DR39" s="13">
        <v>0.0</v>
      </c>
      <c r="DS39" s="13">
        <v>0.0</v>
      </c>
      <c r="DT39" s="13"/>
      <c r="DU39" s="13">
        <v>0.0</v>
      </c>
      <c r="DV39" s="13">
        <v>0.0</v>
      </c>
      <c r="DW39" s="13">
        <v>0.0</v>
      </c>
      <c r="DX39" s="13"/>
      <c r="DY39" s="13">
        <v>0.0</v>
      </c>
      <c r="DZ39" s="13">
        <v>0.0</v>
      </c>
      <c r="EA39" s="13">
        <v>0.0</v>
      </c>
      <c r="EB39" s="13">
        <v>0.0</v>
      </c>
      <c r="EC39" s="13">
        <v>0.0</v>
      </c>
      <c r="ED39" s="13">
        <v>0.0</v>
      </c>
      <c r="EE39" s="13">
        <v>0.0</v>
      </c>
      <c r="EF39" s="13">
        <v>0.0</v>
      </c>
      <c r="EG39" s="13">
        <v>0.0</v>
      </c>
      <c r="EH39" s="13">
        <v>0.0</v>
      </c>
      <c r="EI39" s="13">
        <v>0.0</v>
      </c>
      <c r="EJ39" s="13">
        <v>0.0</v>
      </c>
    </row>
    <row r="40" ht="15.75" customHeight="1">
      <c r="A40" s="9" t="s">
        <v>198</v>
      </c>
      <c r="B40" s="13"/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6">
        <f>iferror(vlookup(A40,'Inst Lending numbers'!A:D,4,false)," ")</f>
        <v>0.0354</v>
      </c>
      <c r="J40" s="13">
        <v>0.0</v>
      </c>
      <c r="K40" s="13">
        <v>0.0</v>
      </c>
      <c r="L40" s="13"/>
      <c r="M40" s="13">
        <v>0.0</v>
      </c>
      <c r="N40" s="13">
        <v>0.0</v>
      </c>
      <c r="O40" s="13">
        <f t="shared" si="9"/>
        <v>0.03932233526</v>
      </c>
      <c r="P40" s="13">
        <f t="shared" si="2"/>
        <v>0</v>
      </c>
      <c r="Q40" s="13">
        <v>0.0</v>
      </c>
      <c r="R40" s="13">
        <v>0.0</v>
      </c>
      <c r="S40" s="13">
        <v>0.0</v>
      </c>
      <c r="T40" s="13">
        <v>0.0</v>
      </c>
      <c r="U40" s="13">
        <v>0.0</v>
      </c>
      <c r="V40" s="13">
        <v>0.0</v>
      </c>
      <c r="W40" s="13">
        <v>0.0</v>
      </c>
      <c r="X40" s="13">
        <v>0.0</v>
      </c>
      <c r="Y40" s="13">
        <f t="shared" si="3"/>
        <v>0</v>
      </c>
      <c r="Z40" s="13">
        <v>0.0</v>
      </c>
      <c r="AA40" s="13">
        <v>0.0</v>
      </c>
      <c r="AB40" s="13">
        <f t="shared" si="10"/>
        <v>0.1957867833</v>
      </c>
      <c r="AC40" s="13">
        <v>0.0</v>
      </c>
      <c r="AD40" s="13">
        <v>0.0</v>
      </c>
      <c r="AE40" s="13">
        <f>iferror(sumif('Weekly Rates'!D:D,A40,'Weekly Rates'!F:F)/countif('Weekly Rates'!D:D,A40),0)</f>
        <v>0.0139941</v>
      </c>
      <c r="AF40" s="13">
        <v>0.0</v>
      </c>
      <c r="AG40" s="13">
        <v>0.0</v>
      </c>
      <c r="AH40" s="13">
        <v>0.0</v>
      </c>
      <c r="AI40" s="13">
        <v>0.0</v>
      </c>
      <c r="AJ40" s="13">
        <v>0.0</v>
      </c>
      <c r="AK40" s="13">
        <v>0.0</v>
      </c>
      <c r="AL40" s="13">
        <v>0.0</v>
      </c>
      <c r="AM40" s="13">
        <v>0.0</v>
      </c>
      <c r="AN40" s="13">
        <v>0.04</v>
      </c>
      <c r="AO40" s="13">
        <v>0.0</v>
      </c>
      <c r="AP40" s="13">
        <v>0.0</v>
      </c>
      <c r="AQ40" s="13">
        <v>0.0</v>
      </c>
      <c r="AR40" s="13">
        <v>0.0</v>
      </c>
      <c r="AS40" s="13">
        <f>iferror(VLOOKUP($A40,EAM!A$2:E$14,2,FALSE))</f>
        <v>0.05492136038</v>
      </c>
      <c r="AT40" s="13">
        <v>0.0</v>
      </c>
      <c r="AU40" s="13">
        <f>sumif('Weekly Rates'!A:A,A40,'Weekly Rates'!B:B)</f>
        <v>0.1266</v>
      </c>
      <c r="AV40" s="13">
        <v>0.0</v>
      </c>
      <c r="AW40" s="13">
        <v>0.0</v>
      </c>
      <c r="AX40" s="13">
        <v>0.0</v>
      </c>
      <c r="AY40" s="13">
        <v>0.0</v>
      </c>
      <c r="AZ40" s="13">
        <v>0.0</v>
      </c>
      <c r="BA40" s="13">
        <v>0.0</v>
      </c>
      <c r="BB40" s="13">
        <v>0.0</v>
      </c>
      <c r="BC40" s="13">
        <v>0.003</v>
      </c>
      <c r="BD40" s="13">
        <v>0.0043</v>
      </c>
      <c r="BE40" s="13">
        <v>0.0</v>
      </c>
      <c r="BF40" s="13">
        <v>0.0</v>
      </c>
      <c r="BG40" s="13">
        <v>0.0</v>
      </c>
      <c r="BH40" s="13">
        <f t="array" ref="BH40">iferror(INDEX('Import from defimon'!$1:$100,MATCH(BH$1,'Import from defimon'!$A:$A,0),MATCH($A40,'Import from defimon'!$1:$1,0)))</f>
        <v>0.014</v>
      </c>
      <c r="BI40" s="13">
        <v>0.0426</v>
      </c>
      <c r="BJ40" s="13">
        <f t="array" ref="BJ40">iferror(INDEX('Import from defimon'!$1:$100,MATCH(BJ$1,'Import from defimon'!$A:$A,0),MATCH($A40,'Import from defimon'!$1:$1,0)))</f>
        <v>0.0487</v>
      </c>
      <c r="BK40" s="13">
        <v>0.0</v>
      </c>
      <c r="BL40" s="13">
        <v>0.0</v>
      </c>
      <c r="BM40" s="13">
        <v>0.0</v>
      </c>
      <c r="BN40" s="13">
        <v>0.0</v>
      </c>
      <c r="BO40" s="13">
        <v>0.04</v>
      </c>
      <c r="BP40" s="13">
        <v>0.0</v>
      </c>
      <c r="BQ40" s="13">
        <v>0.0</v>
      </c>
      <c r="BR40" s="13">
        <v>0.0</v>
      </c>
      <c r="BS40" s="13">
        <v>0.0</v>
      </c>
      <c r="BT40" s="13">
        <v>0.0</v>
      </c>
      <c r="BU40" s="13">
        <v>0.0</v>
      </c>
      <c r="BV40" s="13">
        <v>0.0</v>
      </c>
      <c r="BW40" s="13">
        <v>0.0</v>
      </c>
      <c r="BX40" s="13">
        <v>0.0</v>
      </c>
      <c r="BY40" s="13">
        <v>0.0</v>
      </c>
      <c r="BZ40" s="13">
        <v>0.0</v>
      </c>
      <c r="CA40" s="13">
        <v>0.0</v>
      </c>
      <c r="CB40" s="13">
        <v>0.0</v>
      </c>
      <c r="CC40" s="13">
        <v>0.0</v>
      </c>
      <c r="CD40" s="13">
        <v>0.0</v>
      </c>
      <c r="CE40" s="13">
        <v>0.0</v>
      </c>
      <c r="CF40" s="13">
        <v>0.0</v>
      </c>
      <c r="CG40" s="13">
        <v>0.0</v>
      </c>
      <c r="CH40" s="13">
        <v>0.0</v>
      </c>
      <c r="CI40" s="13">
        <f>IFERROR(__xludf.DUMMYFUNCTION("importrange(""https://docs.google.com/spreadsheets/d/1sEJbnmLMGxlqg2Slrotvc3YAgqP9DQwYm8VpUh_GslY/edit#gid=0"",""Sheet1!C14"")"),0.0202)</f>
        <v>0.0202</v>
      </c>
      <c r="CJ40" s="13">
        <v>0.0</v>
      </c>
      <c r="CK40" s="13">
        <v>0.15</v>
      </c>
      <c r="CL40" s="13">
        <v>0.0</v>
      </c>
      <c r="CM40" s="13">
        <f>IFERROR(__xludf.DUMMYFUNCTION("importrange(""https://docs.google.com/spreadsheets/d/1sEJbnmLMGxlqg2Slrotvc3YAgqP9DQwYm8VpUh_GslY/edit#gid=0"",""Sheet1!C23"")"),0.0095)</f>
        <v>0.0095</v>
      </c>
      <c r="CN40" s="13">
        <f>IFERROR(__xludf.DUMMYFUNCTION("importrange(""https://docs.google.com/spreadsheets/d/1sEJbnmLMGxlqg2Slrotvc3YAgqP9DQwYm8VpUh_GslY/edit#gid=0"",""Sheet1!C25"")"),0.0606)</f>
        <v>0.0606</v>
      </c>
      <c r="CO40" s="13">
        <f>IFERROR(__xludf.DUMMYFUNCTION("importrange(""https://docs.google.com/spreadsheets/d/1sEJbnmLMGxlqg2Slrotvc3YAgqP9DQwYm8VpUh_GslY/edit#gid=0"",""Sheet1!C41"")"),0.0)</f>
        <v>0</v>
      </c>
      <c r="CP40" s="13">
        <v>0.0</v>
      </c>
      <c r="CQ40" s="13">
        <v>0.0</v>
      </c>
      <c r="CR40" s="13">
        <v>0.0</v>
      </c>
      <c r="CS40" s="13">
        <v>0.0</v>
      </c>
      <c r="CT40" s="13">
        <v>0.0</v>
      </c>
      <c r="CU40" s="13">
        <v>0.0</v>
      </c>
      <c r="CV40" s="13">
        <v>0.0</v>
      </c>
      <c r="CW40" s="13">
        <v>0.0</v>
      </c>
      <c r="CX40" s="13">
        <v>0.0</v>
      </c>
      <c r="CY40" s="13">
        <f t="array" ref="CY40">iferror(INDEX('Import from defimon'!$1:$100,MATCH(CY$1,'Import from defimon'!$A:$A,0),MATCH($A40,'Import from defimon'!$1:$1,0)))</f>
        <v>0.0273</v>
      </c>
      <c r="CZ40" s="13">
        <f>IFERROR(__xludf.DUMMYFUNCTION("importrange(""https://docs.google.com/spreadsheets/d/1sEJbnmLMGxlqg2Slrotvc3YAgqP9DQwYm8VpUh_GslY/edit#gid=0"",""Sheet1!C32"")"),0.0105)</f>
        <v>0.0105</v>
      </c>
      <c r="DA40" s="13">
        <v>0.0</v>
      </c>
      <c r="DB40" s="13">
        <v>0.0</v>
      </c>
      <c r="DC40" s="13">
        <v>0.0</v>
      </c>
      <c r="DD40" s="13">
        <v>0.0</v>
      </c>
      <c r="DE40" s="13">
        <v>0.0</v>
      </c>
      <c r="DF40" s="13">
        <v>0.0</v>
      </c>
      <c r="DG40" s="13">
        <v>0.0</v>
      </c>
      <c r="DH40" s="13">
        <v>0.0</v>
      </c>
      <c r="DI40" s="13">
        <v>0.0</v>
      </c>
      <c r="DJ40" s="13">
        <v>0.0</v>
      </c>
      <c r="DK40" s="13">
        <v>0.0</v>
      </c>
      <c r="DL40" s="13">
        <v>0.0</v>
      </c>
      <c r="DM40" s="13">
        <v>0.0</v>
      </c>
      <c r="DN40" s="13">
        <v>0.0</v>
      </c>
      <c r="DO40" s="13">
        <v>0.0</v>
      </c>
      <c r="DP40" s="13">
        <v>0.0</v>
      </c>
      <c r="DQ40" s="13">
        <v>0.0</v>
      </c>
      <c r="DR40" s="13">
        <v>0.0</v>
      </c>
      <c r="DS40" s="13">
        <v>0.0</v>
      </c>
      <c r="DT40" s="13">
        <v>0.0</v>
      </c>
      <c r="DU40" s="13">
        <v>0.14</v>
      </c>
      <c r="DV40" s="13">
        <v>0.0</v>
      </c>
      <c r="DW40" s="13">
        <v>0.0</v>
      </c>
      <c r="DX40" s="13">
        <v>0.0</v>
      </c>
      <c r="DY40" s="17">
        <v>0.15</v>
      </c>
      <c r="DZ40" s="13">
        <v>0.0</v>
      </c>
      <c r="EA40" s="13">
        <v>0.0</v>
      </c>
      <c r="EB40" s="13">
        <v>0.0</v>
      </c>
      <c r="EC40" s="13">
        <v>0.0</v>
      </c>
      <c r="ED40" s="13">
        <v>0.0</v>
      </c>
      <c r="EE40" s="13">
        <v>0.0</v>
      </c>
      <c r="EF40" s="13">
        <v>0.0</v>
      </c>
      <c r="EG40" s="13">
        <v>0.0</v>
      </c>
      <c r="EH40" s="13">
        <v>0.0</v>
      </c>
      <c r="EI40" s="13">
        <v>0.0</v>
      </c>
      <c r="EJ40" s="13">
        <v>0.0</v>
      </c>
    </row>
    <row r="41" ht="15.75" customHeight="1">
      <c r="A41" s="9" t="s">
        <v>199</v>
      </c>
      <c r="B41" s="13"/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/>
      <c r="I41" s="16" t="str">
        <f>iferror(vlookup(A41,'Inst Lending numbers'!A:D,4,false)," ")</f>
        <v> </v>
      </c>
      <c r="J41" s="13"/>
      <c r="K41" s="13"/>
      <c r="L41" s="13"/>
      <c r="M41" s="13"/>
      <c r="N41" s="13"/>
      <c r="O41" s="13">
        <f t="shared" si="9"/>
        <v>0.03932233526</v>
      </c>
      <c r="P41" s="13">
        <f t="shared" si="2"/>
        <v>0</v>
      </c>
      <c r="Q41" s="13"/>
      <c r="R41" s="13"/>
      <c r="S41" s="13"/>
      <c r="T41" s="13"/>
      <c r="U41" s="13"/>
      <c r="V41" s="13"/>
      <c r="W41" s="13"/>
      <c r="X41" s="13"/>
      <c r="Y41" s="13">
        <f t="shared" si="3"/>
        <v>0</v>
      </c>
      <c r="Z41" s="13"/>
      <c r="AA41" s="13">
        <v>0.0</v>
      </c>
      <c r="AB41" s="13">
        <f t="shared" si="10"/>
        <v>0.1957867833</v>
      </c>
      <c r="AC41" s="13"/>
      <c r="AD41" s="13"/>
      <c r="AE41" s="13">
        <f>iferror(sumif('Weekly Rates'!D:D,A41,'Weekly Rates'!F:F)/countif('Weekly Rates'!D:D,A41),0)</f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 t="str">
        <f>iferror(VLOOKUP($A41,EAM!A$2:E$14,2,FALSE))</f>
        <v/>
      </c>
      <c r="AT41" s="13"/>
      <c r="AU41" s="13">
        <f>sumif('Weekly Rates'!A:A,A41,'Weekly Rates'!B:B)</f>
        <v>0</v>
      </c>
      <c r="AV41" s="13">
        <v>0.0</v>
      </c>
      <c r="AW41" s="13">
        <v>0.0</v>
      </c>
      <c r="AX41" s="13">
        <v>0.0</v>
      </c>
      <c r="AY41" s="13">
        <v>0.0</v>
      </c>
      <c r="AZ41" s="13">
        <v>0.0</v>
      </c>
      <c r="BA41" s="13">
        <v>0.0</v>
      </c>
      <c r="BB41" s="13">
        <v>0.0</v>
      </c>
      <c r="BC41" s="13">
        <v>0.0</v>
      </c>
      <c r="BD41" s="13">
        <v>0.0</v>
      </c>
      <c r="BE41" s="13">
        <v>0.0</v>
      </c>
      <c r="BF41" s="13">
        <v>0.0</v>
      </c>
      <c r="BG41" s="13">
        <v>0.0</v>
      </c>
      <c r="BH41" s="13">
        <v>0.0</v>
      </c>
      <c r="BI41" s="13">
        <v>0.0</v>
      </c>
      <c r="BJ41" s="13">
        <v>0.0</v>
      </c>
      <c r="BK41" s="13">
        <v>0.0</v>
      </c>
      <c r="BL41" s="13">
        <v>0.0</v>
      </c>
      <c r="BM41" s="13">
        <v>0.0</v>
      </c>
      <c r="BN41" s="13">
        <v>0.0</v>
      </c>
      <c r="BO41" s="13">
        <v>0.0</v>
      </c>
      <c r="BP41" s="13">
        <v>0.0</v>
      </c>
      <c r="BQ41" s="13">
        <v>0.0</v>
      </c>
      <c r="BR41" s="13">
        <v>0.0</v>
      </c>
      <c r="BS41" s="13">
        <v>0.0</v>
      </c>
      <c r="BT41" s="13">
        <v>0.0</v>
      </c>
      <c r="BU41" s="13">
        <v>0.0</v>
      </c>
      <c r="BV41" s="13">
        <v>0.0</v>
      </c>
      <c r="BW41" s="13">
        <v>0.0</v>
      </c>
      <c r="BX41" s="13">
        <v>0.0</v>
      </c>
      <c r="BY41" s="13">
        <v>0.0</v>
      </c>
      <c r="BZ41" s="13">
        <v>0.0</v>
      </c>
      <c r="CA41" s="13">
        <v>0.0</v>
      </c>
      <c r="CB41" s="13">
        <v>0.0</v>
      </c>
      <c r="CC41" s="13">
        <v>0.0</v>
      </c>
      <c r="CD41" s="13">
        <v>0.0</v>
      </c>
      <c r="CE41" s="13">
        <v>0.0</v>
      </c>
      <c r="CF41" s="13">
        <v>0.0</v>
      </c>
      <c r="CG41" s="13">
        <v>0.0</v>
      </c>
      <c r="CH41" s="13">
        <v>0.0</v>
      </c>
      <c r="CI41" s="13">
        <v>0.0</v>
      </c>
      <c r="CJ41" s="13">
        <v>0.0</v>
      </c>
      <c r="CK41" s="13">
        <v>0.0</v>
      </c>
      <c r="CL41" s="13">
        <v>0.0</v>
      </c>
      <c r="CM41" s="13">
        <v>0.0</v>
      </c>
      <c r="CN41" s="13">
        <v>0.0</v>
      </c>
      <c r="CO41" s="13">
        <v>0.0</v>
      </c>
      <c r="CP41" s="13">
        <v>0.0</v>
      </c>
      <c r="CQ41" s="13">
        <v>0.0</v>
      </c>
      <c r="CR41" s="13">
        <v>0.0</v>
      </c>
      <c r="CS41" s="13">
        <v>0.0</v>
      </c>
      <c r="CT41" s="13">
        <v>0.0</v>
      </c>
      <c r="CU41" s="13">
        <v>0.0</v>
      </c>
      <c r="CV41" s="13">
        <v>0.0</v>
      </c>
      <c r="CW41" s="13">
        <v>0.0</v>
      </c>
      <c r="CX41" s="13">
        <v>0.0</v>
      </c>
      <c r="CY41" s="13">
        <v>0.0</v>
      </c>
      <c r="CZ41" s="13">
        <v>0.0</v>
      </c>
      <c r="DA41" s="13">
        <v>0.0</v>
      </c>
      <c r="DB41" s="13">
        <v>0.0</v>
      </c>
      <c r="DC41" s="13">
        <v>0.0</v>
      </c>
      <c r="DD41" s="13">
        <v>0.0</v>
      </c>
      <c r="DE41" s="13">
        <v>0.0</v>
      </c>
      <c r="DF41" s="13">
        <v>0.0</v>
      </c>
      <c r="DG41" s="13">
        <v>0.0</v>
      </c>
      <c r="DH41" s="13">
        <v>0.0</v>
      </c>
      <c r="DI41" s="13">
        <v>0.0</v>
      </c>
      <c r="DJ41" s="13">
        <v>0.0</v>
      </c>
      <c r="DK41" s="13">
        <v>0.0</v>
      </c>
      <c r="DL41" s="13">
        <v>0.0</v>
      </c>
      <c r="DM41" s="13">
        <v>0.0</v>
      </c>
      <c r="DN41" s="13">
        <v>0.0</v>
      </c>
      <c r="DO41" s="13">
        <v>0.0</v>
      </c>
      <c r="DP41" s="13">
        <v>0.0</v>
      </c>
      <c r="DQ41" s="13">
        <v>0.0</v>
      </c>
      <c r="DR41" s="13">
        <v>0.0</v>
      </c>
      <c r="DS41" s="13">
        <v>0.0</v>
      </c>
      <c r="DT41" s="13"/>
      <c r="DU41" s="13">
        <v>0.0</v>
      </c>
      <c r="DV41" s="13">
        <v>0.0</v>
      </c>
      <c r="DW41" s="13">
        <v>0.0</v>
      </c>
      <c r="DX41" s="13"/>
      <c r="DY41" s="13">
        <v>0.0</v>
      </c>
      <c r="DZ41" s="13">
        <v>0.0</v>
      </c>
      <c r="EA41" s="13">
        <v>0.0</v>
      </c>
      <c r="EB41" s="13">
        <v>0.0</v>
      </c>
      <c r="EC41" s="13">
        <v>0.0</v>
      </c>
      <c r="ED41" s="13">
        <v>0.0</v>
      </c>
      <c r="EE41" s="13">
        <v>0.0</v>
      </c>
      <c r="EF41" s="13">
        <v>0.0</v>
      </c>
      <c r="EG41" s="13">
        <v>0.0</v>
      </c>
      <c r="EH41" s="13">
        <v>0.0</v>
      </c>
      <c r="EI41" s="13">
        <v>0.0</v>
      </c>
      <c r="EJ41" s="13">
        <v>0.0</v>
      </c>
    </row>
    <row r="42" ht="15.75" customHeight="1">
      <c r="A42" s="9" t="s">
        <v>200</v>
      </c>
      <c r="B42" s="13"/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/>
      <c r="I42" s="16" t="str">
        <f>iferror(vlookup(A42,'Inst Lending numbers'!A:D,4,false)," ")</f>
        <v> </v>
      </c>
      <c r="J42" s="13"/>
      <c r="K42" s="13"/>
      <c r="L42" s="13"/>
      <c r="M42" s="13"/>
      <c r="N42" s="13"/>
      <c r="O42" s="13">
        <f t="shared" si="9"/>
        <v>0.03932233526</v>
      </c>
      <c r="P42" s="13">
        <f t="shared" si="2"/>
        <v>0</v>
      </c>
      <c r="Q42" s="13"/>
      <c r="R42" s="13"/>
      <c r="S42" s="13"/>
      <c r="T42" s="13"/>
      <c r="U42" s="13"/>
      <c r="V42" s="13"/>
      <c r="W42" s="13"/>
      <c r="X42" s="13"/>
      <c r="Y42" s="13">
        <f t="shared" si="3"/>
        <v>0</v>
      </c>
      <c r="Z42" s="13"/>
      <c r="AA42" s="13">
        <v>0.0</v>
      </c>
      <c r="AB42" s="13">
        <f t="shared" si="10"/>
        <v>0.1957867833</v>
      </c>
      <c r="AC42" s="13"/>
      <c r="AD42" s="13"/>
      <c r="AE42" s="13">
        <f>iferror(sumif('Weekly Rates'!D:D,A42,'Weekly Rates'!F:F)/countif('Weekly Rates'!D:D,A42),0)</f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 t="str">
        <f>iferror(VLOOKUP($A42,EAM!A$2:E$14,2,FALSE))</f>
        <v/>
      </c>
      <c r="AT42" s="13"/>
      <c r="AU42" s="13">
        <f>sumif('Weekly Rates'!A:A,A42,'Weekly Rates'!B:B)</f>
        <v>0</v>
      </c>
      <c r="AV42" s="13">
        <v>0.0</v>
      </c>
      <c r="AW42" s="13">
        <v>0.0</v>
      </c>
      <c r="AX42" s="13">
        <v>0.0</v>
      </c>
      <c r="AY42" s="13">
        <v>0.0</v>
      </c>
      <c r="AZ42" s="13">
        <v>0.0</v>
      </c>
      <c r="BA42" s="13">
        <v>0.0</v>
      </c>
      <c r="BB42" s="13">
        <v>0.0</v>
      </c>
      <c r="BC42" s="13">
        <v>0.0</v>
      </c>
      <c r="BD42" s="13">
        <v>0.0</v>
      </c>
      <c r="BE42" s="13">
        <v>0.0</v>
      </c>
      <c r="BF42" s="13">
        <v>0.0</v>
      </c>
      <c r="BG42" s="13">
        <v>0.0</v>
      </c>
      <c r="BH42" s="13">
        <v>0.0</v>
      </c>
      <c r="BI42" s="13">
        <v>0.0</v>
      </c>
      <c r="BJ42" s="13">
        <v>0.0</v>
      </c>
      <c r="BK42" s="13">
        <v>0.0</v>
      </c>
      <c r="BL42" s="13">
        <v>0.0</v>
      </c>
      <c r="BM42" s="13">
        <v>0.0</v>
      </c>
      <c r="BN42" s="13">
        <v>0.0</v>
      </c>
      <c r="BO42" s="13">
        <v>0.0</v>
      </c>
      <c r="BP42" s="13">
        <v>0.0</v>
      </c>
      <c r="BQ42" s="13">
        <v>0.0</v>
      </c>
      <c r="BR42" s="13">
        <v>0.0</v>
      </c>
      <c r="BS42" s="13">
        <v>0.0</v>
      </c>
      <c r="BT42" s="13">
        <v>0.0</v>
      </c>
      <c r="BU42" s="13">
        <v>0.0</v>
      </c>
      <c r="BV42" s="13">
        <v>0.0</v>
      </c>
      <c r="BW42" s="13">
        <v>0.0</v>
      </c>
      <c r="BX42" s="13">
        <v>0.0</v>
      </c>
      <c r="BY42" s="13">
        <v>0.0</v>
      </c>
      <c r="BZ42" s="13">
        <v>0.0</v>
      </c>
      <c r="CA42" s="13">
        <v>0.0</v>
      </c>
      <c r="CB42" s="13">
        <v>0.0</v>
      </c>
      <c r="CC42" s="13">
        <v>0.0</v>
      </c>
      <c r="CD42" s="13">
        <v>0.0</v>
      </c>
      <c r="CE42" s="13">
        <v>0.0</v>
      </c>
      <c r="CF42" s="13">
        <v>0.0</v>
      </c>
      <c r="CG42" s="13">
        <v>0.0</v>
      </c>
      <c r="CH42" s="13">
        <v>0.0</v>
      </c>
      <c r="CI42" s="13">
        <v>0.0</v>
      </c>
      <c r="CJ42" s="13">
        <v>0.0</v>
      </c>
      <c r="CK42" s="13">
        <v>0.0</v>
      </c>
      <c r="CL42" s="13">
        <v>0.0</v>
      </c>
      <c r="CM42" s="13">
        <v>0.0</v>
      </c>
      <c r="CN42" s="13">
        <v>0.0</v>
      </c>
      <c r="CO42" s="13">
        <v>0.0</v>
      </c>
      <c r="CP42" s="13">
        <v>0.0</v>
      </c>
      <c r="CQ42" s="13">
        <v>0.0</v>
      </c>
      <c r="CR42" s="13">
        <v>0.0</v>
      </c>
      <c r="CS42" s="13">
        <v>0.0</v>
      </c>
      <c r="CT42" s="13">
        <v>0.0</v>
      </c>
      <c r="CU42" s="13">
        <v>0.0</v>
      </c>
      <c r="CV42" s="13">
        <v>0.0</v>
      </c>
      <c r="CW42" s="13">
        <v>0.0</v>
      </c>
      <c r="CX42" s="13">
        <v>0.0</v>
      </c>
      <c r="CY42" s="13">
        <v>0.0</v>
      </c>
      <c r="CZ42" s="13">
        <v>0.0</v>
      </c>
      <c r="DA42" s="13">
        <v>0.0</v>
      </c>
      <c r="DB42" s="13">
        <v>0.0</v>
      </c>
      <c r="DC42" s="13">
        <v>0.0</v>
      </c>
      <c r="DD42" s="13">
        <v>0.0</v>
      </c>
      <c r="DE42" s="13">
        <v>0.0</v>
      </c>
      <c r="DF42" s="13">
        <v>0.0</v>
      </c>
      <c r="DG42" s="13">
        <v>0.0</v>
      </c>
      <c r="DH42" s="13">
        <v>0.0</v>
      </c>
      <c r="DI42" s="13">
        <v>0.0</v>
      </c>
      <c r="DJ42" s="13">
        <v>0.0</v>
      </c>
      <c r="DK42" s="13">
        <v>0.0</v>
      </c>
      <c r="DL42" s="13">
        <v>0.0</v>
      </c>
      <c r="DM42" s="13">
        <v>0.0</v>
      </c>
      <c r="DN42" s="13">
        <v>0.0</v>
      </c>
      <c r="DO42" s="13">
        <v>0.0</v>
      </c>
      <c r="DP42" s="13">
        <v>0.0</v>
      </c>
      <c r="DQ42" s="13">
        <v>0.0</v>
      </c>
      <c r="DR42" s="13">
        <v>0.0</v>
      </c>
      <c r="DS42" s="13">
        <v>0.0</v>
      </c>
      <c r="DT42" s="13"/>
      <c r="DU42" s="13">
        <v>0.0</v>
      </c>
      <c r="DV42" s="13">
        <v>0.0</v>
      </c>
      <c r="DW42" s="13">
        <v>0.0</v>
      </c>
      <c r="DX42" s="13"/>
      <c r="DY42" s="13">
        <v>0.0</v>
      </c>
      <c r="DZ42" s="13">
        <v>0.0</v>
      </c>
      <c r="EA42" s="13">
        <v>0.0</v>
      </c>
      <c r="EB42" s="13">
        <v>0.0</v>
      </c>
      <c r="EC42" s="13">
        <v>0.0</v>
      </c>
      <c r="ED42" s="13">
        <v>0.0</v>
      </c>
      <c r="EE42" s="13">
        <v>0.0</v>
      </c>
      <c r="EF42" s="13">
        <v>0.0</v>
      </c>
      <c r="EG42" s="13">
        <v>0.0</v>
      </c>
      <c r="EH42" s="13">
        <v>0.0</v>
      </c>
      <c r="EI42" s="13">
        <v>0.0</v>
      </c>
      <c r="EJ42" s="13">
        <v>0.0</v>
      </c>
    </row>
    <row r="43" ht="15.75" customHeight="1">
      <c r="A43" s="7" t="s">
        <v>201</v>
      </c>
      <c r="B43" s="13"/>
      <c r="C43" s="13"/>
      <c r="D43" s="13"/>
      <c r="E43" s="13"/>
      <c r="F43" s="13"/>
      <c r="G43" s="13"/>
      <c r="H43" s="13"/>
      <c r="I43" s="16"/>
      <c r="J43" s="13"/>
      <c r="K43" s="13"/>
      <c r="L43" s="13"/>
      <c r="M43" s="13"/>
      <c r="N43" s="13"/>
      <c r="O43" s="13"/>
      <c r="P43" s="13">
        <f t="shared" si="2"/>
        <v>0</v>
      </c>
      <c r="Q43" s="13"/>
      <c r="R43" s="13"/>
      <c r="S43" s="13"/>
      <c r="T43" s="13"/>
      <c r="U43" s="13"/>
      <c r="V43" s="13"/>
      <c r="W43" s="13"/>
      <c r="X43" s="13"/>
      <c r="Y43" s="13">
        <f t="shared" si="3"/>
        <v>0</v>
      </c>
      <c r="Z43" s="13"/>
      <c r="AA43" s="13">
        <v>0.0</v>
      </c>
      <c r="AB43" s="13">
        <f t="shared" si="10"/>
        <v>0.1957867833</v>
      </c>
      <c r="AC43" s="13"/>
      <c r="AD43" s="13"/>
      <c r="AE43" s="13">
        <f>iferror(sumif('Weekly Rates'!D:D,A43,'Weekly Rates'!F:F)/countif('Weekly Rates'!D:D,A43),0)</f>
        <v>0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 t="str">
        <f>iferror(VLOOKUP($A43,EAM!A$2:E$14,2,FALSE))</f>
        <v/>
      </c>
      <c r="AT43" s="13"/>
      <c r="AU43" s="13"/>
      <c r="AV43" s="13"/>
      <c r="AW43" s="13">
        <v>0.0</v>
      </c>
      <c r="AX43" s="13"/>
      <c r="AY43" s="13">
        <v>0.0</v>
      </c>
      <c r="AZ43" s="13">
        <v>0.0</v>
      </c>
      <c r="BA43" s="13">
        <v>0.0</v>
      </c>
      <c r="BB43" s="13">
        <v>0.0</v>
      </c>
      <c r="BC43" s="13">
        <v>0.0</v>
      </c>
      <c r="BD43" s="13">
        <v>0.0</v>
      </c>
      <c r="BE43" s="13">
        <v>0.0</v>
      </c>
      <c r="BF43" s="13">
        <v>0.0</v>
      </c>
      <c r="BG43" s="13">
        <v>0.0</v>
      </c>
      <c r="BH43" s="13">
        <v>0.0</v>
      </c>
      <c r="BI43" s="13">
        <v>0.0</v>
      </c>
      <c r="BJ43" s="13">
        <v>0.0</v>
      </c>
      <c r="BK43" s="13">
        <v>0.0</v>
      </c>
      <c r="BL43" s="13">
        <v>0.0</v>
      </c>
      <c r="BM43" s="13">
        <v>0.0</v>
      </c>
      <c r="BN43" s="13">
        <v>0.0</v>
      </c>
      <c r="BO43" s="13">
        <v>0.0</v>
      </c>
      <c r="BP43" s="13">
        <v>0.0</v>
      </c>
      <c r="BQ43" s="13">
        <v>0.0</v>
      </c>
      <c r="BR43" s="13">
        <v>0.0</v>
      </c>
      <c r="BS43" s="13">
        <v>0.0</v>
      </c>
      <c r="BT43" s="13">
        <v>0.0</v>
      </c>
      <c r="BU43" s="13">
        <v>0.0</v>
      </c>
      <c r="BV43" s="13">
        <v>0.0</v>
      </c>
      <c r="BW43" s="13">
        <v>0.0</v>
      </c>
      <c r="BX43" s="13">
        <v>0.0</v>
      </c>
      <c r="BY43" s="13">
        <v>0.0</v>
      </c>
      <c r="BZ43" s="13">
        <v>0.0</v>
      </c>
      <c r="CA43" s="13">
        <v>0.0</v>
      </c>
      <c r="CB43" s="13">
        <v>0.0</v>
      </c>
      <c r="CC43" s="13">
        <v>0.0</v>
      </c>
      <c r="CD43" s="13">
        <v>0.0</v>
      </c>
      <c r="CE43" s="13">
        <v>0.0</v>
      </c>
      <c r="CF43" s="13">
        <v>0.0</v>
      </c>
      <c r="CG43" s="13">
        <v>0.0</v>
      </c>
      <c r="CH43" s="13">
        <v>0.0</v>
      </c>
      <c r="CI43" s="13">
        <v>0.0</v>
      </c>
      <c r="CJ43" s="13">
        <v>0.0</v>
      </c>
      <c r="CK43" s="13">
        <v>0.0</v>
      </c>
      <c r="CL43" s="13">
        <v>0.0</v>
      </c>
      <c r="CM43" s="13">
        <v>0.0</v>
      </c>
      <c r="CN43" s="13">
        <v>0.0</v>
      </c>
      <c r="CO43" s="13">
        <v>0.0</v>
      </c>
      <c r="CP43" s="13">
        <v>0.0</v>
      </c>
      <c r="CQ43" s="13">
        <v>0.0</v>
      </c>
      <c r="CR43" s="13">
        <v>0.0</v>
      </c>
      <c r="CS43" s="13">
        <v>0.0</v>
      </c>
      <c r="CT43" s="13">
        <v>0.0</v>
      </c>
      <c r="CU43" s="13">
        <v>0.0</v>
      </c>
      <c r="CV43" s="13">
        <v>0.0</v>
      </c>
      <c r="CW43" s="13">
        <v>0.0</v>
      </c>
      <c r="CX43" s="13">
        <v>0.0</v>
      </c>
      <c r="CY43" s="13">
        <v>0.0</v>
      </c>
      <c r="CZ43" s="13">
        <v>0.0</v>
      </c>
      <c r="DA43" s="13">
        <v>0.0</v>
      </c>
      <c r="DB43" s="13">
        <v>0.0</v>
      </c>
      <c r="DC43" s="13">
        <v>0.0</v>
      </c>
      <c r="DD43" s="13">
        <v>0.0</v>
      </c>
      <c r="DE43" s="13">
        <v>0.0</v>
      </c>
      <c r="DF43" s="13">
        <v>0.0</v>
      </c>
      <c r="DG43" s="13">
        <v>0.0</v>
      </c>
      <c r="DH43" s="13">
        <v>0.0</v>
      </c>
      <c r="DI43" s="13">
        <v>0.0</v>
      </c>
      <c r="DJ43" s="13">
        <v>0.0</v>
      </c>
      <c r="DK43" s="13">
        <v>0.0</v>
      </c>
      <c r="DL43" s="13">
        <v>0.0</v>
      </c>
      <c r="DM43" s="13">
        <v>0.0</v>
      </c>
      <c r="DN43" s="13">
        <v>0.0</v>
      </c>
      <c r="DO43" s="13">
        <v>0.0</v>
      </c>
      <c r="DP43" s="13">
        <v>0.0</v>
      </c>
      <c r="DQ43" s="13">
        <v>0.0</v>
      </c>
      <c r="DR43" s="13">
        <v>0.0</v>
      </c>
      <c r="DS43" s="13">
        <v>0.0</v>
      </c>
      <c r="DT43" s="13"/>
      <c r="DU43" s="13">
        <v>0.0</v>
      </c>
      <c r="DV43" s="13">
        <v>0.0</v>
      </c>
      <c r="DW43" s="13">
        <v>0.0</v>
      </c>
      <c r="DX43" s="13"/>
      <c r="DY43" s="13">
        <v>0.0</v>
      </c>
      <c r="DZ43" s="13">
        <v>0.0</v>
      </c>
      <c r="EA43" s="13">
        <v>0.0</v>
      </c>
      <c r="EB43" s="13">
        <v>0.0</v>
      </c>
      <c r="EC43" s="13">
        <v>0.0</v>
      </c>
      <c r="ED43" s="13">
        <v>0.0</v>
      </c>
      <c r="EE43" s="13">
        <v>0.0</v>
      </c>
      <c r="EF43" s="13">
        <v>0.0</v>
      </c>
      <c r="EG43" s="13">
        <v>0.0</v>
      </c>
      <c r="EH43" s="13">
        <v>0.0</v>
      </c>
      <c r="EI43" s="13">
        <v>0.0</v>
      </c>
      <c r="EJ43" s="13">
        <v>0.0</v>
      </c>
    </row>
    <row r="44" ht="15.75" customHeight="1">
      <c r="A44" s="9" t="s">
        <v>202</v>
      </c>
      <c r="B44" s="13"/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/>
      <c r="I44" s="16">
        <f>iferror(vlookup(A44,'Inst Lending numbers'!A:D,4,false)," ")</f>
        <v>0.0537</v>
      </c>
      <c r="J44" s="13"/>
      <c r="K44" s="13"/>
      <c r="L44" s="13"/>
      <c r="M44" s="13"/>
      <c r="N44" s="13"/>
      <c r="O44" s="13">
        <f t="shared" ref="O44:O63" si="11">$O$4</f>
        <v>0.03932233526</v>
      </c>
      <c r="P44" s="13">
        <f t="shared" si="2"/>
        <v>0</v>
      </c>
      <c r="Q44" s="13"/>
      <c r="R44" s="13"/>
      <c r="S44" s="13"/>
      <c r="T44" s="13"/>
      <c r="U44" s="13"/>
      <c r="V44" s="13"/>
      <c r="W44" s="13"/>
      <c r="X44" s="13"/>
      <c r="Y44" s="13">
        <f t="shared" si="3"/>
        <v>0</v>
      </c>
      <c r="Z44" s="13"/>
      <c r="AA44" s="13">
        <v>0.0</v>
      </c>
      <c r="AB44" s="13">
        <f t="shared" si="10"/>
        <v>0.1957867833</v>
      </c>
      <c r="AC44" s="13"/>
      <c r="AD44" s="13"/>
      <c r="AE44" s="13">
        <f>iferror(sumif('Weekly Rates'!D:D,A44,'Weekly Rates'!F:F)/countif('Weekly Rates'!D:D,A44),0)</f>
        <v>0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 t="str">
        <f>iferror(VLOOKUP($A44,EAM!A$2:E$14,2,FALSE))</f>
        <v/>
      </c>
      <c r="AT44" s="13"/>
      <c r="AU44" s="13">
        <f>sumif('Weekly Rates'!A:A,A44,'Weekly Rates'!B:B)</f>
        <v>0</v>
      </c>
      <c r="AV44" s="13">
        <v>0.0</v>
      </c>
      <c r="AW44" s="13">
        <v>0.0</v>
      </c>
      <c r="AX44" s="13">
        <v>0.0</v>
      </c>
      <c r="AY44" s="13">
        <v>0.0</v>
      </c>
      <c r="AZ44" s="13">
        <v>0.0</v>
      </c>
      <c r="BA44" s="13">
        <v>0.0</v>
      </c>
      <c r="BB44" s="13">
        <v>0.0</v>
      </c>
      <c r="BC44" s="13">
        <v>0.0</v>
      </c>
      <c r="BD44" s="13">
        <v>0.0</v>
      </c>
      <c r="BE44" s="13">
        <v>0.0</v>
      </c>
      <c r="BF44" s="13">
        <v>0.0</v>
      </c>
      <c r="BG44" s="13">
        <v>0.0</v>
      </c>
      <c r="BH44" s="13">
        <v>0.0</v>
      </c>
      <c r="BI44" s="13">
        <v>0.0</v>
      </c>
      <c r="BJ44" s="13">
        <v>0.0</v>
      </c>
      <c r="BK44" s="13">
        <v>0.0</v>
      </c>
      <c r="BL44" s="13">
        <v>0.0</v>
      </c>
      <c r="BM44" s="13">
        <v>0.0</v>
      </c>
      <c r="BN44" s="13">
        <v>0.0</v>
      </c>
      <c r="BO44" s="13">
        <v>0.0</v>
      </c>
      <c r="BP44" s="13">
        <v>0.0</v>
      </c>
      <c r="BQ44" s="13">
        <v>0.0</v>
      </c>
      <c r="BR44" s="13">
        <v>0.0</v>
      </c>
      <c r="BS44" s="13">
        <v>0.0</v>
      </c>
      <c r="BT44" s="13">
        <v>0.0</v>
      </c>
      <c r="BU44" s="13">
        <v>0.0</v>
      </c>
      <c r="BV44" s="13">
        <v>0.0</v>
      </c>
      <c r="BW44" s="13">
        <v>0.0</v>
      </c>
      <c r="BX44" s="13">
        <v>0.0</v>
      </c>
      <c r="BY44" s="13">
        <v>0.0</v>
      </c>
      <c r="BZ44" s="13">
        <v>0.0</v>
      </c>
      <c r="CA44" s="13">
        <v>0.0</v>
      </c>
      <c r="CB44" s="13">
        <v>0.0</v>
      </c>
      <c r="CC44" s="13">
        <v>0.0</v>
      </c>
      <c r="CD44" s="13">
        <v>0.0</v>
      </c>
      <c r="CE44" s="13">
        <v>0.0</v>
      </c>
      <c r="CF44" s="13">
        <v>0.0</v>
      </c>
      <c r="CG44" s="13">
        <v>0.0</v>
      </c>
      <c r="CH44" s="13">
        <v>0.0</v>
      </c>
      <c r="CI44" s="13">
        <v>0.0</v>
      </c>
      <c r="CJ44" s="13">
        <v>0.0</v>
      </c>
      <c r="CK44" s="13">
        <v>0.0</v>
      </c>
      <c r="CL44" s="13">
        <v>0.0</v>
      </c>
      <c r="CM44" s="13">
        <v>0.0</v>
      </c>
      <c r="CN44" s="13">
        <v>0.0</v>
      </c>
      <c r="CO44" s="13">
        <v>0.0</v>
      </c>
      <c r="CP44" s="13">
        <v>0.0</v>
      </c>
      <c r="CQ44" s="13">
        <v>0.0</v>
      </c>
      <c r="CR44" s="13">
        <v>0.0</v>
      </c>
      <c r="CS44" s="13">
        <v>0.0</v>
      </c>
      <c r="CT44" s="13">
        <v>0.0</v>
      </c>
      <c r="CU44" s="13">
        <v>0.0</v>
      </c>
      <c r="CV44" s="13">
        <v>0.0</v>
      </c>
      <c r="CW44" s="13">
        <v>0.0</v>
      </c>
      <c r="CX44" s="13">
        <v>0.0</v>
      </c>
      <c r="CY44" s="13">
        <v>0.0</v>
      </c>
      <c r="CZ44" s="13">
        <v>0.0</v>
      </c>
      <c r="DA44" s="13">
        <v>0.0</v>
      </c>
      <c r="DB44" s="13">
        <v>0.0</v>
      </c>
      <c r="DC44" s="13">
        <v>0.0</v>
      </c>
      <c r="DD44" s="13">
        <v>0.0</v>
      </c>
      <c r="DE44" s="13">
        <v>0.0</v>
      </c>
      <c r="DF44" s="13">
        <v>0.0</v>
      </c>
      <c r="DG44" s="13">
        <v>0.0</v>
      </c>
      <c r="DH44" s="13">
        <v>0.0</v>
      </c>
      <c r="DI44" s="13">
        <v>0.0</v>
      </c>
      <c r="DJ44" s="13">
        <v>0.0</v>
      </c>
      <c r="DK44" s="13">
        <v>0.0</v>
      </c>
      <c r="DL44" s="13">
        <v>0.0</v>
      </c>
      <c r="DM44" s="13">
        <v>0.0</v>
      </c>
      <c r="DN44" s="13">
        <v>0.0</v>
      </c>
      <c r="DO44" s="13">
        <v>0.0</v>
      </c>
      <c r="DP44" s="13">
        <v>0.0</v>
      </c>
      <c r="DQ44" s="13">
        <v>0.0</v>
      </c>
      <c r="DR44" s="13">
        <v>0.0</v>
      </c>
      <c r="DS44" s="13">
        <v>0.0</v>
      </c>
      <c r="DT44" s="13"/>
      <c r="DU44" s="13">
        <v>0.0</v>
      </c>
      <c r="DV44" s="13">
        <v>0.0</v>
      </c>
      <c r="DW44" s="13">
        <v>0.0</v>
      </c>
      <c r="DX44" s="13"/>
      <c r="DY44" s="13">
        <v>0.0</v>
      </c>
      <c r="DZ44" s="13">
        <v>0.0</v>
      </c>
      <c r="EA44" s="13">
        <v>0.0</v>
      </c>
      <c r="EB44" s="13">
        <v>0.0</v>
      </c>
      <c r="EC44" s="13">
        <v>0.0</v>
      </c>
      <c r="ED44" s="13">
        <v>0.0</v>
      </c>
      <c r="EE44" s="13">
        <v>0.0</v>
      </c>
      <c r="EF44" s="13">
        <v>0.0</v>
      </c>
      <c r="EG44" s="13">
        <v>0.0</v>
      </c>
      <c r="EH44" s="13">
        <v>0.0</v>
      </c>
      <c r="EI44" s="13">
        <v>0.0</v>
      </c>
      <c r="EJ44" s="13">
        <v>0.0</v>
      </c>
    </row>
    <row r="45" ht="15.75" customHeight="1">
      <c r="A45" s="9" t="s">
        <v>203</v>
      </c>
      <c r="B45" s="13"/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/>
      <c r="I45" s="16">
        <f>iferror(vlookup(A45,'Inst Lending numbers'!A:D,4,false)," ")</f>
        <v>0.1</v>
      </c>
      <c r="J45" s="13"/>
      <c r="K45" s="13"/>
      <c r="L45" s="13">
        <v>0.034</v>
      </c>
      <c r="M45" s="13"/>
      <c r="N45" s="13"/>
      <c r="O45" s="13">
        <f t="shared" si="11"/>
        <v>0.03932233526</v>
      </c>
      <c r="P45" s="13">
        <f t="shared" si="2"/>
        <v>0</v>
      </c>
      <c r="Q45" s="13"/>
      <c r="R45" s="13"/>
      <c r="S45" s="13"/>
      <c r="T45" s="13"/>
      <c r="U45" s="13"/>
      <c r="V45" s="13"/>
      <c r="W45" s="13"/>
      <c r="X45" s="13"/>
      <c r="Y45" s="13">
        <f t="shared" si="3"/>
        <v>0</v>
      </c>
      <c r="Z45" s="13"/>
      <c r="AA45" s="13">
        <v>0.0</v>
      </c>
      <c r="AB45" s="13">
        <f t="shared" si="10"/>
        <v>0.1957867833</v>
      </c>
      <c r="AC45" s="13"/>
      <c r="AD45" s="13"/>
      <c r="AE45" s="13">
        <f>iferror(sumif('Weekly Rates'!D:D,A45,'Weekly Rates'!F:F)/countif('Weekly Rates'!D:D,A45),0)</f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 t="str">
        <f>iferror(VLOOKUP($A45,EAM!A$2:E$14,2,FALSE))</f>
        <v/>
      </c>
      <c r="AT45" s="13"/>
      <c r="AU45" s="13">
        <f>sumif('Weekly Rates'!A:A,A45,'Weekly Rates'!B:B)</f>
        <v>0</v>
      </c>
      <c r="AV45" s="13">
        <v>0.0</v>
      </c>
      <c r="AW45" s="13">
        <v>0.0</v>
      </c>
      <c r="AX45" s="13">
        <v>0.0</v>
      </c>
      <c r="AY45" s="13">
        <v>0.0</v>
      </c>
      <c r="AZ45" s="13">
        <v>0.0</v>
      </c>
      <c r="BA45" s="13">
        <v>0.0</v>
      </c>
      <c r="BB45" s="13">
        <v>0.0</v>
      </c>
      <c r="BC45" s="13">
        <v>0.0</v>
      </c>
      <c r="BD45" s="13">
        <v>0.0405</v>
      </c>
      <c r="BE45" s="13">
        <v>0.0</v>
      </c>
      <c r="BF45" s="13">
        <v>0.0</v>
      </c>
      <c r="BG45" s="13">
        <v>0.0</v>
      </c>
      <c r="BH45" s="13">
        <v>0.0</v>
      </c>
      <c r="BI45" s="13">
        <v>0.0</v>
      </c>
      <c r="BJ45" s="13">
        <v>0.0</v>
      </c>
      <c r="BK45" s="13">
        <v>0.0</v>
      </c>
      <c r="BL45" s="13">
        <v>0.0</v>
      </c>
      <c r="BM45" s="13">
        <v>0.0</v>
      </c>
      <c r="BN45" s="13">
        <v>0.0</v>
      </c>
      <c r="BO45" s="13">
        <v>0.0</v>
      </c>
      <c r="BP45" s="13">
        <v>0.0</v>
      </c>
      <c r="BQ45" s="13">
        <v>0.0</v>
      </c>
      <c r="BR45" s="13">
        <v>0.0</v>
      </c>
      <c r="BS45" s="13">
        <v>0.0</v>
      </c>
      <c r="BT45" s="13">
        <v>0.0</v>
      </c>
      <c r="BU45" s="13">
        <v>0.0</v>
      </c>
      <c r="BV45" s="13">
        <v>0.0</v>
      </c>
      <c r="BW45" s="13">
        <v>0.0</v>
      </c>
      <c r="BX45" s="13">
        <v>0.0</v>
      </c>
      <c r="BY45" s="13">
        <v>0.0</v>
      </c>
      <c r="BZ45" s="13">
        <v>0.0</v>
      </c>
      <c r="CA45" s="13">
        <v>0.0</v>
      </c>
      <c r="CB45" s="13">
        <v>0.0</v>
      </c>
      <c r="CC45" s="13">
        <v>0.0</v>
      </c>
      <c r="CD45" s="13">
        <v>0.0</v>
      </c>
      <c r="CE45" s="13">
        <v>0.0</v>
      </c>
      <c r="CF45" s="13">
        <v>0.0</v>
      </c>
      <c r="CG45" s="13">
        <v>0.0</v>
      </c>
      <c r="CH45" s="13">
        <v>0.0</v>
      </c>
      <c r="CI45" s="13">
        <v>0.0</v>
      </c>
      <c r="CJ45" s="13">
        <v>0.0</v>
      </c>
      <c r="CK45" s="13">
        <v>0.0</v>
      </c>
      <c r="CL45" s="13">
        <v>0.0</v>
      </c>
      <c r="CM45" s="13">
        <v>0.0</v>
      </c>
      <c r="CN45" s="13">
        <v>0.0</v>
      </c>
      <c r="CO45" s="13">
        <v>0.0</v>
      </c>
      <c r="CP45" s="13">
        <v>0.0</v>
      </c>
      <c r="CQ45" s="13">
        <v>0.0</v>
      </c>
      <c r="CR45" s="13">
        <v>0.0</v>
      </c>
      <c r="CS45" s="13">
        <v>0.0</v>
      </c>
      <c r="CT45" s="13">
        <v>0.0</v>
      </c>
      <c r="CU45" s="13">
        <v>0.0</v>
      </c>
      <c r="CV45" s="13">
        <v>0.0</v>
      </c>
      <c r="CW45" s="13">
        <v>0.0</v>
      </c>
      <c r="CX45" s="13">
        <v>0.0</v>
      </c>
      <c r="CY45" s="13">
        <v>0.0</v>
      </c>
      <c r="CZ45" s="13">
        <v>0.0</v>
      </c>
      <c r="DA45" s="13">
        <v>0.0</v>
      </c>
      <c r="DB45" s="13">
        <v>0.0</v>
      </c>
      <c r="DC45" s="13">
        <v>0.0</v>
      </c>
      <c r="DD45" s="13">
        <v>0.0</v>
      </c>
      <c r="DE45" s="13">
        <v>0.0</v>
      </c>
      <c r="DF45" s="13">
        <v>0.0</v>
      </c>
      <c r="DG45" s="13">
        <v>0.0</v>
      </c>
      <c r="DH45" s="13">
        <v>0.0</v>
      </c>
      <c r="DI45" s="13">
        <v>0.0</v>
      </c>
      <c r="DJ45" s="13">
        <v>0.0</v>
      </c>
      <c r="DK45" s="13">
        <v>0.0</v>
      </c>
      <c r="DL45" s="13">
        <v>0.0</v>
      </c>
      <c r="DM45" s="13">
        <v>0.0</v>
      </c>
      <c r="DN45" s="13">
        <v>0.0</v>
      </c>
      <c r="DO45" s="13">
        <v>0.0</v>
      </c>
      <c r="DP45" s="13">
        <v>0.0</v>
      </c>
      <c r="DQ45" s="13">
        <v>0.0</v>
      </c>
      <c r="DR45" s="13">
        <v>0.0</v>
      </c>
      <c r="DS45" s="13">
        <v>0.0</v>
      </c>
      <c r="DT45" s="13"/>
      <c r="DU45" s="13">
        <v>0.0</v>
      </c>
      <c r="DV45" s="13">
        <v>0.0</v>
      </c>
      <c r="DW45" s="13">
        <v>0.0</v>
      </c>
      <c r="DX45" s="13"/>
      <c r="DY45" s="13">
        <v>0.0</v>
      </c>
      <c r="DZ45" s="13">
        <v>0.0</v>
      </c>
      <c r="EA45" s="13">
        <v>0.0</v>
      </c>
      <c r="EB45" s="13">
        <v>0.0</v>
      </c>
      <c r="EC45" s="13">
        <v>0.0</v>
      </c>
      <c r="ED45" s="13">
        <v>0.0</v>
      </c>
      <c r="EE45" s="13">
        <v>0.0</v>
      </c>
      <c r="EF45" s="13">
        <v>0.0</v>
      </c>
      <c r="EG45" s="13">
        <v>0.0</v>
      </c>
      <c r="EH45" s="13">
        <v>0.0</v>
      </c>
      <c r="EI45" s="13">
        <v>0.0</v>
      </c>
      <c r="EJ45" s="13">
        <v>0.0</v>
      </c>
    </row>
    <row r="46" ht="15.75" customHeight="1">
      <c r="A46" s="9" t="s">
        <v>204</v>
      </c>
      <c r="B46" s="13"/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/>
      <c r="I46" s="16">
        <f>iferror(vlookup(A46,'Inst Lending numbers'!A:D,4,false)," ")</f>
        <v>0.0686</v>
      </c>
      <c r="J46" s="13"/>
      <c r="K46" s="13"/>
      <c r="L46" s="13"/>
      <c r="M46" s="13"/>
      <c r="N46" s="13"/>
      <c r="O46" s="13">
        <f t="shared" si="11"/>
        <v>0.03932233526</v>
      </c>
      <c r="P46" s="13">
        <f t="shared" si="2"/>
        <v>0</v>
      </c>
      <c r="Q46" s="13"/>
      <c r="R46" s="13"/>
      <c r="S46" s="13"/>
      <c r="T46" s="13"/>
      <c r="U46" s="13"/>
      <c r="V46" s="13"/>
      <c r="W46" s="13"/>
      <c r="X46" s="13"/>
      <c r="Y46" s="13">
        <f t="shared" si="3"/>
        <v>0</v>
      </c>
      <c r="Z46" s="13"/>
      <c r="AA46" s="13">
        <v>0.0</v>
      </c>
      <c r="AB46" s="13">
        <f t="shared" si="10"/>
        <v>0.1957867833</v>
      </c>
      <c r="AC46" s="13"/>
      <c r="AD46" s="13"/>
      <c r="AE46" s="13">
        <f>iferror(sumif('Weekly Rates'!D:D,A46,'Weekly Rates'!F:F)/countif('Weekly Rates'!D:D,A46),0)</f>
        <v>0.04055515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 t="str">
        <f>iferror(VLOOKUP($A46,EAM!A$2:E$14,2,FALSE))</f>
        <v/>
      </c>
      <c r="AT46" s="13"/>
      <c r="AU46" s="13">
        <f>sumif('Weekly Rates'!A:A,A46,'Weekly Rates'!B:B)</f>
        <v>0</v>
      </c>
      <c r="AV46" s="13">
        <v>0.0</v>
      </c>
      <c r="AW46" s="13">
        <v>0.0</v>
      </c>
      <c r="AX46" s="13">
        <v>0.0</v>
      </c>
      <c r="AY46" s="13">
        <v>0.0</v>
      </c>
      <c r="AZ46" s="13">
        <v>0.0</v>
      </c>
      <c r="BA46" s="13">
        <v>0.0</v>
      </c>
      <c r="BB46" s="13">
        <v>0.0</v>
      </c>
      <c r="BC46" s="13">
        <v>0.0</v>
      </c>
      <c r="BD46" s="13">
        <v>0.0125</v>
      </c>
      <c r="BE46" s="13">
        <v>0.0</v>
      </c>
      <c r="BF46" s="13">
        <v>0.0</v>
      </c>
      <c r="BG46" s="13">
        <v>0.0</v>
      </c>
      <c r="BH46" s="13">
        <v>0.0</v>
      </c>
      <c r="BI46" s="13">
        <v>0.0</v>
      </c>
      <c r="BJ46" s="13">
        <v>0.0</v>
      </c>
      <c r="BK46" s="13">
        <v>0.0</v>
      </c>
      <c r="BL46" s="13">
        <v>0.0</v>
      </c>
      <c r="BM46" s="13">
        <v>0.0</v>
      </c>
      <c r="BN46" s="13">
        <v>0.0</v>
      </c>
      <c r="BO46" s="13">
        <v>0.0</v>
      </c>
      <c r="BP46" s="13">
        <v>0.0</v>
      </c>
      <c r="BQ46" s="13">
        <v>0.0</v>
      </c>
      <c r="BR46" s="13">
        <v>0.0</v>
      </c>
      <c r="BS46" s="13">
        <v>0.0</v>
      </c>
      <c r="BT46" s="13">
        <v>0.0</v>
      </c>
      <c r="BU46" s="13">
        <v>0.0</v>
      </c>
      <c r="BV46" s="13">
        <v>0.0</v>
      </c>
      <c r="BW46" s="13">
        <v>0.0</v>
      </c>
      <c r="BX46" s="13">
        <v>0.0</v>
      </c>
      <c r="BY46" s="13">
        <v>0.0</v>
      </c>
      <c r="BZ46" s="13">
        <v>0.0</v>
      </c>
      <c r="CA46" s="13">
        <v>0.0</v>
      </c>
      <c r="CB46" s="13">
        <v>0.0</v>
      </c>
      <c r="CC46" s="13">
        <v>0.0</v>
      </c>
      <c r="CD46" s="13">
        <v>0.0</v>
      </c>
      <c r="CE46" s="13">
        <v>0.0</v>
      </c>
      <c r="CF46" s="13">
        <v>0.0</v>
      </c>
      <c r="CG46" s="13">
        <v>0.0</v>
      </c>
      <c r="CH46" s="13">
        <v>0.0</v>
      </c>
      <c r="CI46" s="13">
        <v>0.0</v>
      </c>
      <c r="CJ46" s="13">
        <v>0.0</v>
      </c>
      <c r="CK46" s="13">
        <v>0.0</v>
      </c>
      <c r="CL46" s="13">
        <v>0.0</v>
      </c>
      <c r="CM46" s="13">
        <v>0.0</v>
      </c>
      <c r="CN46" s="13">
        <v>0.0</v>
      </c>
      <c r="CO46" s="13">
        <v>0.0</v>
      </c>
      <c r="CP46" s="13">
        <v>0.0</v>
      </c>
      <c r="CQ46" s="13">
        <v>0.0</v>
      </c>
      <c r="CR46" s="13">
        <v>0.0</v>
      </c>
      <c r="CS46" s="13">
        <v>0.0</v>
      </c>
      <c r="CT46" s="13">
        <v>0.0</v>
      </c>
      <c r="CU46" s="13">
        <v>0.0</v>
      </c>
      <c r="CV46" s="13">
        <v>0.0</v>
      </c>
      <c r="CW46" s="13">
        <v>0.0</v>
      </c>
      <c r="CX46" s="13">
        <v>0.0</v>
      </c>
      <c r="CY46" s="13">
        <v>0.0</v>
      </c>
      <c r="CZ46" s="13">
        <v>0.0</v>
      </c>
      <c r="DA46" s="13">
        <v>0.0</v>
      </c>
      <c r="DB46" s="13">
        <v>0.0</v>
      </c>
      <c r="DC46" s="13">
        <v>0.0</v>
      </c>
      <c r="DD46" s="13">
        <v>0.0</v>
      </c>
      <c r="DE46" s="13">
        <v>0.0</v>
      </c>
      <c r="DF46" s="13">
        <v>0.0</v>
      </c>
      <c r="DG46" s="13">
        <v>0.0</v>
      </c>
      <c r="DH46" s="13">
        <v>0.0</v>
      </c>
      <c r="DI46" s="13">
        <v>0.0</v>
      </c>
      <c r="DJ46" s="13">
        <v>0.0</v>
      </c>
      <c r="DK46" s="13">
        <v>0.0</v>
      </c>
      <c r="DL46" s="13">
        <v>0.0</v>
      </c>
      <c r="DM46" s="13">
        <v>0.0</v>
      </c>
      <c r="DN46" s="13">
        <v>0.0</v>
      </c>
      <c r="DO46" s="13">
        <v>0.0</v>
      </c>
      <c r="DP46" s="13">
        <v>0.0</v>
      </c>
      <c r="DQ46" s="13">
        <v>0.0</v>
      </c>
      <c r="DR46" s="13">
        <v>0.0</v>
      </c>
      <c r="DS46" s="13">
        <v>0.0</v>
      </c>
      <c r="DT46" s="13"/>
      <c r="DU46" s="13">
        <v>0.0</v>
      </c>
      <c r="DV46" s="13">
        <v>0.0</v>
      </c>
      <c r="DW46" s="13">
        <v>0.0</v>
      </c>
      <c r="DX46" s="13"/>
      <c r="DY46" s="13">
        <v>0.0</v>
      </c>
      <c r="DZ46" s="13">
        <v>0.0</v>
      </c>
      <c r="EA46" s="13">
        <v>0.0</v>
      </c>
      <c r="EB46" s="13">
        <v>0.0</v>
      </c>
      <c r="EC46" s="13">
        <v>0.0</v>
      </c>
      <c r="ED46" s="13">
        <v>0.0</v>
      </c>
      <c r="EE46" s="13">
        <v>0.0</v>
      </c>
      <c r="EF46" s="13">
        <v>0.0</v>
      </c>
      <c r="EG46" s="13">
        <v>0.0</v>
      </c>
      <c r="EH46" s="13">
        <v>0.0</v>
      </c>
      <c r="EI46" s="13">
        <v>0.0</v>
      </c>
      <c r="EJ46" s="13">
        <v>0.0</v>
      </c>
    </row>
    <row r="47" ht="15.75" customHeight="1">
      <c r="A47" s="9" t="s">
        <v>205</v>
      </c>
      <c r="B47" s="13"/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/>
      <c r="I47" s="16" t="str">
        <f>iferror(vlookup(A47,'Inst Lending numbers'!A:D,4,false)," ")</f>
        <v> </v>
      </c>
      <c r="J47" s="13"/>
      <c r="K47" s="13"/>
      <c r="L47" s="13"/>
      <c r="M47" s="13"/>
      <c r="N47" s="13"/>
      <c r="O47" s="13">
        <f t="shared" si="11"/>
        <v>0.03932233526</v>
      </c>
      <c r="P47" s="13">
        <f t="shared" si="2"/>
        <v>0</v>
      </c>
      <c r="Q47" s="13"/>
      <c r="R47" s="13"/>
      <c r="S47" s="13"/>
      <c r="T47" s="13"/>
      <c r="U47" s="13"/>
      <c r="V47" s="13"/>
      <c r="W47" s="13"/>
      <c r="X47" s="13"/>
      <c r="Y47" s="13">
        <f t="shared" si="3"/>
        <v>0</v>
      </c>
      <c r="Z47" s="13"/>
      <c r="AA47" s="13">
        <v>0.0</v>
      </c>
      <c r="AB47" s="13">
        <f t="shared" si="10"/>
        <v>0.1957867833</v>
      </c>
      <c r="AC47" s="13"/>
      <c r="AD47" s="13"/>
      <c r="AE47" s="13">
        <f>iferror(sumif('Weekly Rates'!D:D,A47,'Weekly Rates'!F:F)/countif('Weekly Rates'!D:D,A47),0)</f>
        <v>0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 t="str">
        <f>iferror(VLOOKUP($A47,EAM!A$2:E$14,2,FALSE))</f>
        <v/>
      </c>
      <c r="AT47" s="13"/>
      <c r="AU47" s="13">
        <f>sumif('Weekly Rates'!A:A,A47,'Weekly Rates'!B:B)</f>
        <v>0</v>
      </c>
      <c r="AV47" s="13">
        <v>0.0</v>
      </c>
      <c r="AW47" s="13">
        <v>0.0</v>
      </c>
      <c r="AX47" s="13">
        <v>0.0</v>
      </c>
      <c r="AY47" s="13">
        <v>0.0</v>
      </c>
      <c r="AZ47" s="13">
        <v>0.0</v>
      </c>
      <c r="BA47" s="13">
        <v>0.0</v>
      </c>
      <c r="BB47" s="13">
        <v>0.0</v>
      </c>
      <c r="BC47" s="13">
        <v>0.0</v>
      </c>
      <c r="BD47" s="13">
        <v>0.0</v>
      </c>
      <c r="BE47" s="13">
        <v>0.0</v>
      </c>
      <c r="BF47" s="13">
        <v>0.0</v>
      </c>
      <c r="BG47" s="13">
        <v>0.0</v>
      </c>
      <c r="BH47" s="13">
        <v>0.0</v>
      </c>
      <c r="BI47" s="13">
        <v>0.0</v>
      </c>
      <c r="BJ47" s="13">
        <v>0.0</v>
      </c>
      <c r="BK47" s="13">
        <v>0.0</v>
      </c>
      <c r="BL47" s="13">
        <v>0.0</v>
      </c>
      <c r="BM47" s="13">
        <v>0.0</v>
      </c>
      <c r="BN47" s="13">
        <v>0.0</v>
      </c>
      <c r="BO47" s="13">
        <v>0.0</v>
      </c>
      <c r="BP47" s="13">
        <v>0.0</v>
      </c>
      <c r="BQ47" s="13">
        <v>0.0</v>
      </c>
      <c r="BR47" s="13">
        <v>0.0</v>
      </c>
      <c r="BS47" s="13">
        <v>0.0</v>
      </c>
      <c r="BT47" s="13">
        <v>0.0</v>
      </c>
      <c r="BU47" s="13">
        <v>0.0</v>
      </c>
      <c r="BV47" s="13">
        <v>0.0</v>
      </c>
      <c r="BW47" s="13">
        <v>0.0</v>
      </c>
      <c r="BX47" s="13">
        <v>0.0</v>
      </c>
      <c r="BY47" s="13">
        <v>0.0</v>
      </c>
      <c r="BZ47" s="13">
        <v>0.0</v>
      </c>
      <c r="CA47" s="13">
        <v>0.0</v>
      </c>
      <c r="CB47" s="13">
        <v>0.0</v>
      </c>
      <c r="CC47" s="13">
        <v>0.0</v>
      </c>
      <c r="CD47" s="13">
        <v>0.0</v>
      </c>
      <c r="CE47" s="13">
        <v>0.0</v>
      </c>
      <c r="CF47" s="13">
        <v>0.0</v>
      </c>
      <c r="CG47" s="13">
        <v>0.0</v>
      </c>
      <c r="CH47" s="13">
        <v>0.0</v>
      </c>
      <c r="CI47" s="13">
        <v>0.0</v>
      </c>
      <c r="CJ47" s="13">
        <v>0.0</v>
      </c>
      <c r="CK47" s="13">
        <v>0.0</v>
      </c>
      <c r="CL47" s="13">
        <v>0.0</v>
      </c>
      <c r="CM47" s="13">
        <v>0.0</v>
      </c>
      <c r="CN47" s="13">
        <v>0.0</v>
      </c>
      <c r="CO47" s="13">
        <v>0.0</v>
      </c>
      <c r="CP47" s="13">
        <v>0.0</v>
      </c>
      <c r="CQ47" s="13">
        <v>0.0</v>
      </c>
      <c r="CR47" s="13">
        <v>0.0</v>
      </c>
      <c r="CS47" s="13">
        <v>0.0</v>
      </c>
      <c r="CT47" s="13">
        <v>0.0</v>
      </c>
      <c r="CU47" s="13">
        <v>0.0</v>
      </c>
      <c r="CV47" s="13">
        <v>0.0</v>
      </c>
      <c r="CW47" s="13">
        <v>0.0</v>
      </c>
      <c r="CX47" s="13">
        <v>0.0</v>
      </c>
      <c r="CY47" s="13">
        <v>0.0</v>
      </c>
      <c r="CZ47" s="13">
        <v>0.0</v>
      </c>
      <c r="DA47" s="13">
        <v>0.0</v>
      </c>
      <c r="DB47" s="13">
        <v>0.0</v>
      </c>
      <c r="DC47" s="13">
        <v>0.0</v>
      </c>
      <c r="DD47" s="13">
        <v>0.0</v>
      </c>
      <c r="DE47" s="13">
        <v>0.0</v>
      </c>
      <c r="DF47" s="13">
        <v>0.0</v>
      </c>
      <c r="DG47" s="13">
        <v>0.0</v>
      </c>
      <c r="DH47" s="13">
        <v>0.0</v>
      </c>
      <c r="DI47" s="13">
        <v>0.0</v>
      </c>
      <c r="DJ47" s="13">
        <v>0.0</v>
      </c>
      <c r="DK47" s="13">
        <v>0.0</v>
      </c>
      <c r="DL47" s="13">
        <v>0.0</v>
      </c>
      <c r="DM47" s="13">
        <v>0.0</v>
      </c>
      <c r="DN47" s="13">
        <v>0.0</v>
      </c>
      <c r="DO47" s="13">
        <v>0.0</v>
      </c>
      <c r="DP47" s="13">
        <v>0.0</v>
      </c>
      <c r="DQ47" s="13">
        <v>0.0</v>
      </c>
      <c r="DR47" s="13">
        <v>0.0</v>
      </c>
      <c r="DS47" s="13">
        <v>0.0</v>
      </c>
      <c r="DT47" s="13"/>
      <c r="DU47" s="13">
        <v>0.0</v>
      </c>
      <c r="DV47" s="13">
        <v>0.0</v>
      </c>
      <c r="DW47" s="13">
        <v>0.0</v>
      </c>
      <c r="DX47" s="13"/>
      <c r="DY47" s="13">
        <v>0.0</v>
      </c>
      <c r="DZ47" s="13">
        <v>0.0</v>
      </c>
      <c r="EA47" s="13">
        <v>0.0</v>
      </c>
      <c r="EB47" s="13">
        <v>0.0</v>
      </c>
      <c r="EC47" s="13">
        <v>0.0</v>
      </c>
      <c r="ED47" s="13">
        <v>0.0</v>
      </c>
      <c r="EE47" s="13">
        <v>0.0</v>
      </c>
      <c r="EF47" s="13">
        <v>0.0</v>
      </c>
      <c r="EG47" s="13">
        <v>0.0</v>
      </c>
      <c r="EH47" s="13">
        <v>0.0</v>
      </c>
      <c r="EI47" s="13">
        <v>0.0</v>
      </c>
      <c r="EJ47" s="13">
        <v>0.0</v>
      </c>
    </row>
    <row r="48" ht="15.75" customHeight="1">
      <c r="A48" s="9" t="s">
        <v>206</v>
      </c>
      <c r="B48" s="13"/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/>
      <c r="I48" s="16">
        <f>iferror(vlookup(A48,'Inst Lending numbers'!A:D,4,false)," ")</f>
        <v>0.0541</v>
      </c>
      <c r="J48" s="13">
        <v>0.0</v>
      </c>
      <c r="K48" s="13"/>
      <c r="L48" s="13"/>
      <c r="M48" s="13"/>
      <c r="N48" s="13"/>
      <c r="O48" s="13">
        <f t="shared" si="11"/>
        <v>0.03932233526</v>
      </c>
      <c r="P48" s="13">
        <f t="shared" si="2"/>
        <v>0</v>
      </c>
      <c r="Q48" s="13"/>
      <c r="R48" s="13"/>
      <c r="S48" s="13"/>
      <c r="T48" s="13"/>
      <c r="U48" s="13"/>
      <c r="V48" s="13"/>
      <c r="W48" s="13"/>
      <c r="X48" s="13"/>
      <c r="Y48" s="13">
        <f t="shared" si="3"/>
        <v>0</v>
      </c>
      <c r="Z48" s="13"/>
      <c r="AA48" s="13">
        <v>0.0</v>
      </c>
      <c r="AB48" s="13">
        <f t="shared" si="10"/>
        <v>0.1957867833</v>
      </c>
      <c r="AC48" s="13"/>
      <c r="AD48" s="13"/>
      <c r="AE48" s="13">
        <f>iferror(sumif('Weekly Rates'!D:D,A48,'Weekly Rates'!F:F)/countif('Weekly Rates'!D:D,A48),0)</f>
        <v>0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>
        <f>iferror(VLOOKUP($A48,EAM!A$2:E$14,2,FALSE))</f>
        <v>0.09771019212</v>
      </c>
      <c r="AT48" s="13"/>
      <c r="AU48" s="13">
        <f>sumif('Weekly Rates'!A:A,A48,'Weekly Rates'!B:B)</f>
        <v>0.0555</v>
      </c>
      <c r="AV48" s="13">
        <v>0.0</v>
      </c>
      <c r="AW48" s="13">
        <v>0.0</v>
      </c>
      <c r="AX48" s="13">
        <v>0.0</v>
      </c>
      <c r="AY48" s="13">
        <v>0.0</v>
      </c>
      <c r="AZ48" s="13">
        <v>0.0</v>
      </c>
      <c r="BA48" s="13">
        <v>0.0</v>
      </c>
      <c r="BB48" s="13">
        <v>0.0</v>
      </c>
      <c r="BC48" s="13">
        <v>0.0143</v>
      </c>
      <c r="BD48" s="13">
        <v>0.0216</v>
      </c>
      <c r="BE48" s="13">
        <v>0.0</v>
      </c>
      <c r="BF48" s="13">
        <v>0.0</v>
      </c>
      <c r="BG48" s="13">
        <v>0.0</v>
      </c>
      <c r="BH48" s="13">
        <f t="array" ref="BH48">iferror(INDEX('Import from defimon'!$1:$100,MATCH(BH$1,'Import from defimon'!$A:$A,0),MATCH($A48,'Import from defimon'!$1:$1,0)))</f>
        <v>0.002</v>
      </c>
      <c r="BI48" s="13">
        <v>0.0013</v>
      </c>
      <c r="BJ48" s="13">
        <f t="array" ref="BJ48">iferror(INDEX('Import from defimon'!$1:$100,MATCH(BJ$1,'Import from defimon'!$A:$A,0),MATCH($A48,'Import from defimon'!$1:$1,0)))</f>
        <v>0.1287</v>
      </c>
      <c r="BK48" s="13">
        <v>0.0</v>
      </c>
      <c r="BL48" s="13">
        <v>0.0</v>
      </c>
      <c r="BM48" s="13">
        <v>0.0</v>
      </c>
      <c r="BN48" s="13">
        <v>0.0</v>
      </c>
      <c r="BO48" s="13">
        <v>0.08</v>
      </c>
      <c r="BP48" s="13">
        <v>0.0</v>
      </c>
      <c r="BQ48" s="13">
        <v>0.0</v>
      </c>
      <c r="BR48" s="13">
        <v>0.0</v>
      </c>
      <c r="BS48" s="13">
        <v>0.0</v>
      </c>
      <c r="BT48" s="13">
        <v>0.0</v>
      </c>
      <c r="BU48" s="13">
        <v>0.0</v>
      </c>
      <c r="BV48" s="13">
        <v>0.0</v>
      </c>
      <c r="BW48" s="13">
        <v>0.0</v>
      </c>
      <c r="BX48" s="13">
        <v>0.0</v>
      </c>
      <c r="BY48" s="13">
        <v>0.0</v>
      </c>
      <c r="BZ48" s="13">
        <v>0.0</v>
      </c>
      <c r="CA48" s="13">
        <v>0.0</v>
      </c>
      <c r="CB48" s="13">
        <v>0.0</v>
      </c>
      <c r="CC48" s="13">
        <v>0.0</v>
      </c>
      <c r="CD48" s="13">
        <v>0.0</v>
      </c>
      <c r="CE48" s="13">
        <v>0.0</v>
      </c>
      <c r="CF48" s="13">
        <v>0.0</v>
      </c>
      <c r="CG48" s="13">
        <v>0.0</v>
      </c>
      <c r="CH48" s="13">
        <v>0.0</v>
      </c>
      <c r="CI48" s="13">
        <v>0.0</v>
      </c>
      <c r="CJ48" s="13">
        <v>0.0</v>
      </c>
      <c r="CK48" s="13">
        <v>0.0</v>
      </c>
      <c r="CL48" s="13">
        <f>IFERROR(__xludf.DUMMYFUNCTION("importrange(""https://docs.google.com/spreadsheets/d/1sEJbnmLMGxlqg2Slrotvc3YAgqP9DQwYm8VpUh_GslY/edit#gid=0"",""Sheet1!C24"")"),0.008)</f>
        <v>0.008</v>
      </c>
      <c r="CM48" s="13">
        <v>0.0</v>
      </c>
      <c r="CN48" s="13">
        <v>0.0</v>
      </c>
      <c r="CO48" s="13">
        <v>0.0</v>
      </c>
      <c r="CP48" s="13">
        <v>0.0</v>
      </c>
      <c r="CQ48" s="13">
        <v>0.0</v>
      </c>
      <c r="CR48" s="13">
        <v>0.0</v>
      </c>
      <c r="CS48" s="13">
        <v>0.0</v>
      </c>
      <c r="CT48" s="13">
        <v>0.0</v>
      </c>
      <c r="CU48" s="13">
        <v>0.0</v>
      </c>
      <c r="CV48" s="13">
        <v>0.0</v>
      </c>
      <c r="CW48" s="13">
        <v>0.0</v>
      </c>
      <c r="CX48" s="13">
        <v>0.0</v>
      </c>
      <c r="CY48" s="13">
        <v>0.0</v>
      </c>
      <c r="CZ48" s="13">
        <v>0.0</v>
      </c>
      <c r="DA48" s="13">
        <f>IFERROR(__xludf.DUMMYFUNCTION("importrange(""https://docs.google.com/spreadsheets/d/1sEJbnmLMGxlqg2Slrotvc3YAgqP9DQwYm8VpUh_GslY/edit#gid=0"",""Sheet1!C33"")"),0.0332)</f>
        <v>0.0332</v>
      </c>
      <c r="DB48" s="13">
        <v>0.0</v>
      </c>
      <c r="DC48" s="13">
        <v>0.0</v>
      </c>
      <c r="DD48" s="13">
        <v>0.0</v>
      </c>
      <c r="DE48" s="13">
        <v>0.0</v>
      </c>
      <c r="DF48" s="13">
        <v>0.0</v>
      </c>
      <c r="DG48" s="13">
        <v>0.0</v>
      </c>
      <c r="DH48" s="13">
        <v>0.0</v>
      </c>
      <c r="DI48" s="13">
        <v>0.0</v>
      </c>
      <c r="DJ48" s="13">
        <v>0.0</v>
      </c>
      <c r="DK48" s="13">
        <v>0.0</v>
      </c>
      <c r="DL48" s="13">
        <v>0.0</v>
      </c>
      <c r="DM48" s="13">
        <v>0.0</v>
      </c>
      <c r="DN48" s="12">
        <v>0.0735</v>
      </c>
      <c r="DO48" s="13">
        <v>0.0</v>
      </c>
      <c r="DP48" s="13">
        <v>0.0</v>
      </c>
      <c r="DQ48" s="13">
        <v>0.0</v>
      </c>
      <c r="DR48" s="13">
        <v>0.08</v>
      </c>
      <c r="DS48" s="13">
        <v>0.0</v>
      </c>
      <c r="DT48" s="13"/>
      <c r="DU48" s="13">
        <v>0.0</v>
      </c>
      <c r="DV48" s="13">
        <v>0.0</v>
      </c>
      <c r="DW48" s="13">
        <v>0.0</v>
      </c>
      <c r="DX48" s="13"/>
      <c r="DY48" s="13">
        <v>0.0</v>
      </c>
      <c r="DZ48" s="13">
        <v>0.0</v>
      </c>
      <c r="EA48" s="13">
        <v>0.0</v>
      </c>
      <c r="EB48" s="13">
        <v>0.0</v>
      </c>
      <c r="EC48" s="13">
        <v>0.0</v>
      </c>
      <c r="ED48" s="13">
        <v>0.03</v>
      </c>
      <c r="EE48" s="13">
        <v>0.0</v>
      </c>
      <c r="EF48" s="13">
        <v>0.0</v>
      </c>
      <c r="EG48" s="13">
        <v>0.0</v>
      </c>
      <c r="EH48" s="13">
        <v>0.0</v>
      </c>
      <c r="EI48" s="13">
        <v>0.0</v>
      </c>
      <c r="EJ48" s="13">
        <v>0.0</v>
      </c>
    </row>
    <row r="49" ht="15.75" customHeight="1">
      <c r="A49" s="9" t="s">
        <v>207</v>
      </c>
      <c r="B49" s="13"/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/>
      <c r="I49" s="16" t="str">
        <f>iferror(vlookup(A49,'Inst Lending numbers'!A:D,4,false)," ")</f>
        <v> </v>
      </c>
      <c r="J49" s="13"/>
      <c r="K49" s="13"/>
      <c r="L49" s="13"/>
      <c r="M49" s="13"/>
      <c r="N49" s="13"/>
      <c r="O49" s="13">
        <f t="shared" si="11"/>
        <v>0.03932233526</v>
      </c>
      <c r="P49" s="13">
        <f t="shared" si="2"/>
        <v>0</v>
      </c>
      <c r="Q49" s="13"/>
      <c r="R49" s="13"/>
      <c r="S49" s="13"/>
      <c r="T49" s="13"/>
      <c r="U49" s="13"/>
      <c r="V49" s="13"/>
      <c r="W49" s="13"/>
      <c r="X49" s="13"/>
      <c r="Y49" s="13">
        <f t="shared" si="3"/>
        <v>0</v>
      </c>
      <c r="Z49" s="13"/>
      <c r="AA49" s="13">
        <v>0.0</v>
      </c>
      <c r="AB49" s="13">
        <f t="shared" si="10"/>
        <v>0.1957867833</v>
      </c>
      <c r="AC49" s="13"/>
      <c r="AD49" s="13"/>
      <c r="AE49" s="13">
        <f>iferror(sumif('Weekly Rates'!D:D,A49,'Weekly Rates'!F:F)/countif('Weekly Rates'!D:D,A49),0)</f>
        <v>0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 t="str">
        <f>iferror(VLOOKUP($A49,EAM!A$2:E$14,2,FALSE))</f>
        <v/>
      </c>
      <c r="AT49" s="13"/>
      <c r="AU49" s="13">
        <f>sumif('Weekly Rates'!A:A,A49,'Weekly Rates'!B:B)</f>
        <v>0</v>
      </c>
      <c r="AV49" s="13">
        <v>0.0</v>
      </c>
      <c r="AW49" s="13">
        <v>0.0</v>
      </c>
      <c r="AX49" s="13">
        <v>0.0</v>
      </c>
      <c r="AY49" s="13">
        <v>0.0</v>
      </c>
      <c r="AZ49" s="13">
        <v>0.0</v>
      </c>
      <c r="BA49" s="13">
        <v>0.0</v>
      </c>
      <c r="BB49" s="13">
        <v>0.0</v>
      </c>
      <c r="BC49" s="13">
        <v>0.0</v>
      </c>
      <c r="BD49" s="13">
        <v>0.0</v>
      </c>
      <c r="BE49" s="13">
        <v>0.0</v>
      </c>
      <c r="BF49" s="13">
        <v>0.0</v>
      </c>
      <c r="BG49" s="13">
        <v>0.0</v>
      </c>
      <c r="BH49" s="13">
        <v>0.0</v>
      </c>
      <c r="BI49" s="13">
        <v>0.0</v>
      </c>
      <c r="BJ49" s="13">
        <v>0.0</v>
      </c>
      <c r="BK49" s="13">
        <v>0.0</v>
      </c>
      <c r="BL49" s="13">
        <v>0.0</v>
      </c>
      <c r="BM49" s="13">
        <v>0.0</v>
      </c>
      <c r="BN49" s="13">
        <v>0.0</v>
      </c>
      <c r="BO49" s="13">
        <v>0.0</v>
      </c>
      <c r="BP49" s="13">
        <v>0.0</v>
      </c>
      <c r="BQ49" s="13">
        <v>0.0</v>
      </c>
      <c r="BR49" s="13">
        <v>0.0</v>
      </c>
      <c r="BS49" s="13">
        <v>0.0</v>
      </c>
      <c r="BT49" s="13">
        <v>0.0</v>
      </c>
      <c r="BU49" s="13">
        <v>0.0</v>
      </c>
      <c r="BV49" s="13">
        <v>0.0</v>
      </c>
      <c r="BW49" s="13">
        <v>0.0</v>
      </c>
      <c r="BX49" s="13">
        <v>0.0</v>
      </c>
      <c r="BY49" s="13">
        <v>0.0</v>
      </c>
      <c r="BZ49" s="13">
        <v>0.0</v>
      </c>
      <c r="CA49" s="13">
        <v>0.0</v>
      </c>
      <c r="CB49" s="13">
        <v>0.0</v>
      </c>
      <c r="CC49" s="13">
        <v>0.0</v>
      </c>
      <c r="CD49" s="13">
        <v>0.0</v>
      </c>
      <c r="CE49" s="13">
        <v>0.0</v>
      </c>
      <c r="CF49" s="13">
        <v>0.0</v>
      </c>
      <c r="CG49" s="13">
        <v>0.0</v>
      </c>
      <c r="CH49" s="13">
        <v>0.0</v>
      </c>
      <c r="CI49" s="13">
        <v>0.0</v>
      </c>
      <c r="CJ49" s="13">
        <v>0.0</v>
      </c>
      <c r="CK49" s="13">
        <v>0.0</v>
      </c>
      <c r="CL49" s="13">
        <v>0.0</v>
      </c>
      <c r="CM49" s="13">
        <v>0.0</v>
      </c>
      <c r="CN49" s="13">
        <v>0.0</v>
      </c>
      <c r="CO49" s="13">
        <v>0.0</v>
      </c>
      <c r="CP49" s="13">
        <v>0.0</v>
      </c>
      <c r="CQ49" s="13">
        <v>0.0</v>
      </c>
      <c r="CR49" s="13">
        <v>0.0</v>
      </c>
      <c r="CS49" s="13">
        <v>0.0</v>
      </c>
      <c r="CT49" s="13">
        <v>0.0</v>
      </c>
      <c r="CU49" s="13">
        <v>0.0</v>
      </c>
      <c r="CV49" s="13">
        <v>0.0</v>
      </c>
      <c r="CW49" s="13">
        <v>0.0</v>
      </c>
      <c r="CX49" s="13">
        <v>0.0</v>
      </c>
      <c r="CY49" s="13">
        <v>0.0</v>
      </c>
      <c r="CZ49" s="13">
        <v>0.0</v>
      </c>
      <c r="DA49" s="13">
        <v>0.0</v>
      </c>
      <c r="DB49" s="13">
        <v>0.0</v>
      </c>
      <c r="DC49" s="13">
        <v>0.0</v>
      </c>
      <c r="DD49" s="13">
        <v>0.0</v>
      </c>
      <c r="DE49" s="13">
        <v>0.0</v>
      </c>
      <c r="DF49" s="13">
        <v>0.0</v>
      </c>
      <c r="DG49" s="13">
        <v>0.0</v>
      </c>
      <c r="DH49" s="13">
        <v>0.0</v>
      </c>
      <c r="DI49" s="13">
        <v>0.0</v>
      </c>
      <c r="DJ49" s="13">
        <v>0.0</v>
      </c>
      <c r="DK49" s="13">
        <v>0.0</v>
      </c>
      <c r="DL49" s="13">
        <v>0.0</v>
      </c>
      <c r="DM49" s="13">
        <v>0.0</v>
      </c>
      <c r="DN49" s="13">
        <v>0.0</v>
      </c>
      <c r="DO49" s="13">
        <v>0.0</v>
      </c>
      <c r="DP49" s="13">
        <v>0.0</v>
      </c>
      <c r="DQ49" s="13">
        <v>0.0</v>
      </c>
      <c r="DR49" s="13">
        <v>0.0</v>
      </c>
      <c r="DS49" s="13">
        <v>0.0</v>
      </c>
      <c r="DT49" s="13"/>
      <c r="DU49" s="13">
        <v>0.0</v>
      </c>
      <c r="DV49" s="13">
        <v>0.0</v>
      </c>
      <c r="DW49" s="13">
        <v>0.0</v>
      </c>
      <c r="DX49" s="13"/>
      <c r="DY49" s="13">
        <v>0.0</v>
      </c>
      <c r="DZ49" s="13">
        <v>0.0</v>
      </c>
      <c r="EA49" s="13">
        <v>0.0</v>
      </c>
      <c r="EB49" s="13">
        <v>0.0</v>
      </c>
      <c r="EC49" s="13">
        <v>0.0</v>
      </c>
      <c r="ED49" s="13">
        <v>0.0</v>
      </c>
      <c r="EE49" s="13">
        <v>0.0</v>
      </c>
      <c r="EF49" s="13">
        <v>0.0</v>
      </c>
      <c r="EG49" s="13">
        <v>0.0</v>
      </c>
      <c r="EH49" s="13">
        <v>0.0</v>
      </c>
      <c r="EI49" s="13">
        <v>0.0</v>
      </c>
      <c r="EJ49" s="13">
        <v>0.0</v>
      </c>
    </row>
    <row r="50" ht="15.75" customHeight="1">
      <c r="A50" s="9" t="s">
        <v>208</v>
      </c>
      <c r="B50" s="13"/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/>
      <c r="I50" s="16" t="str">
        <f>iferror(vlookup(A50,'Inst Lending numbers'!A:D,4,false)," ")</f>
        <v> </v>
      </c>
      <c r="J50" s="13"/>
      <c r="K50" s="13"/>
      <c r="L50" s="13"/>
      <c r="M50" s="13"/>
      <c r="N50" s="13"/>
      <c r="O50" s="13">
        <f t="shared" si="11"/>
        <v>0.03932233526</v>
      </c>
      <c r="P50" s="13">
        <f t="shared" si="2"/>
        <v>0</v>
      </c>
      <c r="Q50" s="13"/>
      <c r="R50" s="13"/>
      <c r="S50" s="13"/>
      <c r="T50" s="13"/>
      <c r="U50" s="13"/>
      <c r="V50" s="13"/>
      <c r="W50" s="13"/>
      <c r="X50" s="13"/>
      <c r="Y50" s="13">
        <f t="shared" si="3"/>
        <v>0</v>
      </c>
      <c r="Z50" s="13"/>
      <c r="AA50" s="13">
        <v>0.0</v>
      </c>
      <c r="AB50" s="13">
        <f t="shared" si="10"/>
        <v>0.1957867833</v>
      </c>
      <c r="AC50" s="13"/>
      <c r="AD50" s="13"/>
      <c r="AE50" s="13">
        <f>iferror(sumif('Weekly Rates'!D:D,A50,'Weekly Rates'!F:F)/countif('Weekly Rates'!D:D,A50),0)</f>
        <v>0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 t="str">
        <f>iferror(VLOOKUP($A50,EAM!A$2:E$14,2,FALSE))</f>
        <v/>
      </c>
      <c r="AT50" s="13"/>
      <c r="AU50" s="13">
        <f>sumif('Weekly Rates'!A:A,A50,'Weekly Rates'!B:B)</f>
        <v>0</v>
      </c>
      <c r="AV50" s="13">
        <v>0.0</v>
      </c>
      <c r="AW50" s="13">
        <v>0.0</v>
      </c>
      <c r="AX50" s="13">
        <v>0.0</v>
      </c>
      <c r="AY50" s="13">
        <v>0.0</v>
      </c>
      <c r="AZ50" s="13">
        <v>0.0</v>
      </c>
      <c r="BA50" s="13">
        <v>0.0</v>
      </c>
      <c r="BB50" s="13">
        <v>0.0</v>
      </c>
      <c r="BC50" s="13">
        <v>0.0</v>
      </c>
      <c r="BD50" s="13">
        <v>0.0</v>
      </c>
      <c r="BE50" s="13">
        <v>0.0</v>
      </c>
      <c r="BF50" s="13">
        <v>0.0</v>
      </c>
      <c r="BG50" s="13">
        <v>0.0</v>
      </c>
      <c r="BH50" s="13">
        <v>0.0</v>
      </c>
      <c r="BI50" s="13">
        <v>0.0</v>
      </c>
      <c r="BJ50" s="13">
        <v>0.0</v>
      </c>
      <c r="BK50" s="13">
        <v>0.0</v>
      </c>
      <c r="BL50" s="13">
        <v>0.0</v>
      </c>
      <c r="BM50" s="13">
        <v>0.0</v>
      </c>
      <c r="BN50" s="13">
        <v>0.0</v>
      </c>
      <c r="BO50" s="13">
        <v>0.0</v>
      </c>
      <c r="BP50" s="13">
        <v>0.0</v>
      </c>
      <c r="BQ50" s="13">
        <v>0.0</v>
      </c>
      <c r="BR50" s="13">
        <v>0.0</v>
      </c>
      <c r="BS50" s="13">
        <v>0.0</v>
      </c>
      <c r="BT50" s="13">
        <v>0.0</v>
      </c>
      <c r="BU50" s="13">
        <v>0.0</v>
      </c>
      <c r="BV50" s="13">
        <v>0.0</v>
      </c>
      <c r="BW50" s="13">
        <v>0.0</v>
      </c>
      <c r="BX50" s="13">
        <v>0.0</v>
      </c>
      <c r="BY50" s="13">
        <v>0.0</v>
      </c>
      <c r="BZ50" s="13">
        <v>0.0</v>
      </c>
      <c r="CA50" s="13">
        <v>0.0</v>
      </c>
      <c r="CB50" s="13">
        <v>0.0</v>
      </c>
      <c r="CC50" s="13">
        <v>0.0</v>
      </c>
      <c r="CD50" s="13">
        <v>0.0</v>
      </c>
      <c r="CE50" s="13">
        <v>0.0</v>
      </c>
      <c r="CF50" s="13">
        <v>0.0</v>
      </c>
      <c r="CG50" s="13">
        <v>0.0</v>
      </c>
      <c r="CH50" s="13">
        <v>0.0</v>
      </c>
      <c r="CI50" s="13">
        <v>0.0</v>
      </c>
      <c r="CJ50" s="13">
        <v>0.0</v>
      </c>
      <c r="CK50" s="13">
        <v>0.0</v>
      </c>
      <c r="CL50" s="13">
        <v>0.0</v>
      </c>
      <c r="CM50" s="13">
        <v>0.0</v>
      </c>
      <c r="CN50" s="13">
        <v>0.0</v>
      </c>
      <c r="CO50" s="13">
        <v>0.0</v>
      </c>
      <c r="CP50" s="13">
        <v>0.0</v>
      </c>
      <c r="CQ50" s="13">
        <v>0.0</v>
      </c>
      <c r="CR50" s="13">
        <v>0.0</v>
      </c>
      <c r="CS50" s="13">
        <v>0.0</v>
      </c>
      <c r="CT50" s="13">
        <v>0.0</v>
      </c>
      <c r="CU50" s="13">
        <v>0.0</v>
      </c>
      <c r="CV50" s="13">
        <v>0.0</v>
      </c>
      <c r="CW50" s="13">
        <v>0.0</v>
      </c>
      <c r="CX50" s="13">
        <v>0.0</v>
      </c>
      <c r="CY50" s="13">
        <v>0.0</v>
      </c>
      <c r="CZ50" s="13">
        <v>0.0</v>
      </c>
      <c r="DA50" s="13">
        <v>0.0</v>
      </c>
      <c r="DB50" s="13">
        <v>0.0</v>
      </c>
      <c r="DC50" s="13">
        <v>0.0</v>
      </c>
      <c r="DD50" s="13">
        <v>0.0</v>
      </c>
      <c r="DE50" s="13">
        <v>0.0</v>
      </c>
      <c r="DF50" s="13">
        <v>0.0</v>
      </c>
      <c r="DG50" s="13">
        <v>0.0</v>
      </c>
      <c r="DH50" s="13">
        <v>0.0</v>
      </c>
      <c r="DI50" s="13">
        <v>0.0</v>
      </c>
      <c r="DJ50" s="13">
        <v>0.0</v>
      </c>
      <c r="DK50" s="13">
        <v>0.0</v>
      </c>
      <c r="DL50" s="13">
        <v>0.0</v>
      </c>
      <c r="DM50" s="13">
        <v>0.0</v>
      </c>
      <c r="DN50" s="13">
        <v>0.0</v>
      </c>
      <c r="DO50" s="13">
        <v>0.0</v>
      </c>
      <c r="DP50" s="13">
        <v>0.0</v>
      </c>
      <c r="DQ50" s="13">
        <v>0.0</v>
      </c>
      <c r="DR50" s="13">
        <v>0.0</v>
      </c>
      <c r="DS50" s="13">
        <v>0.0</v>
      </c>
      <c r="DT50" s="13"/>
      <c r="DU50" s="13">
        <v>0.0</v>
      </c>
      <c r="DV50" s="13">
        <v>0.0</v>
      </c>
      <c r="DW50" s="13">
        <v>0.0</v>
      </c>
      <c r="DX50" s="13"/>
      <c r="DY50" s="13">
        <v>0.0</v>
      </c>
      <c r="DZ50" s="13">
        <v>0.0</v>
      </c>
      <c r="EA50" s="13">
        <v>0.0</v>
      </c>
      <c r="EB50" s="13">
        <v>0.0</v>
      </c>
      <c r="EC50" s="13">
        <v>0.0</v>
      </c>
      <c r="ED50" s="13">
        <v>0.0</v>
      </c>
      <c r="EE50" s="13">
        <v>0.0</v>
      </c>
      <c r="EF50" s="13">
        <v>0.0</v>
      </c>
      <c r="EG50" s="13">
        <v>0.0</v>
      </c>
      <c r="EH50" s="13">
        <v>0.0</v>
      </c>
      <c r="EI50" s="13">
        <v>0.0</v>
      </c>
      <c r="EJ50" s="13">
        <v>0.0</v>
      </c>
    </row>
    <row r="51" ht="15.75" customHeight="1">
      <c r="A51" s="9" t="s">
        <v>209</v>
      </c>
      <c r="B51" s="13"/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/>
      <c r="I51" s="16">
        <f>iferror(vlookup(A51,'Inst Lending numbers'!A:D,4,false)," ")</f>
        <v>0.0508</v>
      </c>
      <c r="J51" s="13"/>
      <c r="K51" s="13"/>
      <c r="L51" s="13"/>
      <c r="M51" s="13">
        <v>0.0</v>
      </c>
      <c r="N51" s="13"/>
      <c r="O51" s="13">
        <f t="shared" si="11"/>
        <v>0.03932233526</v>
      </c>
      <c r="P51" s="13">
        <f t="shared" si="2"/>
        <v>0</v>
      </c>
      <c r="Q51" s="13"/>
      <c r="R51" s="13"/>
      <c r="S51" s="13"/>
      <c r="T51" s="13"/>
      <c r="U51" s="13"/>
      <c r="V51" s="13"/>
      <c r="W51" s="13"/>
      <c r="X51" s="13"/>
      <c r="Y51" s="13">
        <f t="shared" si="3"/>
        <v>0</v>
      </c>
      <c r="Z51" s="13"/>
      <c r="AA51" s="13">
        <v>0.0</v>
      </c>
      <c r="AB51" s="13">
        <f t="shared" si="10"/>
        <v>0.1957867833</v>
      </c>
      <c r="AC51" s="13"/>
      <c r="AD51" s="13"/>
      <c r="AE51" s="13">
        <f>iferror(sumif('Weekly Rates'!D:D,A51,'Weekly Rates'!F:F)/countif('Weekly Rates'!D:D,A51),0)</f>
        <v>0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 t="str">
        <f>iferror(VLOOKUP($A51,EAM!A$2:E$14,2,FALSE))</f>
        <v/>
      </c>
      <c r="AT51" s="13"/>
      <c r="AU51" s="13">
        <f>sumif('Weekly Rates'!A:A,A51,'Weekly Rates'!B:B)</f>
        <v>0</v>
      </c>
      <c r="AV51" s="13">
        <v>0.0</v>
      </c>
      <c r="AW51" s="13">
        <v>0.0</v>
      </c>
      <c r="AX51" s="13">
        <v>0.0</v>
      </c>
      <c r="AY51" s="13">
        <v>0.0</v>
      </c>
      <c r="AZ51" s="13">
        <v>0.0</v>
      </c>
      <c r="BA51" s="13">
        <v>0.0</v>
      </c>
      <c r="BB51" s="13">
        <v>0.0</v>
      </c>
      <c r="BC51" s="13">
        <v>0.0</v>
      </c>
      <c r="BD51" s="13">
        <v>0.0</v>
      </c>
      <c r="BE51" s="13">
        <v>0.0</v>
      </c>
      <c r="BF51" s="13">
        <v>0.0</v>
      </c>
      <c r="BG51" s="13">
        <v>0.0</v>
      </c>
      <c r="BH51" s="13">
        <v>0.0</v>
      </c>
      <c r="BI51" s="13">
        <v>0.0</v>
      </c>
      <c r="BJ51" s="13">
        <v>0.0</v>
      </c>
      <c r="BK51" s="13">
        <v>0.0</v>
      </c>
      <c r="BL51" s="13">
        <v>0.0</v>
      </c>
      <c r="BM51" s="13">
        <v>0.0</v>
      </c>
      <c r="BN51" s="13">
        <v>0.0</v>
      </c>
      <c r="BO51" s="13">
        <v>0.0</v>
      </c>
      <c r="BP51" s="13">
        <v>0.0</v>
      </c>
      <c r="BQ51" s="13">
        <v>0.0</v>
      </c>
      <c r="BR51" s="13">
        <v>0.0</v>
      </c>
      <c r="BS51" s="13">
        <v>0.0</v>
      </c>
      <c r="BT51" s="13">
        <v>0.0</v>
      </c>
      <c r="BU51" s="13">
        <v>0.0</v>
      </c>
      <c r="BV51" s="13">
        <v>0.0</v>
      </c>
      <c r="BW51" s="13">
        <v>0.0</v>
      </c>
      <c r="BX51" s="13">
        <v>0.0</v>
      </c>
      <c r="BY51" s="13">
        <v>0.0</v>
      </c>
      <c r="BZ51" s="13">
        <v>0.0</v>
      </c>
      <c r="CA51" s="13">
        <v>0.0</v>
      </c>
      <c r="CB51" s="13">
        <v>0.0</v>
      </c>
      <c r="CC51" s="13">
        <v>0.0</v>
      </c>
      <c r="CD51" s="13">
        <v>0.0</v>
      </c>
      <c r="CE51" s="13">
        <v>0.0</v>
      </c>
      <c r="CF51" s="13">
        <v>0.0</v>
      </c>
      <c r="CG51" s="13">
        <v>0.0</v>
      </c>
      <c r="CH51" s="13">
        <v>0.0</v>
      </c>
      <c r="CI51" s="13">
        <v>0.0</v>
      </c>
      <c r="CJ51" s="13">
        <v>0.0</v>
      </c>
      <c r="CK51" s="13">
        <v>0.0</v>
      </c>
      <c r="CL51" s="13">
        <v>0.0</v>
      </c>
      <c r="CM51" s="13">
        <v>0.0</v>
      </c>
      <c r="CN51" s="13">
        <v>0.0</v>
      </c>
      <c r="CO51" s="13">
        <v>0.0</v>
      </c>
      <c r="CP51" s="13">
        <v>0.0</v>
      </c>
      <c r="CQ51" s="13">
        <v>0.0</v>
      </c>
      <c r="CR51" s="13">
        <v>0.0</v>
      </c>
      <c r="CS51" s="13">
        <v>0.0</v>
      </c>
      <c r="CT51" s="13">
        <v>0.0</v>
      </c>
      <c r="CU51" s="13">
        <v>0.0</v>
      </c>
      <c r="CV51" s="13">
        <v>0.0</v>
      </c>
      <c r="CW51" s="13">
        <v>0.0</v>
      </c>
      <c r="CX51" s="13">
        <v>0.0</v>
      </c>
      <c r="CY51" s="13">
        <v>0.0</v>
      </c>
      <c r="CZ51" s="13">
        <v>0.0</v>
      </c>
      <c r="DA51" s="13">
        <v>0.0</v>
      </c>
      <c r="DB51" s="13">
        <v>0.0</v>
      </c>
      <c r="DC51" s="13">
        <v>0.0</v>
      </c>
      <c r="DD51" s="13">
        <v>0.0</v>
      </c>
      <c r="DE51" s="13">
        <v>0.0</v>
      </c>
      <c r="DF51" s="13">
        <v>0.0</v>
      </c>
      <c r="DG51" s="13">
        <v>0.0</v>
      </c>
      <c r="DH51" s="13">
        <v>0.0</v>
      </c>
      <c r="DI51" s="13">
        <v>0.0</v>
      </c>
      <c r="DJ51" s="13">
        <v>0.0</v>
      </c>
      <c r="DK51" s="13">
        <v>0.0</v>
      </c>
      <c r="DL51" s="13">
        <v>0.0</v>
      </c>
      <c r="DM51" s="13">
        <v>0.0</v>
      </c>
      <c r="DN51" s="13">
        <v>0.0</v>
      </c>
      <c r="DO51" s="13">
        <v>0.0</v>
      </c>
      <c r="DP51" s="13">
        <v>0.0</v>
      </c>
      <c r="DQ51" s="13">
        <v>0.0</v>
      </c>
      <c r="DR51" s="13">
        <v>0.0</v>
      </c>
      <c r="DS51" s="13">
        <v>0.0</v>
      </c>
      <c r="DT51" s="13"/>
      <c r="DU51" s="13">
        <v>0.0</v>
      </c>
      <c r="DV51" s="13">
        <v>0.0</v>
      </c>
      <c r="DW51" s="13">
        <v>0.0</v>
      </c>
      <c r="DX51" s="13"/>
      <c r="DY51" s="13">
        <v>0.0</v>
      </c>
      <c r="DZ51" s="13">
        <v>0.0</v>
      </c>
      <c r="EA51" s="13">
        <v>0.0</v>
      </c>
      <c r="EB51" s="13">
        <v>0.0</v>
      </c>
      <c r="EC51" s="13">
        <v>0.0</v>
      </c>
      <c r="ED51" s="13">
        <v>0.0</v>
      </c>
      <c r="EE51" s="13">
        <v>0.0</v>
      </c>
      <c r="EF51" s="13">
        <v>0.0</v>
      </c>
      <c r="EG51" s="13">
        <v>0.0</v>
      </c>
      <c r="EH51" s="13">
        <v>0.0</v>
      </c>
      <c r="EI51" s="13">
        <v>0.0</v>
      </c>
      <c r="EJ51" s="13">
        <v>0.0</v>
      </c>
    </row>
    <row r="52" ht="15.75" customHeight="1">
      <c r="A52" s="9" t="s">
        <v>210</v>
      </c>
      <c r="B52" s="13"/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/>
      <c r="I52" s="16">
        <f>iferror(vlookup(A52,'Inst Lending numbers'!A:D,4,false)," ")</f>
        <v>0.0555</v>
      </c>
      <c r="J52" s="13"/>
      <c r="K52" s="13"/>
      <c r="L52" s="13"/>
      <c r="M52" s="13"/>
      <c r="N52" s="13"/>
      <c r="O52" s="13">
        <f t="shared" si="11"/>
        <v>0.03932233526</v>
      </c>
      <c r="P52" s="13">
        <f t="shared" si="2"/>
        <v>0</v>
      </c>
      <c r="Q52" s="13"/>
      <c r="R52" s="13"/>
      <c r="S52" s="13"/>
      <c r="T52" s="13"/>
      <c r="U52" s="13"/>
      <c r="V52" s="13"/>
      <c r="W52" s="13"/>
      <c r="X52" s="13"/>
      <c r="Y52" s="13">
        <f t="shared" si="3"/>
        <v>0</v>
      </c>
      <c r="Z52" s="13"/>
      <c r="AA52" s="13">
        <v>0.0</v>
      </c>
      <c r="AB52" s="13">
        <f t="shared" si="10"/>
        <v>0.1957867833</v>
      </c>
      <c r="AC52" s="13"/>
      <c r="AD52" s="13"/>
      <c r="AE52" s="13">
        <f>iferror(sumif('Weekly Rates'!D:D,A52,'Weekly Rates'!F:F)/countif('Weekly Rates'!D:D,A52),0)</f>
        <v>0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2">
        <v>0.12</v>
      </c>
      <c r="AR52" s="13"/>
      <c r="AS52" s="13" t="str">
        <f>iferror(VLOOKUP($A52,EAM!A$2:E$14,2,FALSE))</f>
        <v/>
      </c>
      <c r="AT52" s="13"/>
      <c r="AU52" s="13">
        <f>sumif('Weekly Rates'!A:A,A52,'Weekly Rates'!B:B)</f>
        <v>0.1017</v>
      </c>
      <c r="AV52" s="13">
        <v>0.0</v>
      </c>
      <c r="AW52" s="13">
        <v>0.0</v>
      </c>
      <c r="AX52" s="13">
        <v>0.0</v>
      </c>
      <c r="AY52" s="13">
        <v>0.0</v>
      </c>
      <c r="AZ52" s="13">
        <v>0.0</v>
      </c>
      <c r="BA52" s="13">
        <v>0.0</v>
      </c>
      <c r="BB52" s="13">
        <v>0.0</v>
      </c>
      <c r="BC52" s="13">
        <v>0.0</v>
      </c>
      <c r="BD52" s="13">
        <v>0.0</v>
      </c>
      <c r="BE52" s="13">
        <v>0.0</v>
      </c>
      <c r="BF52" s="13">
        <v>0.0</v>
      </c>
      <c r="BG52" s="13">
        <v>0.0</v>
      </c>
      <c r="BH52" s="13">
        <v>0.0</v>
      </c>
      <c r="BI52" s="13">
        <v>0.0</v>
      </c>
      <c r="BJ52" s="13">
        <v>0.0</v>
      </c>
      <c r="BK52" s="13">
        <v>0.0</v>
      </c>
      <c r="BL52" s="13">
        <v>0.0</v>
      </c>
      <c r="BM52" s="13">
        <v>0.0</v>
      </c>
      <c r="BN52" s="13">
        <v>0.0</v>
      </c>
      <c r="BO52" s="13">
        <v>0.0</v>
      </c>
      <c r="BP52" s="13">
        <v>0.0</v>
      </c>
      <c r="BQ52" s="13">
        <v>0.0</v>
      </c>
      <c r="BR52" s="13">
        <v>0.0</v>
      </c>
      <c r="BS52" s="13">
        <v>0.0</v>
      </c>
      <c r="BT52" s="13">
        <v>0.0</v>
      </c>
      <c r="BU52" s="13">
        <v>0.0</v>
      </c>
      <c r="BV52" s="13">
        <v>0.0</v>
      </c>
      <c r="BW52" s="13">
        <v>0.0</v>
      </c>
      <c r="BX52" s="13">
        <v>0.0</v>
      </c>
      <c r="BY52" s="13">
        <v>0.0</v>
      </c>
      <c r="BZ52" s="13">
        <v>0.0</v>
      </c>
      <c r="CA52" s="13">
        <v>0.0</v>
      </c>
      <c r="CB52" s="13">
        <v>0.0</v>
      </c>
      <c r="CC52" s="13">
        <v>0.0</v>
      </c>
      <c r="CD52" s="13">
        <v>0.0</v>
      </c>
      <c r="CE52" s="13">
        <v>0.0</v>
      </c>
      <c r="CF52" s="13">
        <v>0.0</v>
      </c>
      <c r="CG52" s="13">
        <v>0.0</v>
      </c>
      <c r="CH52" s="13">
        <v>0.0</v>
      </c>
      <c r="CI52" s="13">
        <v>0.0</v>
      </c>
      <c r="CJ52" s="13">
        <v>0.0</v>
      </c>
      <c r="CK52" s="13">
        <v>0.0</v>
      </c>
      <c r="CL52" s="13">
        <v>0.0</v>
      </c>
      <c r="CM52" s="13">
        <v>0.0</v>
      </c>
      <c r="CN52" s="13">
        <v>0.0</v>
      </c>
      <c r="CO52" s="13">
        <v>0.0</v>
      </c>
      <c r="CP52" s="13">
        <v>0.0</v>
      </c>
      <c r="CQ52" s="13">
        <v>0.0</v>
      </c>
      <c r="CR52" s="13">
        <v>0.0</v>
      </c>
      <c r="CS52" s="13">
        <v>0.0</v>
      </c>
      <c r="CT52" s="13">
        <v>0.0</v>
      </c>
      <c r="CU52" s="13">
        <v>0.0</v>
      </c>
      <c r="CV52" s="13">
        <v>0.0</v>
      </c>
      <c r="CW52" s="13">
        <v>0.0</v>
      </c>
      <c r="CX52" s="13">
        <v>0.0</v>
      </c>
      <c r="CY52" s="13">
        <v>0.0</v>
      </c>
      <c r="CZ52" s="13">
        <v>0.0</v>
      </c>
      <c r="DA52" s="13">
        <v>0.0</v>
      </c>
      <c r="DB52" s="13">
        <v>0.0</v>
      </c>
      <c r="DC52" s="13">
        <v>0.0</v>
      </c>
      <c r="DD52" s="13">
        <v>0.0</v>
      </c>
      <c r="DE52" s="13">
        <v>0.0</v>
      </c>
      <c r="DF52" s="13">
        <v>0.0</v>
      </c>
      <c r="DG52" s="13">
        <v>0.0</v>
      </c>
      <c r="DH52" s="13">
        <v>0.0</v>
      </c>
      <c r="DI52" s="13">
        <v>0.0</v>
      </c>
      <c r="DJ52" s="13">
        <v>0.0</v>
      </c>
      <c r="DK52" s="13">
        <v>0.0</v>
      </c>
      <c r="DL52" s="13">
        <v>0.0</v>
      </c>
      <c r="DM52" s="13">
        <v>0.0</v>
      </c>
      <c r="DN52" s="13">
        <v>0.0</v>
      </c>
      <c r="DO52" s="13">
        <v>0.0</v>
      </c>
      <c r="DP52" s="13">
        <v>0.0</v>
      </c>
      <c r="DQ52" s="13">
        <v>0.0</v>
      </c>
      <c r="DR52" s="13">
        <v>0.0</v>
      </c>
      <c r="DS52" s="13">
        <v>0.0</v>
      </c>
      <c r="DT52" s="13"/>
      <c r="DU52" s="13">
        <v>0.0</v>
      </c>
      <c r="DV52" s="13">
        <v>0.0</v>
      </c>
      <c r="DW52" s="13">
        <v>0.0</v>
      </c>
      <c r="DX52" s="13"/>
      <c r="DY52" s="13">
        <v>0.0</v>
      </c>
      <c r="DZ52" s="13">
        <v>0.0</v>
      </c>
      <c r="EA52" s="13">
        <v>0.0</v>
      </c>
      <c r="EB52" s="13">
        <v>0.0</v>
      </c>
      <c r="EC52" s="13">
        <v>0.0</v>
      </c>
      <c r="ED52" s="13">
        <v>0.0</v>
      </c>
      <c r="EE52" s="13">
        <v>0.0</v>
      </c>
      <c r="EF52" s="13">
        <v>0.0</v>
      </c>
      <c r="EG52" s="13">
        <v>0.0</v>
      </c>
      <c r="EH52" s="13">
        <v>0.0</v>
      </c>
      <c r="EI52" s="13">
        <v>0.0</v>
      </c>
      <c r="EJ52" s="13">
        <v>0.0</v>
      </c>
    </row>
    <row r="53" ht="15.75" customHeight="1">
      <c r="A53" s="9" t="s">
        <v>211</v>
      </c>
      <c r="B53" s="13"/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/>
      <c r="I53" s="16" t="str">
        <f>iferror(vlookup(A53,'Inst Lending numbers'!A:D,4,false)," ")</f>
        <v> </v>
      </c>
      <c r="J53" s="13"/>
      <c r="K53" s="13"/>
      <c r="L53" s="13"/>
      <c r="M53" s="13"/>
      <c r="N53" s="13"/>
      <c r="O53" s="13">
        <f t="shared" si="11"/>
        <v>0.03932233526</v>
      </c>
      <c r="P53" s="13">
        <f t="shared" si="2"/>
        <v>0</v>
      </c>
      <c r="Q53" s="13"/>
      <c r="R53" s="13"/>
      <c r="S53" s="13"/>
      <c r="T53" s="13"/>
      <c r="U53" s="13"/>
      <c r="V53" s="13"/>
      <c r="W53" s="13"/>
      <c r="X53" s="13"/>
      <c r="Y53" s="13">
        <f t="shared" si="3"/>
        <v>0</v>
      </c>
      <c r="Z53" s="13"/>
      <c r="AA53" s="13">
        <v>0.0</v>
      </c>
      <c r="AB53" s="13">
        <f t="shared" si="10"/>
        <v>0.1957867833</v>
      </c>
      <c r="AC53" s="13"/>
      <c r="AD53" s="13"/>
      <c r="AE53" s="13">
        <f>iferror(sumif('Weekly Rates'!D:D,A53,'Weekly Rates'!F:F)/countif('Weekly Rates'!D:D,A53),0)</f>
        <v>0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 t="str">
        <f>iferror(VLOOKUP($A53,EAM!A$2:E$14,2,FALSE))</f>
        <v/>
      </c>
      <c r="AT53" s="13"/>
      <c r="AU53" s="13">
        <f>sumif('Weekly Rates'!A:A,A53,'Weekly Rates'!B:B)</f>
        <v>0</v>
      </c>
      <c r="AV53" s="13">
        <v>0.0</v>
      </c>
      <c r="AW53" s="13">
        <v>0.0</v>
      </c>
      <c r="AX53" s="13">
        <v>0.0</v>
      </c>
      <c r="AY53" s="13">
        <v>0.0</v>
      </c>
      <c r="AZ53" s="13">
        <v>0.0</v>
      </c>
      <c r="BA53" s="13">
        <v>0.0</v>
      </c>
      <c r="BB53" s="13">
        <v>0.0</v>
      </c>
      <c r="BC53" s="13">
        <v>0.0</v>
      </c>
      <c r="BD53" s="13">
        <v>0.0</v>
      </c>
      <c r="BE53" s="13">
        <v>0.0</v>
      </c>
      <c r="BF53" s="13">
        <v>0.0</v>
      </c>
      <c r="BG53" s="13">
        <v>0.0</v>
      </c>
      <c r="BH53" s="13">
        <v>0.0</v>
      </c>
      <c r="BI53" s="13">
        <v>0.0</v>
      </c>
      <c r="BJ53" s="13">
        <v>0.0</v>
      </c>
      <c r="BK53" s="13">
        <v>0.0</v>
      </c>
      <c r="BL53" s="13">
        <v>0.0</v>
      </c>
      <c r="BM53" s="13">
        <v>0.0</v>
      </c>
      <c r="BN53" s="13">
        <v>0.0</v>
      </c>
      <c r="BO53" s="13">
        <v>0.0</v>
      </c>
      <c r="BP53" s="13">
        <v>0.0</v>
      </c>
      <c r="BQ53" s="13">
        <v>0.0</v>
      </c>
      <c r="BR53" s="13">
        <v>0.0</v>
      </c>
      <c r="BS53" s="13">
        <v>0.0</v>
      </c>
      <c r="BT53" s="13">
        <v>0.0</v>
      </c>
      <c r="BU53" s="13">
        <v>0.0</v>
      </c>
      <c r="BV53" s="13">
        <v>0.0</v>
      </c>
      <c r="BW53" s="13">
        <v>0.0</v>
      </c>
      <c r="BX53" s="13">
        <v>0.0</v>
      </c>
      <c r="BY53" s="13">
        <v>0.0</v>
      </c>
      <c r="BZ53" s="13">
        <v>0.0</v>
      </c>
      <c r="CA53" s="13">
        <v>0.0</v>
      </c>
      <c r="CB53" s="13">
        <v>0.0</v>
      </c>
      <c r="CC53" s="13">
        <v>0.0</v>
      </c>
      <c r="CD53" s="13">
        <v>0.0</v>
      </c>
      <c r="CE53" s="13">
        <v>0.0</v>
      </c>
      <c r="CF53" s="13">
        <v>0.0</v>
      </c>
      <c r="CG53" s="13">
        <v>0.0</v>
      </c>
      <c r="CH53" s="13">
        <v>0.0</v>
      </c>
      <c r="CI53" s="13">
        <v>0.0</v>
      </c>
      <c r="CJ53" s="13">
        <v>0.0</v>
      </c>
      <c r="CK53" s="13">
        <v>0.0</v>
      </c>
      <c r="CL53" s="13">
        <v>0.0</v>
      </c>
      <c r="CM53" s="13">
        <v>0.0</v>
      </c>
      <c r="CN53" s="13">
        <v>0.0</v>
      </c>
      <c r="CO53" s="13">
        <v>0.0</v>
      </c>
      <c r="CP53" s="13">
        <v>0.0</v>
      </c>
      <c r="CQ53" s="13">
        <v>0.0</v>
      </c>
      <c r="CR53" s="13">
        <v>0.0</v>
      </c>
      <c r="CS53" s="13">
        <v>0.0</v>
      </c>
      <c r="CT53" s="13">
        <v>0.0</v>
      </c>
      <c r="CU53" s="13">
        <v>0.0</v>
      </c>
      <c r="CV53" s="13">
        <v>0.0</v>
      </c>
      <c r="CW53" s="13">
        <v>0.0</v>
      </c>
      <c r="CX53" s="13">
        <v>0.0</v>
      </c>
      <c r="CY53" s="13">
        <v>0.0</v>
      </c>
      <c r="CZ53" s="13">
        <v>0.0</v>
      </c>
      <c r="DA53" s="13">
        <v>0.0</v>
      </c>
      <c r="DB53" s="13">
        <v>0.0</v>
      </c>
      <c r="DC53" s="13">
        <v>0.0</v>
      </c>
      <c r="DD53" s="13">
        <v>0.0</v>
      </c>
      <c r="DE53" s="13">
        <v>0.0</v>
      </c>
      <c r="DF53" s="13">
        <v>0.0</v>
      </c>
      <c r="DG53" s="13">
        <v>0.0</v>
      </c>
      <c r="DH53" s="13">
        <v>0.0</v>
      </c>
      <c r="DI53" s="13">
        <v>0.0</v>
      </c>
      <c r="DJ53" s="13">
        <v>0.0</v>
      </c>
      <c r="DK53" s="13">
        <v>0.0</v>
      </c>
      <c r="DL53" s="13">
        <v>0.0</v>
      </c>
      <c r="DM53" s="13">
        <v>0.0</v>
      </c>
      <c r="DN53" s="13">
        <v>0.0</v>
      </c>
      <c r="DO53" s="13">
        <v>0.0</v>
      </c>
      <c r="DP53" s="13">
        <v>0.0</v>
      </c>
      <c r="DQ53" s="13">
        <v>0.0</v>
      </c>
      <c r="DR53" s="13">
        <v>0.0</v>
      </c>
      <c r="DS53" s="13">
        <v>0.0</v>
      </c>
      <c r="DT53" s="13"/>
      <c r="DU53" s="13">
        <v>0.0</v>
      </c>
      <c r="DV53" s="13">
        <v>0.0</v>
      </c>
      <c r="DW53" s="13">
        <v>0.0</v>
      </c>
      <c r="DX53" s="13"/>
      <c r="DY53" s="13">
        <v>0.0</v>
      </c>
      <c r="DZ53" s="13">
        <v>0.0</v>
      </c>
      <c r="EA53" s="13">
        <v>0.0</v>
      </c>
      <c r="EB53" s="13">
        <v>0.0</v>
      </c>
      <c r="EC53" s="13">
        <v>0.0</v>
      </c>
      <c r="ED53" s="13">
        <v>0.0</v>
      </c>
      <c r="EE53" s="13">
        <v>0.0</v>
      </c>
      <c r="EF53" s="13">
        <v>0.0</v>
      </c>
      <c r="EG53" s="13">
        <v>0.0</v>
      </c>
      <c r="EH53" s="13">
        <v>0.0</v>
      </c>
      <c r="EI53" s="13">
        <v>0.0</v>
      </c>
      <c r="EJ53" s="13">
        <v>0.0</v>
      </c>
    </row>
    <row r="54" ht="15.75" customHeight="1">
      <c r="A54" s="9" t="s">
        <v>212</v>
      </c>
      <c r="B54" s="13"/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/>
      <c r="I54" s="16" t="str">
        <f>iferror(vlookup(A54,'Inst Lending numbers'!A:D,4,false)," ")</f>
        <v> </v>
      </c>
      <c r="J54" s="13"/>
      <c r="K54" s="13"/>
      <c r="L54" s="13"/>
      <c r="M54" s="13"/>
      <c r="N54" s="13"/>
      <c r="O54" s="13">
        <f t="shared" si="11"/>
        <v>0.03932233526</v>
      </c>
      <c r="P54" s="13">
        <f t="shared" si="2"/>
        <v>0</v>
      </c>
      <c r="Q54" s="13"/>
      <c r="R54" s="13"/>
      <c r="S54" s="13"/>
      <c r="T54" s="13"/>
      <c r="U54" s="13"/>
      <c r="V54" s="13"/>
      <c r="W54" s="13"/>
      <c r="X54" s="13"/>
      <c r="Y54" s="13">
        <f t="shared" si="3"/>
        <v>0</v>
      </c>
      <c r="Z54" s="13"/>
      <c r="AA54" s="13">
        <v>0.0</v>
      </c>
      <c r="AB54" s="13">
        <f t="shared" si="10"/>
        <v>0.1957867833</v>
      </c>
      <c r="AC54" s="13"/>
      <c r="AD54" s="13"/>
      <c r="AE54" s="13">
        <f>iferror(sumif('Weekly Rates'!D:D,A54,'Weekly Rates'!F:F)/countif('Weekly Rates'!D:D,A54),0)</f>
        <v>0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 t="str">
        <f>iferror(VLOOKUP($A54,EAM!A$2:E$14,2,FALSE))</f>
        <v/>
      </c>
      <c r="AT54" s="13"/>
      <c r="AU54" s="13">
        <f>sumif('Weekly Rates'!A:A,A54,'Weekly Rates'!B:B)</f>
        <v>0</v>
      </c>
      <c r="AV54" s="13">
        <v>0.0</v>
      </c>
      <c r="AW54" s="13">
        <v>0.0</v>
      </c>
      <c r="AX54" s="13">
        <v>0.0</v>
      </c>
      <c r="AY54" s="13">
        <v>0.0</v>
      </c>
      <c r="AZ54" s="13">
        <v>0.0</v>
      </c>
      <c r="BA54" s="13">
        <v>0.0</v>
      </c>
      <c r="BB54" s="13">
        <v>0.0</v>
      </c>
      <c r="BC54" s="13">
        <v>0.0</v>
      </c>
      <c r="BD54" s="13">
        <v>0.0</v>
      </c>
      <c r="BE54" s="13">
        <v>0.0</v>
      </c>
      <c r="BF54" s="13">
        <v>0.0</v>
      </c>
      <c r="BG54" s="13">
        <v>0.0</v>
      </c>
      <c r="BH54" s="13">
        <v>0.0</v>
      </c>
      <c r="BI54" s="13">
        <v>0.0</v>
      </c>
      <c r="BJ54" s="13">
        <v>0.0</v>
      </c>
      <c r="BK54" s="13">
        <v>0.0</v>
      </c>
      <c r="BL54" s="13">
        <v>0.0</v>
      </c>
      <c r="BM54" s="13">
        <v>0.0</v>
      </c>
      <c r="BN54" s="13">
        <v>0.0</v>
      </c>
      <c r="BO54" s="13">
        <v>0.0</v>
      </c>
      <c r="BP54" s="13">
        <v>0.0</v>
      </c>
      <c r="BQ54" s="13">
        <v>0.0</v>
      </c>
      <c r="BR54" s="13">
        <v>0.0</v>
      </c>
      <c r="BS54" s="13">
        <v>0.0</v>
      </c>
      <c r="BT54" s="13">
        <v>0.0</v>
      </c>
      <c r="BU54" s="13">
        <v>0.0</v>
      </c>
      <c r="BV54" s="13">
        <v>0.0</v>
      </c>
      <c r="BW54" s="13">
        <v>0.0</v>
      </c>
      <c r="BX54" s="13">
        <v>0.0</v>
      </c>
      <c r="BY54" s="13">
        <v>0.0</v>
      </c>
      <c r="BZ54" s="13">
        <v>0.0</v>
      </c>
      <c r="CA54" s="13">
        <v>0.0</v>
      </c>
      <c r="CB54" s="13">
        <v>0.0</v>
      </c>
      <c r="CC54" s="13">
        <v>0.0</v>
      </c>
      <c r="CD54" s="13">
        <v>0.0</v>
      </c>
      <c r="CE54" s="13">
        <v>0.0</v>
      </c>
      <c r="CF54" s="13">
        <v>0.0</v>
      </c>
      <c r="CG54" s="13">
        <v>0.0</v>
      </c>
      <c r="CH54" s="13">
        <v>0.0</v>
      </c>
      <c r="CI54" s="13">
        <v>0.0</v>
      </c>
      <c r="CJ54" s="13">
        <f>IFERROR(__xludf.DUMMYFUNCTION("importrange(""https://docs.google.com/spreadsheets/d/1sEJbnmLMGxlqg2Slrotvc3YAgqP9DQwYm8VpUh_GslY/edit#gid=0"",""Sheet1!C11"")"),0.1014)</f>
        <v>0.1014</v>
      </c>
      <c r="CK54" s="13">
        <v>0.0</v>
      </c>
      <c r="CL54" s="13">
        <v>0.0</v>
      </c>
      <c r="CM54" s="13">
        <v>0.0</v>
      </c>
      <c r="CN54" s="13">
        <v>0.0</v>
      </c>
      <c r="CO54" s="13">
        <v>0.0</v>
      </c>
      <c r="CP54" s="13">
        <v>0.0</v>
      </c>
      <c r="CQ54" s="13">
        <v>0.0</v>
      </c>
      <c r="CR54" s="13">
        <v>0.0</v>
      </c>
      <c r="CS54" s="13">
        <v>0.0</v>
      </c>
      <c r="CT54" s="13">
        <v>0.0</v>
      </c>
      <c r="CU54" s="13">
        <v>0.0</v>
      </c>
      <c r="CV54" s="13">
        <v>0.0</v>
      </c>
      <c r="CW54" s="13">
        <v>0.0</v>
      </c>
      <c r="CX54" s="13">
        <v>0.0</v>
      </c>
      <c r="CY54" s="13">
        <v>0.0</v>
      </c>
      <c r="CZ54" s="13">
        <v>0.0</v>
      </c>
      <c r="DA54" s="13">
        <v>0.0</v>
      </c>
      <c r="DB54" s="13">
        <v>0.0</v>
      </c>
      <c r="DC54" s="13">
        <v>0.0</v>
      </c>
      <c r="DD54" s="13">
        <v>0.0</v>
      </c>
      <c r="DE54" s="13">
        <v>0.0</v>
      </c>
      <c r="DF54" s="13">
        <v>0.0</v>
      </c>
      <c r="DG54" s="13">
        <v>0.0</v>
      </c>
      <c r="DH54" s="13">
        <v>0.0</v>
      </c>
      <c r="DI54" s="13">
        <v>0.0</v>
      </c>
      <c r="DJ54" s="13">
        <v>0.0</v>
      </c>
      <c r="DK54" s="13">
        <v>0.0</v>
      </c>
      <c r="DL54" s="13">
        <v>0.0</v>
      </c>
      <c r="DM54" s="13">
        <v>0.0</v>
      </c>
      <c r="DN54" s="13">
        <v>0.0</v>
      </c>
      <c r="DO54" s="13">
        <v>0.0</v>
      </c>
      <c r="DP54" s="13">
        <v>0.0</v>
      </c>
      <c r="DQ54" s="13">
        <v>0.0</v>
      </c>
      <c r="DR54" s="13">
        <v>0.0</v>
      </c>
      <c r="DS54" s="13">
        <v>0.0</v>
      </c>
      <c r="DT54" s="13"/>
      <c r="DU54" s="13">
        <v>0.0</v>
      </c>
      <c r="DV54" s="13">
        <v>0.0</v>
      </c>
      <c r="DW54" s="13">
        <v>0.0</v>
      </c>
      <c r="DX54" s="13"/>
      <c r="DY54" s="13">
        <v>0.0</v>
      </c>
      <c r="DZ54" s="13">
        <v>0.0</v>
      </c>
      <c r="EA54" s="13">
        <v>0.0</v>
      </c>
      <c r="EB54" s="13">
        <v>0.0</v>
      </c>
      <c r="EC54" s="13">
        <v>0.0</v>
      </c>
      <c r="ED54" s="13">
        <v>0.0</v>
      </c>
      <c r="EE54" s="13">
        <v>0.0</v>
      </c>
      <c r="EF54" s="13">
        <v>0.0</v>
      </c>
      <c r="EG54" s="13">
        <v>0.0</v>
      </c>
      <c r="EH54" s="13">
        <v>0.0</v>
      </c>
      <c r="EI54" s="13">
        <v>0.0</v>
      </c>
      <c r="EJ54" s="13">
        <v>0.0</v>
      </c>
    </row>
    <row r="55" ht="15.75" customHeight="1">
      <c r="A55" s="9" t="s">
        <v>213</v>
      </c>
      <c r="B55" s="13"/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/>
      <c r="I55" s="16" t="str">
        <f>iferror(vlookup(A55,'Inst Lending numbers'!A:D,4,false)," ")</f>
        <v> </v>
      </c>
      <c r="J55" s="13"/>
      <c r="K55" s="13"/>
      <c r="L55" s="13"/>
      <c r="M55" s="13"/>
      <c r="N55" s="13"/>
      <c r="O55" s="13">
        <f t="shared" si="11"/>
        <v>0.03932233526</v>
      </c>
      <c r="P55" s="13">
        <f t="shared" si="2"/>
        <v>0</v>
      </c>
      <c r="Q55" s="13"/>
      <c r="R55" s="13"/>
      <c r="S55" s="13"/>
      <c r="T55" s="13"/>
      <c r="U55" s="13"/>
      <c r="V55" s="13"/>
      <c r="W55" s="13"/>
      <c r="X55" s="13"/>
      <c r="Y55" s="13">
        <f t="shared" si="3"/>
        <v>0</v>
      </c>
      <c r="Z55" s="13"/>
      <c r="AA55" s="13">
        <v>0.0</v>
      </c>
      <c r="AB55" s="13">
        <f t="shared" si="10"/>
        <v>0.1957867833</v>
      </c>
      <c r="AC55" s="13"/>
      <c r="AD55" s="13"/>
      <c r="AE55" s="13">
        <f>iferror(sumif('Weekly Rates'!D:D,A55,'Weekly Rates'!F:F)/countif('Weekly Rates'!D:D,A55),0)</f>
        <v>0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 t="str">
        <f>iferror(VLOOKUP($A55,EAM!A$2:E$14,2,FALSE))</f>
        <v/>
      </c>
      <c r="AT55" s="13"/>
      <c r="AU55" s="13">
        <f>sumif('Weekly Rates'!A:A,A55,'Weekly Rates'!B:B)</f>
        <v>0</v>
      </c>
      <c r="AV55" s="13">
        <v>0.0</v>
      </c>
      <c r="AW55" s="13">
        <v>0.0</v>
      </c>
      <c r="AX55" s="13">
        <v>0.0</v>
      </c>
      <c r="AY55" s="13">
        <v>0.0</v>
      </c>
      <c r="AZ55" s="13">
        <v>0.0</v>
      </c>
      <c r="BA55" s="13">
        <v>0.0</v>
      </c>
      <c r="BB55" s="13">
        <v>0.0</v>
      </c>
      <c r="BC55" s="13">
        <v>5.0E-4</v>
      </c>
      <c r="BD55" s="13">
        <v>0.0</v>
      </c>
      <c r="BE55" s="13">
        <v>0.0</v>
      </c>
      <c r="BF55" s="13">
        <v>0.0</v>
      </c>
      <c r="BG55" s="13">
        <v>0.0</v>
      </c>
      <c r="BH55" s="13">
        <v>0.0</v>
      </c>
      <c r="BI55" s="13">
        <v>0.0042</v>
      </c>
      <c r="BJ55" s="13">
        <v>0.0</v>
      </c>
      <c r="BK55" s="13">
        <v>0.0</v>
      </c>
      <c r="BL55" s="13">
        <v>0.0</v>
      </c>
      <c r="BM55" s="13">
        <v>0.0</v>
      </c>
      <c r="BN55" s="13">
        <v>0.0</v>
      </c>
      <c r="BO55" s="13">
        <v>0.0</v>
      </c>
      <c r="BP55" s="13">
        <v>0.0</v>
      </c>
      <c r="BQ55" s="13">
        <v>0.0</v>
      </c>
      <c r="BR55" s="13">
        <v>0.0</v>
      </c>
      <c r="BS55" s="13">
        <v>0.0</v>
      </c>
      <c r="BT55" s="13">
        <v>0.0</v>
      </c>
      <c r="BU55" s="13">
        <v>0.0</v>
      </c>
      <c r="BV55" s="13">
        <v>0.0</v>
      </c>
      <c r="BW55" s="13">
        <v>0.0</v>
      </c>
      <c r="BX55" s="13">
        <v>0.0</v>
      </c>
      <c r="BY55" s="13">
        <v>0.0</v>
      </c>
      <c r="BZ55" s="13">
        <v>0.0</v>
      </c>
      <c r="CA55" s="13">
        <v>0.0</v>
      </c>
      <c r="CB55" s="13">
        <v>0.0</v>
      </c>
      <c r="CC55" s="13">
        <v>0.0</v>
      </c>
      <c r="CD55" s="13">
        <v>0.0</v>
      </c>
      <c r="CE55" s="13">
        <v>0.0</v>
      </c>
      <c r="CF55" s="13">
        <v>0.0</v>
      </c>
      <c r="CG55" s="13">
        <v>0.0</v>
      </c>
      <c r="CH55" s="13">
        <v>0.0</v>
      </c>
      <c r="CI55" s="13">
        <v>0.0</v>
      </c>
      <c r="CJ55" s="13">
        <v>0.0</v>
      </c>
      <c r="CK55" s="13">
        <v>0.0</v>
      </c>
      <c r="CL55" s="13">
        <v>0.0</v>
      </c>
      <c r="CM55" s="13">
        <v>0.0</v>
      </c>
      <c r="CN55" s="13">
        <v>0.0</v>
      </c>
      <c r="CO55" s="13">
        <v>0.0</v>
      </c>
      <c r="CP55" s="13">
        <v>0.0</v>
      </c>
      <c r="CQ55" s="13">
        <v>0.0</v>
      </c>
      <c r="CR55" s="13">
        <v>0.0</v>
      </c>
      <c r="CS55" s="13">
        <v>0.0</v>
      </c>
      <c r="CT55" s="13">
        <v>0.0</v>
      </c>
      <c r="CU55" s="13">
        <v>0.0</v>
      </c>
      <c r="CV55" s="13">
        <v>0.0</v>
      </c>
      <c r="CW55" s="13">
        <v>0.0</v>
      </c>
      <c r="CX55" s="13">
        <v>0.0</v>
      </c>
      <c r="CY55" s="13">
        <v>0.0</v>
      </c>
      <c r="CZ55" s="13">
        <v>0.0</v>
      </c>
      <c r="DA55" s="13">
        <v>0.0</v>
      </c>
      <c r="DB55" s="13">
        <v>0.0</v>
      </c>
      <c r="DC55" s="13">
        <v>0.0</v>
      </c>
      <c r="DD55" s="13">
        <v>0.0</v>
      </c>
      <c r="DE55" s="13">
        <v>0.0</v>
      </c>
      <c r="DF55" s="13">
        <v>0.0</v>
      </c>
      <c r="DG55" s="13">
        <v>0.0</v>
      </c>
      <c r="DH55" s="13">
        <v>0.0</v>
      </c>
      <c r="DI55" s="13">
        <v>0.0</v>
      </c>
      <c r="DJ55" s="13">
        <v>0.0</v>
      </c>
      <c r="DK55" s="13">
        <v>0.0</v>
      </c>
      <c r="DL55" s="13">
        <v>0.0</v>
      </c>
      <c r="DM55" s="13">
        <v>0.0</v>
      </c>
      <c r="DN55" s="13">
        <v>0.0</v>
      </c>
      <c r="DO55" s="13">
        <v>0.0</v>
      </c>
      <c r="DP55" s="13">
        <v>0.0</v>
      </c>
      <c r="DQ55" s="13">
        <v>0.0</v>
      </c>
      <c r="DR55" s="13">
        <v>0.0</v>
      </c>
      <c r="DS55" s="13">
        <v>0.0</v>
      </c>
      <c r="DT55" s="13"/>
      <c r="DU55" s="13">
        <v>0.0</v>
      </c>
      <c r="DV55" s="13">
        <v>0.0</v>
      </c>
      <c r="DW55" s="13">
        <v>0.0</v>
      </c>
      <c r="DX55" s="13"/>
      <c r="DY55" s="13">
        <v>0.0</v>
      </c>
      <c r="DZ55" s="13">
        <v>0.0</v>
      </c>
      <c r="EA55" s="13">
        <v>0.0</v>
      </c>
      <c r="EB55" s="13">
        <v>0.0</v>
      </c>
      <c r="EC55" s="13">
        <v>0.0</v>
      </c>
      <c r="ED55" s="13">
        <v>0.0</v>
      </c>
      <c r="EE55" s="13">
        <v>0.0</v>
      </c>
      <c r="EF55" s="13">
        <v>0.0</v>
      </c>
      <c r="EG55" s="13">
        <v>0.0</v>
      </c>
      <c r="EH55" s="13">
        <v>0.0</v>
      </c>
      <c r="EI55" s="13">
        <v>0.0</v>
      </c>
      <c r="EJ55" s="13">
        <v>0.0</v>
      </c>
    </row>
    <row r="56" ht="15.75" customHeight="1">
      <c r="A56" s="9" t="s">
        <v>214</v>
      </c>
      <c r="B56" s="13"/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/>
      <c r="I56" s="16">
        <f>iferror(vlookup(A56,'Inst Lending numbers'!A:D,4,false)," ")</f>
        <v>0.0629</v>
      </c>
      <c r="J56" s="13"/>
      <c r="K56" s="13"/>
      <c r="L56" s="13"/>
      <c r="M56" s="13"/>
      <c r="N56" s="13"/>
      <c r="O56" s="13">
        <f t="shared" si="11"/>
        <v>0.03932233526</v>
      </c>
      <c r="P56" s="13">
        <f t="shared" si="2"/>
        <v>0</v>
      </c>
      <c r="Q56" s="13"/>
      <c r="R56" s="13"/>
      <c r="S56" s="13"/>
      <c r="T56" s="13"/>
      <c r="U56" s="13"/>
      <c r="V56" s="13"/>
      <c r="W56" s="13"/>
      <c r="X56" s="13"/>
      <c r="Y56" s="13">
        <f t="shared" si="3"/>
        <v>0</v>
      </c>
      <c r="Z56" s="13"/>
      <c r="AA56" s="13">
        <v>0.0</v>
      </c>
      <c r="AB56" s="13">
        <f t="shared" si="10"/>
        <v>0.1957867833</v>
      </c>
      <c r="AC56" s="13"/>
      <c r="AD56" s="13"/>
      <c r="AE56" s="13">
        <f>iferror(sumif('Weekly Rates'!D:D,A56,'Weekly Rates'!F:F)/countif('Weekly Rates'!D:D,A56),0)</f>
        <v>0</v>
      </c>
      <c r="AF56" s="13"/>
      <c r="AG56" s="13"/>
      <c r="AH56" s="13"/>
      <c r="AI56" s="13"/>
      <c r="AJ56" s="13"/>
      <c r="AK56" s="13"/>
      <c r="AL56" s="13"/>
      <c r="AM56" s="13"/>
      <c r="AN56" s="13">
        <v>0.1</v>
      </c>
      <c r="AO56" s="13"/>
      <c r="AP56" s="13"/>
      <c r="AQ56" s="13">
        <v>0.135</v>
      </c>
      <c r="AR56" s="13"/>
      <c r="AS56" s="13" t="str">
        <f>iferror(VLOOKUP($A56,EAM!A$2:E$14,2,FALSE))</f>
        <v/>
      </c>
      <c r="AT56" s="13"/>
      <c r="AU56" s="13">
        <f>sumif('Weekly Rates'!A:A,A56,'Weekly Rates'!B:B)</f>
        <v>0</v>
      </c>
      <c r="AV56" s="13">
        <v>0.0</v>
      </c>
      <c r="AW56" s="13">
        <v>0.0</v>
      </c>
      <c r="AX56" s="13">
        <v>0.0</v>
      </c>
      <c r="AY56" s="13">
        <v>0.0</v>
      </c>
      <c r="AZ56" s="13">
        <v>0.0</v>
      </c>
      <c r="BA56" s="13">
        <v>0.0</v>
      </c>
      <c r="BB56" s="13">
        <v>0.0</v>
      </c>
      <c r="BC56" s="13">
        <v>0.0</v>
      </c>
      <c r="BD56" s="13">
        <v>0.0</v>
      </c>
      <c r="BE56" s="13">
        <v>0.0</v>
      </c>
      <c r="BF56" s="13">
        <v>0.0</v>
      </c>
      <c r="BG56" s="13">
        <v>0.0</v>
      </c>
      <c r="BH56" s="13">
        <v>0.0</v>
      </c>
      <c r="BI56" s="13">
        <v>0.0</v>
      </c>
      <c r="BJ56" s="13">
        <v>0.0</v>
      </c>
      <c r="BK56" s="13">
        <v>0.0</v>
      </c>
      <c r="BL56" s="13">
        <v>0.0</v>
      </c>
      <c r="BM56" s="13">
        <v>0.0</v>
      </c>
      <c r="BN56" s="13">
        <v>0.0</v>
      </c>
      <c r="BO56" s="13">
        <v>0.0</v>
      </c>
      <c r="BP56" s="13">
        <v>0.0</v>
      </c>
      <c r="BQ56" s="13">
        <v>0.0</v>
      </c>
      <c r="BR56" s="13">
        <v>0.0</v>
      </c>
      <c r="BS56" s="13">
        <v>0.0</v>
      </c>
      <c r="BT56" s="13">
        <v>0.0</v>
      </c>
      <c r="BU56" s="13">
        <v>0.0</v>
      </c>
      <c r="BV56" s="13">
        <v>0.0</v>
      </c>
      <c r="BW56" s="13">
        <v>0.0</v>
      </c>
      <c r="BX56" s="13">
        <v>0.0</v>
      </c>
      <c r="BY56" s="13">
        <v>0.0</v>
      </c>
      <c r="BZ56" s="13">
        <v>0.0</v>
      </c>
      <c r="CA56" s="13">
        <v>0.0</v>
      </c>
      <c r="CB56" s="13">
        <v>0.0</v>
      </c>
      <c r="CC56" s="13">
        <v>0.0</v>
      </c>
      <c r="CD56" s="13">
        <v>0.0</v>
      </c>
      <c r="CE56" s="13">
        <v>0.0</v>
      </c>
      <c r="CF56" s="13">
        <v>0.0</v>
      </c>
      <c r="CG56" s="13">
        <v>0.0</v>
      </c>
      <c r="CH56" s="13">
        <v>0.0</v>
      </c>
      <c r="CI56" s="13">
        <v>0.0</v>
      </c>
      <c r="CJ56" s="13">
        <v>0.0</v>
      </c>
      <c r="CK56" s="13">
        <v>0.0</v>
      </c>
      <c r="CL56" s="13">
        <v>0.0</v>
      </c>
      <c r="CM56" s="13">
        <v>0.0</v>
      </c>
      <c r="CN56" s="13">
        <v>0.0</v>
      </c>
      <c r="CO56" s="13">
        <v>0.0</v>
      </c>
      <c r="CP56" s="13">
        <v>0.0</v>
      </c>
      <c r="CQ56" s="13">
        <v>0.0</v>
      </c>
      <c r="CR56" s="13">
        <v>0.0</v>
      </c>
      <c r="CS56" s="13">
        <v>0.0</v>
      </c>
      <c r="CT56" s="13">
        <v>0.0</v>
      </c>
      <c r="CU56" s="13">
        <v>0.0</v>
      </c>
      <c r="CV56" s="13">
        <v>0.0</v>
      </c>
      <c r="CW56" s="13">
        <v>0.0</v>
      </c>
      <c r="CX56" s="13">
        <v>0.0</v>
      </c>
      <c r="CY56" s="13">
        <v>0.0</v>
      </c>
      <c r="CZ56" s="13">
        <v>0.0</v>
      </c>
      <c r="DA56" s="13">
        <v>0.0</v>
      </c>
      <c r="DB56" s="13">
        <v>0.0</v>
      </c>
      <c r="DC56" s="13">
        <v>0.0</v>
      </c>
      <c r="DD56" s="13">
        <v>0.0</v>
      </c>
      <c r="DE56" s="13">
        <v>0.0</v>
      </c>
      <c r="DF56" s="13">
        <v>0.0</v>
      </c>
      <c r="DG56" s="13">
        <v>0.0</v>
      </c>
      <c r="DH56" s="13">
        <v>0.0</v>
      </c>
      <c r="DI56" s="13">
        <v>0.0</v>
      </c>
      <c r="DJ56" s="13">
        <v>0.0</v>
      </c>
      <c r="DK56" s="13">
        <v>0.0</v>
      </c>
      <c r="DL56" s="13">
        <v>0.0</v>
      </c>
      <c r="DM56" s="13">
        <v>0.0</v>
      </c>
      <c r="DN56" s="13">
        <v>0.0</v>
      </c>
      <c r="DO56" s="13">
        <v>0.0</v>
      </c>
      <c r="DP56" s="13">
        <v>0.0</v>
      </c>
      <c r="DQ56" s="13">
        <v>0.0</v>
      </c>
      <c r="DR56" s="13">
        <v>0.0</v>
      </c>
      <c r="DS56" s="13">
        <v>0.0</v>
      </c>
      <c r="DT56" s="13">
        <v>0.0</v>
      </c>
      <c r="DU56" s="13">
        <v>0.0</v>
      </c>
      <c r="DV56" s="13">
        <v>0.0</v>
      </c>
      <c r="DW56" s="13">
        <v>0.0</v>
      </c>
      <c r="DX56" s="13"/>
      <c r="DY56" s="13">
        <v>0.0</v>
      </c>
      <c r="DZ56" s="13">
        <v>0.0</v>
      </c>
      <c r="EA56" s="13">
        <v>0.0</v>
      </c>
      <c r="EB56" s="13">
        <v>0.0</v>
      </c>
      <c r="EC56" s="13">
        <v>0.0</v>
      </c>
      <c r="ED56" s="13">
        <v>0.0</v>
      </c>
      <c r="EE56" s="13">
        <v>0.0</v>
      </c>
      <c r="EF56" s="13">
        <v>0.0</v>
      </c>
      <c r="EG56" s="13">
        <v>0.0</v>
      </c>
      <c r="EH56" s="13">
        <v>0.0</v>
      </c>
      <c r="EI56" s="13">
        <v>0.0</v>
      </c>
      <c r="EJ56" s="13">
        <v>0.0</v>
      </c>
    </row>
    <row r="57" ht="15.75" customHeight="1">
      <c r="A57" s="9" t="s">
        <v>215</v>
      </c>
      <c r="B57" s="13"/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/>
      <c r="I57" s="16" t="str">
        <f>iferror(vlookup(A57,'Inst Lending numbers'!A:D,4,false)," ")</f>
        <v> </v>
      </c>
      <c r="J57" s="13"/>
      <c r="K57" s="13"/>
      <c r="L57" s="13">
        <v>0.034</v>
      </c>
      <c r="M57" s="13"/>
      <c r="N57" s="13"/>
      <c r="O57" s="13">
        <f t="shared" si="11"/>
        <v>0.03932233526</v>
      </c>
      <c r="P57" s="13">
        <f t="shared" si="2"/>
        <v>0</v>
      </c>
      <c r="Q57" s="13"/>
      <c r="R57" s="13"/>
      <c r="S57" s="13"/>
      <c r="T57" s="13"/>
      <c r="U57" s="13"/>
      <c r="V57" s="13"/>
      <c r="W57" s="13"/>
      <c r="X57" s="13"/>
      <c r="Y57" s="13">
        <f t="shared" si="3"/>
        <v>0</v>
      </c>
      <c r="Z57" s="13"/>
      <c r="AA57" s="13">
        <v>0.0</v>
      </c>
      <c r="AB57" s="13">
        <f t="shared" si="10"/>
        <v>0.1957867833</v>
      </c>
      <c r="AC57" s="13"/>
      <c r="AD57" s="13"/>
      <c r="AE57" s="13">
        <f>iferror(sumif('Weekly Rates'!D:D,A57,'Weekly Rates'!F:F)/countif('Weekly Rates'!D:D,A57),0)</f>
        <v>0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>
        <f>iferror(VLOOKUP($A57,EAM!A$2:E$14,2,FALSE))</f>
        <v>0.175461127</v>
      </c>
      <c r="AT57" s="13"/>
      <c r="AU57" s="13">
        <f>sumif('Weekly Rates'!A:A,A57,'Weekly Rates'!B:B)</f>
        <v>0</v>
      </c>
      <c r="AV57" s="13">
        <v>0.0</v>
      </c>
      <c r="AW57" s="13">
        <v>0.0</v>
      </c>
      <c r="AX57" s="13">
        <v>0.0</v>
      </c>
      <c r="AY57" s="13">
        <v>0.0</v>
      </c>
      <c r="AZ57" s="13">
        <v>0.0</v>
      </c>
      <c r="BA57" s="13">
        <v>0.0</v>
      </c>
      <c r="BB57" s="13">
        <v>0.0</v>
      </c>
      <c r="BC57" s="13">
        <v>0.0</v>
      </c>
      <c r="BD57" s="13">
        <v>0.0</v>
      </c>
      <c r="BE57" s="13">
        <v>0.0</v>
      </c>
      <c r="BF57" s="13">
        <v>0.0</v>
      </c>
      <c r="BG57" s="13">
        <v>0.0</v>
      </c>
      <c r="BH57" s="13">
        <v>0.0</v>
      </c>
      <c r="BI57" s="13">
        <v>0.0</v>
      </c>
      <c r="BJ57" s="13">
        <v>0.0</v>
      </c>
      <c r="BK57" s="13">
        <v>0.0</v>
      </c>
      <c r="BL57" s="13">
        <v>0.0</v>
      </c>
      <c r="BM57" s="13">
        <v>0.0</v>
      </c>
      <c r="BN57" s="13">
        <v>0.0</v>
      </c>
      <c r="BO57" s="13">
        <v>0.0</v>
      </c>
      <c r="BP57" s="13">
        <v>0.0</v>
      </c>
      <c r="BQ57" s="13">
        <v>0.0</v>
      </c>
      <c r="BR57" s="13">
        <v>0.0</v>
      </c>
      <c r="BS57" s="13">
        <v>0.0</v>
      </c>
      <c r="BT57" s="13">
        <v>0.0</v>
      </c>
      <c r="BU57" s="13">
        <v>0.0</v>
      </c>
      <c r="BV57" s="13">
        <v>0.0</v>
      </c>
      <c r="BW57" s="13">
        <v>0.0</v>
      </c>
      <c r="BX57" s="13">
        <v>0.0</v>
      </c>
      <c r="BY57" s="13">
        <v>0.0</v>
      </c>
      <c r="BZ57" s="13">
        <v>0.0</v>
      </c>
      <c r="CA57" s="13">
        <v>0.0</v>
      </c>
      <c r="CB57" s="13">
        <v>0.0</v>
      </c>
      <c r="CC57" s="13">
        <v>0.0</v>
      </c>
      <c r="CD57" s="13">
        <v>0.0</v>
      </c>
      <c r="CE57" s="13">
        <v>0.0</v>
      </c>
      <c r="CF57" s="13">
        <v>0.0</v>
      </c>
      <c r="CG57" s="13">
        <v>0.0</v>
      </c>
      <c r="CH57" s="13">
        <v>0.0</v>
      </c>
      <c r="CI57" s="13">
        <v>0.0</v>
      </c>
      <c r="CJ57" s="13">
        <v>0.0</v>
      </c>
      <c r="CK57" s="13">
        <v>0.0</v>
      </c>
      <c r="CL57" s="13">
        <v>0.0</v>
      </c>
      <c r="CM57" s="13">
        <v>0.0</v>
      </c>
      <c r="CN57" s="13">
        <v>0.0</v>
      </c>
      <c r="CO57" s="13">
        <v>0.0</v>
      </c>
      <c r="CP57" s="13">
        <v>0.0</v>
      </c>
      <c r="CQ57" s="13">
        <v>0.0</v>
      </c>
      <c r="CR57" s="13">
        <v>0.0</v>
      </c>
      <c r="CS57" s="13">
        <v>0.0</v>
      </c>
      <c r="CT57" s="13">
        <v>0.0</v>
      </c>
      <c r="CU57" s="13">
        <v>0.0</v>
      </c>
      <c r="CV57" s="13">
        <v>0.0</v>
      </c>
      <c r="CW57" s="13">
        <v>0.0</v>
      </c>
      <c r="CX57" s="13">
        <v>0.0</v>
      </c>
      <c r="CY57" s="13">
        <v>0.0</v>
      </c>
      <c r="CZ57" s="13">
        <v>0.0</v>
      </c>
      <c r="DA57" s="13">
        <v>0.0</v>
      </c>
      <c r="DB57" s="13">
        <v>0.0</v>
      </c>
      <c r="DC57" s="13">
        <v>0.0</v>
      </c>
      <c r="DD57" s="13">
        <v>0.0</v>
      </c>
      <c r="DE57" s="13">
        <v>0.0</v>
      </c>
      <c r="DF57" s="13">
        <v>0.0</v>
      </c>
      <c r="DG57" s="13">
        <v>0.0</v>
      </c>
      <c r="DH57" s="13">
        <v>0.0</v>
      </c>
      <c r="DI57" s="13">
        <v>0.0</v>
      </c>
      <c r="DJ57" s="13">
        <v>0.0</v>
      </c>
      <c r="DK57" s="13">
        <v>0.0</v>
      </c>
      <c r="DL57" s="13">
        <v>0.0</v>
      </c>
      <c r="DM57" s="13">
        <v>0.0</v>
      </c>
      <c r="DN57" s="13">
        <v>0.0</v>
      </c>
      <c r="DO57" s="13">
        <v>0.0</v>
      </c>
      <c r="DP57" s="13">
        <v>0.0</v>
      </c>
      <c r="DQ57" s="13">
        <v>0.0</v>
      </c>
      <c r="DR57" s="13">
        <v>0.0</v>
      </c>
      <c r="DS57" s="13">
        <v>0.0</v>
      </c>
      <c r="DT57" s="13"/>
      <c r="DU57" s="13">
        <v>0.0</v>
      </c>
      <c r="DV57" s="13">
        <v>0.0</v>
      </c>
      <c r="DW57" s="13">
        <v>0.0</v>
      </c>
      <c r="DX57" s="13"/>
      <c r="DY57" s="13">
        <v>0.0</v>
      </c>
      <c r="DZ57" s="13">
        <v>0.0</v>
      </c>
      <c r="EA57" s="13">
        <v>0.0</v>
      </c>
      <c r="EB57" s="13">
        <v>0.0</v>
      </c>
      <c r="EC57" s="13">
        <v>0.0</v>
      </c>
      <c r="ED57" s="13">
        <v>0.0</v>
      </c>
      <c r="EE57" s="13">
        <v>0.0</v>
      </c>
      <c r="EF57" s="13">
        <v>0.0</v>
      </c>
      <c r="EG57" s="13">
        <v>0.0</v>
      </c>
      <c r="EH57" s="13">
        <v>0.0</v>
      </c>
      <c r="EI57" s="13">
        <v>0.0</v>
      </c>
      <c r="EJ57" s="13">
        <v>0.0</v>
      </c>
    </row>
    <row r="58" ht="15.75" customHeight="1">
      <c r="A58" s="9" t="s">
        <v>216</v>
      </c>
      <c r="B58" s="13"/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/>
      <c r="I58" s="16" t="str">
        <f>iferror(vlookup(A58,'Inst Lending numbers'!A:D,4,false)," ")</f>
        <v> </v>
      </c>
      <c r="J58" s="13"/>
      <c r="K58" s="13"/>
      <c r="L58" s="13"/>
      <c r="M58" s="13"/>
      <c r="N58" s="13"/>
      <c r="O58" s="13">
        <f t="shared" si="11"/>
        <v>0.03932233526</v>
      </c>
      <c r="P58" s="13">
        <f t="shared" si="2"/>
        <v>0</v>
      </c>
      <c r="Q58" s="13"/>
      <c r="R58" s="13"/>
      <c r="S58" s="13"/>
      <c r="T58" s="13"/>
      <c r="U58" s="13"/>
      <c r="V58" s="13"/>
      <c r="W58" s="13"/>
      <c r="X58" s="13"/>
      <c r="Y58" s="13">
        <f t="shared" si="3"/>
        <v>0</v>
      </c>
      <c r="Z58" s="13"/>
      <c r="AA58" s="13">
        <v>0.0</v>
      </c>
      <c r="AB58" s="13">
        <f t="shared" si="10"/>
        <v>0.1957867833</v>
      </c>
      <c r="AC58" s="13"/>
      <c r="AD58" s="13"/>
      <c r="AE58" s="13">
        <f>iferror(sumif('Weekly Rates'!D:D,A58,'Weekly Rates'!F:F)/countif('Weekly Rates'!D:D,A58),0)</f>
        <v>0</v>
      </c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 t="str">
        <f>iferror(VLOOKUP($A58,EAM!A$2:E$14,2,FALSE))</f>
        <v/>
      </c>
      <c r="AT58" s="13"/>
      <c r="AU58" s="13">
        <f>sumif('Weekly Rates'!A:A,A58,'Weekly Rates'!B:B)</f>
        <v>0</v>
      </c>
      <c r="AV58" s="13">
        <v>0.0</v>
      </c>
      <c r="AW58" s="13">
        <v>0.0</v>
      </c>
      <c r="AX58" s="13">
        <v>0.0</v>
      </c>
      <c r="AY58" s="13">
        <v>0.0</v>
      </c>
      <c r="AZ58" s="13">
        <v>0.0</v>
      </c>
      <c r="BA58" s="13">
        <v>0.0</v>
      </c>
      <c r="BB58" s="13">
        <v>0.0</v>
      </c>
      <c r="BC58" s="13">
        <v>0.0</v>
      </c>
      <c r="BD58" s="13">
        <v>0.0</v>
      </c>
      <c r="BE58" s="13">
        <v>0.0</v>
      </c>
      <c r="BF58" s="13">
        <v>0.0</v>
      </c>
      <c r="BG58" s="13">
        <v>0.0</v>
      </c>
      <c r="BH58" s="13">
        <v>0.0</v>
      </c>
      <c r="BI58" s="13">
        <v>0.0</v>
      </c>
      <c r="BJ58" s="13">
        <v>0.0</v>
      </c>
      <c r="BK58" s="13">
        <v>0.0</v>
      </c>
      <c r="BL58" s="13">
        <v>0.0</v>
      </c>
      <c r="BM58" s="13">
        <v>0.0</v>
      </c>
      <c r="BN58" s="13">
        <v>0.0</v>
      </c>
      <c r="BO58" s="13">
        <v>0.0</v>
      </c>
      <c r="BP58" s="13">
        <v>0.0</v>
      </c>
      <c r="BQ58" s="13">
        <v>0.0</v>
      </c>
      <c r="BR58" s="13">
        <v>0.0</v>
      </c>
      <c r="BS58" s="13">
        <v>0.0</v>
      </c>
      <c r="BT58" s="13">
        <v>0.0</v>
      </c>
      <c r="BU58" s="13">
        <v>0.0</v>
      </c>
      <c r="BV58" s="13">
        <v>0.0</v>
      </c>
      <c r="BW58" s="13">
        <v>0.0</v>
      </c>
      <c r="BX58" s="13">
        <v>0.0</v>
      </c>
      <c r="BY58" s="13">
        <v>0.0</v>
      </c>
      <c r="BZ58" s="13">
        <v>0.0</v>
      </c>
      <c r="CA58" s="13">
        <v>0.0</v>
      </c>
      <c r="CB58" s="13">
        <v>0.0</v>
      </c>
      <c r="CC58" s="13">
        <v>0.0</v>
      </c>
      <c r="CD58" s="13">
        <v>0.0</v>
      </c>
      <c r="CE58" s="13">
        <v>0.0</v>
      </c>
      <c r="CF58" s="13">
        <v>0.0</v>
      </c>
      <c r="CG58" s="13">
        <v>0.0</v>
      </c>
      <c r="CH58" s="13">
        <v>0.0</v>
      </c>
      <c r="CI58" s="13">
        <v>0.0</v>
      </c>
      <c r="CJ58" s="13">
        <v>0.0</v>
      </c>
      <c r="CK58" s="13">
        <v>0.0</v>
      </c>
      <c r="CL58" s="13">
        <v>0.0</v>
      </c>
      <c r="CM58" s="13">
        <v>0.0</v>
      </c>
      <c r="CN58" s="13">
        <v>0.0</v>
      </c>
      <c r="CO58" s="13">
        <v>0.0</v>
      </c>
      <c r="CP58" s="13">
        <v>0.0</v>
      </c>
      <c r="CQ58" s="13">
        <v>0.0</v>
      </c>
      <c r="CR58" s="13">
        <v>0.0</v>
      </c>
      <c r="CS58" s="13">
        <v>0.0</v>
      </c>
      <c r="CT58" s="13">
        <v>0.0</v>
      </c>
      <c r="CU58" s="13">
        <v>0.0</v>
      </c>
      <c r="CV58" s="13">
        <v>0.0</v>
      </c>
      <c r="CW58" s="13">
        <v>0.0</v>
      </c>
      <c r="CX58" s="13">
        <v>0.0</v>
      </c>
      <c r="CY58" s="13">
        <v>0.0</v>
      </c>
      <c r="CZ58" s="13">
        <v>0.0</v>
      </c>
      <c r="DA58" s="13">
        <v>0.0</v>
      </c>
      <c r="DB58" s="13">
        <v>0.0</v>
      </c>
      <c r="DC58" s="13">
        <v>0.0</v>
      </c>
      <c r="DD58" s="13">
        <v>0.0</v>
      </c>
      <c r="DE58" s="13">
        <v>0.0</v>
      </c>
      <c r="DF58" s="13">
        <v>0.0</v>
      </c>
      <c r="DG58" s="13">
        <v>0.0</v>
      </c>
      <c r="DH58" s="13">
        <v>0.0</v>
      </c>
      <c r="DI58" s="13">
        <v>0.0</v>
      </c>
      <c r="DJ58" s="13">
        <v>0.0</v>
      </c>
      <c r="DK58" s="13">
        <v>0.0</v>
      </c>
      <c r="DL58" s="13">
        <v>0.0</v>
      </c>
      <c r="DM58" s="13">
        <v>0.0</v>
      </c>
      <c r="DN58" s="13">
        <v>0.0</v>
      </c>
      <c r="DO58" s="13">
        <v>0.0</v>
      </c>
      <c r="DP58" s="13">
        <v>0.0</v>
      </c>
      <c r="DQ58" s="13">
        <v>0.0</v>
      </c>
      <c r="DR58" s="13">
        <v>0.0</v>
      </c>
      <c r="DS58" s="13">
        <v>0.0</v>
      </c>
      <c r="DT58" s="13"/>
      <c r="DU58" s="13">
        <v>0.0</v>
      </c>
      <c r="DV58" s="13">
        <v>0.0</v>
      </c>
      <c r="DW58" s="13">
        <v>0.0</v>
      </c>
      <c r="DX58" s="13"/>
      <c r="DY58" s="13">
        <v>0.0</v>
      </c>
      <c r="DZ58" s="13">
        <v>0.0</v>
      </c>
      <c r="EA58" s="13">
        <v>0.0</v>
      </c>
      <c r="EB58" s="13">
        <v>0.0</v>
      </c>
      <c r="EC58" s="13">
        <v>0.0</v>
      </c>
      <c r="ED58" s="13">
        <v>0.0</v>
      </c>
      <c r="EE58" s="13">
        <v>0.0</v>
      </c>
      <c r="EF58" s="13">
        <v>0.0</v>
      </c>
      <c r="EG58" s="13">
        <v>0.0</v>
      </c>
      <c r="EH58" s="13">
        <v>0.0</v>
      </c>
      <c r="EI58" s="13">
        <v>0.0</v>
      </c>
      <c r="EJ58" s="13">
        <v>0.0</v>
      </c>
    </row>
    <row r="59" ht="15.75" customHeight="1">
      <c r="A59" s="9" t="s">
        <v>217</v>
      </c>
      <c r="B59" s="13"/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/>
      <c r="I59" s="16">
        <f>iferror(vlookup(A59,'Inst Lending numbers'!A:D,4,false)," ")</f>
        <v>0.0678</v>
      </c>
      <c r="J59" s="13"/>
      <c r="K59" s="13"/>
      <c r="L59" s="13"/>
      <c r="M59" s="13"/>
      <c r="N59" s="13"/>
      <c r="O59" s="13">
        <f t="shared" si="11"/>
        <v>0.03932233526</v>
      </c>
      <c r="P59" s="13">
        <f t="shared" si="2"/>
        <v>0</v>
      </c>
      <c r="Q59" s="13"/>
      <c r="R59" s="13"/>
      <c r="S59" s="13"/>
      <c r="T59" s="13"/>
      <c r="U59" s="13"/>
      <c r="V59" s="13"/>
      <c r="W59" s="13"/>
      <c r="X59" s="13"/>
      <c r="Y59" s="13">
        <f t="shared" si="3"/>
        <v>0</v>
      </c>
      <c r="Z59" s="13"/>
      <c r="AA59" s="13">
        <v>0.0</v>
      </c>
      <c r="AB59" s="13">
        <f t="shared" si="10"/>
        <v>0.1957867833</v>
      </c>
      <c r="AC59" s="13"/>
      <c r="AD59" s="13"/>
      <c r="AE59" s="13">
        <f>iferror(sumif('Weekly Rates'!D:D,A59,'Weekly Rates'!F:F)/countif('Weekly Rates'!D:D,A59),0)</f>
        <v>0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 t="str">
        <f>iferror(VLOOKUP($A59,EAM!A$2:E$14,2,FALSE))</f>
        <v/>
      </c>
      <c r="AT59" s="13"/>
      <c r="AU59" s="13">
        <f>sumif('Weekly Rates'!A:A,A59,'Weekly Rates'!B:B)</f>
        <v>0.3394</v>
      </c>
      <c r="AV59" s="13">
        <v>0.0</v>
      </c>
      <c r="AW59" s="13">
        <v>0.0</v>
      </c>
      <c r="AX59" s="13">
        <v>0.0</v>
      </c>
      <c r="AY59" s="13">
        <v>0.0</v>
      </c>
      <c r="AZ59" s="13">
        <v>0.0</v>
      </c>
      <c r="BA59" s="13">
        <v>0.0</v>
      </c>
      <c r="BB59" s="13">
        <v>0.0</v>
      </c>
      <c r="BC59" s="13">
        <v>0.0</v>
      </c>
      <c r="BD59" s="13">
        <v>0.0</v>
      </c>
      <c r="BE59" s="13">
        <v>0.0</v>
      </c>
      <c r="BF59" s="13">
        <v>0.0</v>
      </c>
      <c r="BG59" s="13">
        <v>0.0</v>
      </c>
      <c r="BH59" s="13">
        <v>0.0</v>
      </c>
      <c r="BI59" s="13">
        <v>0.0</v>
      </c>
      <c r="BJ59" s="13">
        <v>0.0</v>
      </c>
      <c r="BK59" s="13">
        <v>0.0</v>
      </c>
      <c r="BL59" s="13">
        <v>0.0</v>
      </c>
      <c r="BM59" s="13">
        <v>0.0</v>
      </c>
      <c r="BN59" s="13">
        <v>0.0</v>
      </c>
      <c r="BO59" s="13">
        <v>0.0</v>
      </c>
      <c r="BP59" s="13">
        <v>0.0</v>
      </c>
      <c r="BQ59" s="13">
        <v>0.0</v>
      </c>
      <c r="BR59" s="13">
        <v>0.0</v>
      </c>
      <c r="BS59" s="13">
        <v>0.0</v>
      </c>
      <c r="BT59" s="13">
        <v>0.0</v>
      </c>
      <c r="BU59" s="13">
        <v>0.0</v>
      </c>
      <c r="BV59" s="13">
        <v>0.0</v>
      </c>
      <c r="BW59" s="13">
        <v>0.0</v>
      </c>
      <c r="BX59" s="13">
        <v>0.0</v>
      </c>
      <c r="BY59" s="13">
        <v>0.0</v>
      </c>
      <c r="BZ59" s="13">
        <v>0.0</v>
      </c>
      <c r="CA59" s="13">
        <v>0.0</v>
      </c>
      <c r="CB59" s="13">
        <v>0.0</v>
      </c>
      <c r="CC59" s="13">
        <v>0.0</v>
      </c>
      <c r="CD59" s="13">
        <v>0.0</v>
      </c>
      <c r="CE59" s="13">
        <v>0.0</v>
      </c>
      <c r="CF59" s="13">
        <v>0.0</v>
      </c>
      <c r="CG59" s="13">
        <v>0.0</v>
      </c>
      <c r="CH59" s="13">
        <v>0.0</v>
      </c>
      <c r="CI59" s="13">
        <v>0.0</v>
      </c>
      <c r="CJ59" s="13">
        <v>0.0</v>
      </c>
      <c r="CK59" s="13">
        <v>0.0</v>
      </c>
      <c r="CL59" s="13">
        <v>0.0</v>
      </c>
      <c r="CM59" s="13">
        <v>0.0</v>
      </c>
      <c r="CN59" s="13">
        <v>0.0</v>
      </c>
      <c r="CO59" s="13">
        <v>0.0</v>
      </c>
      <c r="CP59" s="13">
        <v>0.0</v>
      </c>
      <c r="CQ59" s="13">
        <v>0.0</v>
      </c>
      <c r="CR59" s="13">
        <v>0.0</v>
      </c>
      <c r="CS59" s="13">
        <v>0.0</v>
      </c>
      <c r="CT59" s="13">
        <v>0.0</v>
      </c>
      <c r="CU59" s="13">
        <v>0.0</v>
      </c>
      <c r="CV59" s="13">
        <v>0.0</v>
      </c>
      <c r="CW59" s="13">
        <v>0.0</v>
      </c>
      <c r="CX59" s="13">
        <v>0.0</v>
      </c>
      <c r="CY59" s="13">
        <v>0.0</v>
      </c>
      <c r="CZ59" s="13">
        <v>0.0</v>
      </c>
      <c r="DA59" s="13">
        <v>0.0</v>
      </c>
      <c r="DB59" s="13">
        <v>0.0</v>
      </c>
      <c r="DC59" s="13">
        <v>0.0</v>
      </c>
      <c r="DD59" s="13">
        <v>0.0</v>
      </c>
      <c r="DE59" s="13">
        <v>0.0</v>
      </c>
      <c r="DF59" s="13">
        <v>0.0</v>
      </c>
      <c r="DG59" s="13">
        <v>0.0</v>
      </c>
      <c r="DH59" s="13">
        <v>0.0</v>
      </c>
      <c r="DI59" s="13">
        <v>0.0</v>
      </c>
      <c r="DJ59" s="13">
        <v>0.0</v>
      </c>
      <c r="DK59" s="13">
        <v>0.0</v>
      </c>
      <c r="DL59" s="13">
        <v>0.0</v>
      </c>
      <c r="DM59" s="13">
        <v>0.0</v>
      </c>
      <c r="DN59" s="13">
        <v>0.0</v>
      </c>
      <c r="DO59" s="13">
        <v>0.0</v>
      </c>
      <c r="DP59" s="13">
        <v>0.0</v>
      </c>
      <c r="DQ59" s="13">
        <v>0.0</v>
      </c>
      <c r="DR59" s="13">
        <v>0.0</v>
      </c>
      <c r="DS59" s="13">
        <v>0.0</v>
      </c>
      <c r="DT59" s="13"/>
      <c r="DU59" s="13">
        <v>0.0</v>
      </c>
      <c r="DV59" s="13">
        <v>0.0</v>
      </c>
      <c r="DW59" s="13">
        <v>0.0</v>
      </c>
      <c r="DX59" s="13"/>
      <c r="DY59" s="13">
        <v>0.0</v>
      </c>
      <c r="DZ59" s="13">
        <v>0.0</v>
      </c>
      <c r="EA59" s="13">
        <v>0.0</v>
      </c>
      <c r="EB59" s="13">
        <v>0.0</v>
      </c>
      <c r="EC59" s="13">
        <v>0.0</v>
      </c>
      <c r="ED59" s="13">
        <v>0.0</v>
      </c>
      <c r="EE59" s="13">
        <v>0.0</v>
      </c>
      <c r="EF59" s="13">
        <v>0.0</v>
      </c>
      <c r="EG59" s="13">
        <v>0.0</v>
      </c>
      <c r="EH59" s="13">
        <v>0.0</v>
      </c>
      <c r="EI59" s="13">
        <v>0.0</v>
      </c>
      <c r="EJ59" s="13">
        <v>0.0</v>
      </c>
    </row>
    <row r="60" ht="15.75" customHeight="1">
      <c r="A60" s="9" t="s">
        <v>218</v>
      </c>
      <c r="B60" s="13"/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/>
      <c r="I60" s="16" t="str">
        <f>iferror(vlookup(A60,'Inst Lending numbers'!A:D,4,false)," ")</f>
        <v> </v>
      </c>
      <c r="J60" s="13"/>
      <c r="K60" s="13"/>
      <c r="L60" s="13"/>
      <c r="M60" s="13"/>
      <c r="N60" s="13"/>
      <c r="O60" s="13">
        <f t="shared" si="11"/>
        <v>0.03932233526</v>
      </c>
      <c r="P60" s="13">
        <f t="shared" si="2"/>
        <v>0</v>
      </c>
      <c r="Q60" s="13"/>
      <c r="R60" s="13"/>
      <c r="S60" s="13"/>
      <c r="T60" s="13"/>
      <c r="U60" s="13"/>
      <c r="V60" s="13"/>
      <c r="W60" s="13"/>
      <c r="X60" s="13"/>
      <c r="Y60" s="13">
        <f t="shared" si="3"/>
        <v>0</v>
      </c>
      <c r="Z60" s="13"/>
      <c r="AA60" s="13">
        <v>0.0</v>
      </c>
      <c r="AB60" s="13">
        <f t="shared" si="10"/>
        <v>0.1957867833</v>
      </c>
      <c r="AC60" s="13"/>
      <c r="AD60" s="13"/>
      <c r="AE60" s="13">
        <f>iferror(sumif('Weekly Rates'!D:D,A60,'Weekly Rates'!F:F)/countif('Weekly Rates'!D:D,A60),0)</f>
        <v>0</v>
      </c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 t="str">
        <f>iferror(VLOOKUP($A60,EAM!A$2:E$14,2,FALSE))</f>
        <v/>
      </c>
      <c r="AT60" s="13"/>
      <c r="AU60" s="13">
        <f>sumif('Weekly Rates'!A:A,A60,'Weekly Rates'!B:B)</f>
        <v>0</v>
      </c>
      <c r="AV60" s="13">
        <v>0.0</v>
      </c>
      <c r="AW60" s="13">
        <v>0.0</v>
      </c>
      <c r="AX60" s="13">
        <v>0.0</v>
      </c>
      <c r="AY60" s="13">
        <v>0.0</v>
      </c>
      <c r="AZ60" s="13">
        <v>0.0</v>
      </c>
      <c r="BA60" s="13">
        <v>0.0</v>
      </c>
      <c r="BB60" s="13">
        <v>0.0</v>
      </c>
      <c r="BC60" s="13">
        <v>0.0</v>
      </c>
      <c r="BD60" s="13">
        <v>0.0</v>
      </c>
      <c r="BE60" s="13">
        <v>0.0</v>
      </c>
      <c r="BF60" s="13">
        <v>0.0</v>
      </c>
      <c r="BG60" s="13">
        <v>0.0</v>
      </c>
      <c r="BH60" s="13">
        <v>0.0</v>
      </c>
      <c r="BI60" s="13">
        <v>0.0</v>
      </c>
      <c r="BJ60" s="13">
        <v>0.0</v>
      </c>
      <c r="BK60" s="13">
        <v>0.0</v>
      </c>
      <c r="BL60" s="13">
        <v>0.0</v>
      </c>
      <c r="BM60" s="13">
        <v>0.0</v>
      </c>
      <c r="BN60" s="13">
        <v>0.0</v>
      </c>
      <c r="BO60" s="13">
        <v>0.0</v>
      </c>
      <c r="BP60" s="13">
        <v>0.0</v>
      </c>
      <c r="BQ60" s="13">
        <v>0.0</v>
      </c>
      <c r="BR60" s="13">
        <v>0.0</v>
      </c>
      <c r="BS60" s="13">
        <v>0.0</v>
      </c>
      <c r="BT60" s="13">
        <v>0.0</v>
      </c>
      <c r="BU60" s="13">
        <v>0.0</v>
      </c>
      <c r="BV60" s="13">
        <v>0.0</v>
      </c>
      <c r="BW60" s="13">
        <v>0.0</v>
      </c>
      <c r="BX60" s="13">
        <v>0.0</v>
      </c>
      <c r="BY60" s="13">
        <v>0.0</v>
      </c>
      <c r="BZ60" s="13">
        <v>0.0</v>
      </c>
      <c r="CA60" s="13">
        <v>0.0</v>
      </c>
      <c r="CB60" s="13">
        <v>0.0</v>
      </c>
      <c r="CC60" s="13">
        <v>0.0</v>
      </c>
      <c r="CD60" s="13">
        <v>0.0</v>
      </c>
      <c r="CE60" s="13">
        <v>0.0</v>
      </c>
      <c r="CF60" s="13">
        <v>0.0</v>
      </c>
      <c r="CG60" s="13">
        <v>0.0</v>
      </c>
      <c r="CH60" s="13">
        <v>0.0</v>
      </c>
      <c r="CI60" s="13">
        <v>0.0</v>
      </c>
      <c r="CJ60" s="13">
        <v>0.0</v>
      </c>
      <c r="CK60" s="13">
        <v>0.0</v>
      </c>
      <c r="CL60" s="13">
        <v>0.0</v>
      </c>
      <c r="CM60" s="13">
        <v>0.0</v>
      </c>
      <c r="CN60" s="13">
        <v>0.0</v>
      </c>
      <c r="CO60" s="13">
        <v>0.0</v>
      </c>
      <c r="CP60" s="13">
        <v>0.0</v>
      </c>
      <c r="CQ60" s="13">
        <v>0.0</v>
      </c>
      <c r="CR60" s="13">
        <v>0.0</v>
      </c>
      <c r="CS60" s="13">
        <v>0.0</v>
      </c>
      <c r="CT60" s="13">
        <v>0.0</v>
      </c>
      <c r="CU60" s="13">
        <v>0.0</v>
      </c>
      <c r="CV60" s="13">
        <v>0.0</v>
      </c>
      <c r="CW60" s="13">
        <v>0.0</v>
      </c>
      <c r="CX60" s="13">
        <v>0.0</v>
      </c>
      <c r="CY60" s="13">
        <v>0.0</v>
      </c>
      <c r="CZ60" s="13">
        <v>0.0</v>
      </c>
      <c r="DA60" s="13">
        <v>0.0</v>
      </c>
      <c r="DB60" s="13">
        <v>0.0</v>
      </c>
      <c r="DC60" s="13">
        <v>0.0</v>
      </c>
      <c r="DD60" s="13">
        <v>0.0</v>
      </c>
      <c r="DE60" s="13">
        <v>0.0</v>
      </c>
      <c r="DF60" s="13">
        <v>0.0</v>
      </c>
      <c r="DG60" s="13">
        <v>0.0</v>
      </c>
      <c r="DH60" s="13">
        <v>0.0</v>
      </c>
      <c r="DI60" s="13">
        <v>0.0</v>
      </c>
      <c r="DJ60" s="13">
        <v>0.0</v>
      </c>
      <c r="DK60" s="13">
        <v>0.0</v>
      </c>
      <c r="DL60" s="13">
        <v>0.0</v>
      </c>
      <c r="DM60" s="13">
        <v>0.0</v>
      </c>
      <c r="DN60" s="13">
        <v>0.0</v>
      </c>
      <c r="DO60" s="13">
        <v>0.0</v>
      </c>
      <c r="DP60" s="13">
        <v>0.0</v>
      </c>
      <c r="DQ60" s="13">
        <v>0.0</v>
      </c>
      <c r="DR60" s="13">
        <v>0.0</v>
      </c>
      <c r="DS60" s="13">
        <v>0.0</v>
      </c>
      <c r="DT60" s="13"/>
      <c r="DU60" s="13">
        <v>0.0</v>
      </c>
      <c r="DV60" s="13">
        <v>0.0</v>
      </c>
      <c r="DW60" s="13">
        <v>0.0</v>
      </c>
      <c r="DX60" s="13"/>
      <c r="DY60" s="13">
        <v>0.0</v>
      </c>
      <c r="DZ60" s="13">
        <v>0.0</v>
      </c>
      <c r="EA60" s="13">
        <v>0.0</v>
      </c>
      <c r="EB60" s="13">
        <v>0.0</v>
      </c>
      <c r="EC60" s="13">
        <v>0.0</v>
      </c>
      <c r="ED60" s="13">
        <v>0.0</v>
      </c>
      <c r="EE60" s="13">
        <v>0.0</v>
      </c>
      <c r="EF60" s="13">
        <v>0.0</v>
      </c>
      <c r="EG60" s="13">
        <v>0.0</v>
      </c>
      <c r="EH60" s="13">
        <v>0.0</v>
      </c>
      <c r="EI60" s="13">
        <v>0.0</v>
      </c>
      <c r="EJ60" s="13">
        <v>0.0</v>
      </c>
    </row>
    <row r="61" ht="15.75" customHeight="1">
      <c r="A61" s="9" t="s">
        <v>219</v>
      </c>
      <c r="B61" s="13"/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/>
      <c r="I61" s="16" t="str">
        <f>iferror(vlookup(A61,'Inst Lending numbers'!A:D,4,false)," ")</f>
        <v> </v>
      </c>
      <c r="J61" s="13"/>
      <c r="K61" s="13"/>
      <c r="L61" s="13"/>
      <c r="M61" s="13"/>
      <c r="N61" s="13"/>
      <c r="O61" s="13">
        <f t="shared" si="11"/>
        <v>0.03932233526</v>
      </c>
      <c r="P61" s="13">
        <f t="shared" si="2"/>
        <v>0</v>
      </c>
      <c r="Q61" s="13"/>
      <c r="R61" s="13"/>
      <c r="S61" s="13"/>
      <c r="T61" s="13"/>
      <c r="U61" s="13"/>
      <c r="V61" s="13"/>
      <c r="W61" s="13"/>
      <c r="X61" s="13"/>
      <c r="Y61" s="13">
        <f t="shared" si="3"/>
        <v>0</v>
      </c>
      <c r="Z61" s="13"/>
      <c r="AA61" s="13">
        <v>0.0</v>
      </c>
      <c r="AB61" s="13">
        <f t="shared" si="10"/>
        <v>0.1957867833</v>
      </c>
      <c r="AC61" s="13"/>
      <c r="AD61" s="13"/>
      <c r="AE61" s="13">
        <f>iferror(sumif('Weekly Rates'!D:D,A61,'Weekly Rates'!F:F)/countif('Weekly Rates'!D:D,A61),0)</f>
        <v>0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 t="str">
        <f>iferror(VLOOKUP($A61,EAM!A$2:E$14,2,FALSE))</f>
        <v/>
      </c>
      <c r="AT61" s="13"/>
      <c r="AU61" s="13">
        <f>sumif('Weekly Rates'!A:A,A61,'Weekly Rates'!B:B)</f>
        <v>0</v>
      </c>
      <c r="AV61" s="13">
        <v>0.0</v>
      </c>
      <c r="AW61" s="13">
        <v>0.0</v>
      </c>
      <c r="AX61" s="13">
        <v>0.0</v>
      </c>
      <c r="AY61" s="13">
        <v>0.0</v>
      </c>
      <c r="AZ61" s="13">
        <v>0.0</v>
      </c>
      <c r="BA61" s="13">
        <v>0.0</v>
      </c>
      <c r="BB61" s="13">
        <v>0.0</v>
      </c>
      <c r="BC61" s="13">
        <v>0.0</v>
      </c>
      <c r="BD61" s="13">
        <v>0.0</v>
      </c>
      <c r="BE61" s="13">
        <v>0.0</v>
      </c>
      <c r="BF61" s="13">
        <v>0.0</v>
      </c>
      <c r="BG61" s="13">
        <v>0.0</v>
      </c>
      <c r="BH61" s="13">
        <v>0.0</v>
      </c>
      <c r="BI61" s="13">
        <v>0.0</v>
      </c>
      <c r="BJ61" s="13">
        <v>0.0</v>
      </c>
      <c r="BK61" s="13">
        <v>0.0</v>
      </c>
      <c r="BL61" s="13">
        <v>0.0</v>
      </c>
      <c r="BM61" s="13">
        <v>0.0</v>
      </c>
      <c r="BN61" s="13">
        <v>0.0</v>
      </c>
      <c r="BO61" s="13">
        <v>0.0</v>
      </c>
      <c r="BP61" s="13">
        <v>0.0</v>
      </c>
      <c r="BQ61" s="13">
        <v>0.0</v>
      </c>
      <c r="BR61" s="13">
        <v>0.0</v>
      </c>
      <c r="BS61" s="13">
        <v>0.0</v>
      </c>
      <c r="BT61" s="13">
        <v>0.0</v>
      </c>
      <c r="BU61" s="13">
        <v>0.0</v>
      </c>
      <c r="BV61" s="13">
        <v>0.0</v>
      </c>
      <c r="BW61" s="13">
        <v>0.0</v>
      </c>
      <c r="BX61" s="13">
        <v>0.0</v>
      </c>
      <c r="BY61" s="13">
        <v>0.0</v>
      </c>
      <c r="BZ61" s="13">
        <v>0.0</v>
      </c>
      <c r="CA61" s="13">
        <v>0.0</v>
      </c>
      <c r="CB61" s="13">
        <v>0.0</v>
      </c>
      <c r="CC61" s="13">
        <v>0.0</v>
      </c>
      <c r="CD61" s="13">
        <v>0.0</v>
      </c>
      <c r="CE61" s="13">
        <v>0.0</v>
      </c>
      <c r="CF61" s="13">
        <v>0.0</v>
      </c>
      <c r="CG61" s="13">
        <v>0.0</v>
      </c>
      <c r="CH61" s="13">
        <v>0.0</v>
      </c>
      <c r="CI61" s="13">
        <v>0.0</v>
      </c>
      <c r="CJ61" s="13">
        <v>0.0</v>
      </c>
      <c r="CK61" s="13">
        <v>0.0</v>
      </c>
      <c r="CL61" s="13">
        <v>0.0</v>
      </c>
      <c r="CM61" s="13">
        <v>0.0</v>
      </c>
      <c r="CN61" s="13">
        <v>0.0</v>
      </c>
      <c r="CO61" s="13">
        <v>0.0</v>
      </c>
      <c r="CP61" s="13">
        <v>0.0</v>
      </c>
      <c r="CQ61" s="13">
        <v>0.0</v>
      </c>
      <c r="CR61" s="13">
        <v>0.0</v>
      </c>
      <c r="CS61" s="13">
        <v>0.0</v>
      </c>
      <c r="CT61" s="13">
        <v>0.0</v>
      </c>
      <c r="CU61" s="13">
        <v>0.0</v>
      </c>
      <c r="CV61" s="13">
        <v>0.0</v>
      </c>
      <c r="CW61" s="13">
        <v>0.0</v>
      </c>
      <c r="CX61" s="13">
        <v>0.0</v>
      </c>
      <c r="CY61" s="13">
        <v>0.0</v>
      </c>
      <c r="CZ61" s="13">
        <v>0.0</v>
      </c>
      <c r="DA61" s="13">
        <v>0.0</v>
      </c>
      <c r="DB61" s="13">
        <v>0.0</v>
      </c>
      <c r="DC61" s="13">
        <v>0.0</v>
      </c>
      <c r="DD61" s="13">
        <v>0.0</v>
      </c>
      <c r="DE61" s="13">
        <v>0.0</v>
      </c>
      <c r="DF61" s="13">
        <v>0.0</v>
      </c>
      <c r="DG61" s="13">
        <v>0.0</v>
      </c>
      <c r="DH61" s="13">
        <v>0.0</v>
      </c>
      <c r="DI61" s="13">
        <v>0.0</v>
      </c>
      <c r="DJ61" s="13">
        <v>0.0</v>
      </c>
      <c r="DK61" s="13">
        <v>0.0</v>
      </c>
      <c r="DL61" s="13">
        <v>0.0</v>
      </c>
      <c r="DM61" s="13">
        <v>0.0</v>
      </c>
      <c r="DN61" s="13">
        <v>0.0</v>
      </c>
      <c r="DO61" s="13">
        <v>0.0</v>
      </c>
      <c r="DP61" s="13">
        <v>0.0</v>
      </c>
      <c r="DQ61" s="13">
        <v>0.0</v>
      </c>
      <c r="DR61" s="13">
        <v>0.0</v>
      </c>
      <c r="DS61" s="13">
        <v>0.0</v>
      </c>
      <c r="DT61" s="13"/>
      <c r="DU61" s="13">
        <v>0.0</v>
      </c>
      <c r="DV61" s="13">
        <v>0.0</v>
      </c>
      <c r="DW61" s="13">
        <v>0.0</v>
      </c>
      <c r="DX61" s="13"/>
      <c r="DY61" s="13">
        <v>0.0</v>
      </c>
      <c r="DZ61" s="13">
        <v>0.0</v>
      </c>
      <c r="EA61" s="13">
        <v>0.0</v>
      </c>
      <c r="EB61" s="13">
        <v>0.0</v>
      </c>
      <c r="EC61" s="13">
        <v>0.0</v>
      </c>
      <c r="ED61" s="13">
        <v>0.0</v>
      </c>
      <c r="EE61" s="13">
        <v>0.0</v>
      </c>
      <c r="EF61" s="13">
        <v>0.0</v>
      </c>
      <c r="EG61" s="13">
        <v>0.0</v>
      </c>
      <c r="EH61" s="13">
        <v>0.0</v>
      </c>
      <c r="EI61" s="13">
        <v>0.0</v>
      </c>
      <c r="EJ61" s="13">
        <v>0.0</v>
      </c>
    </row>
    <row r="62" ht="15.75" customHeight="1">
      <c r="A62" s="9" t="s">
        <v>220</v>
      </c>
      <c r="B62" s="13"/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/>
      <c r="I62" s="16" t="str">
        <f>iferror(vlookup(A62,'Inst Lending numbers'!A:D,4,false)," ")</f>
        <v> </v>
      </c>
      <c r="J62" s="13"/>
      <c r="K62" s="13"/>
      <c r="L62" s="13"/>
      <c r="M62" s="13"/>
      <c r="N62" s="13"/>
      <c r="O62" s="13">
        <f t="shared" si="11"/>
        <v>0.03932233526</v>
      </c>
      <c r="P62" s="13">
        <f t="shared" si="2"/>
        <v>0</v>
      </c>
      <c r="Q62" s="13"/>
      <c r="R62" s="13"/>
      <c r="S62" s="13"/>
      <c r="T62" s="13"/>
      <c r="U62" s="13"/>
      <c r="V62" s="13"/>
      <c r="W62" s="13"/>
      <c r="X62" s="13"/>
      <c r="Y62" s="13">
        <f t="shared" si="3"/>
        <v>0</v>
      </c>
      <c r="Z62" s="13"/>
      <c r="AA62" s="13">
        <v>0.0</v>
      </c>
      <c r="AB62" s="13">
        <f t="shared" si="10"/>
        <v>0.1957867833</v>
      </c>
      <c r="AC62" s="13"/>
      <c r="AD62" s="13"/>
      <c r="AE62" s="13">
        <f>iferror(sumif('Weekly Rates'!D:D,A62,'Weekly Rates'!F:F)/countif('Weekly Rates'!D:D,A62),0)</f>
        <v>0</v>
      </c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 t="str">
        <f>iferror(VLOOKUP($A62,EAM!A$2:E$14,2,FALSE))</f>
        <v/>
      </c>
      <c r="AT62" s="13"/>
      <c r="AU62" s="13">
        <f>sumif('Weekly Rates'!A:A,A62,'Weekly Rates'!B:B)</f>
        <v>0</v>
      </c>
      <c r="AV62" s="13">
        <v>0.0</v>
      </c>
      <c r="AW62" s="13">
        <v>0.0</v>
      </c>
      <c r="AX62" s="13">
        <v>0.0</v>
      </c>
      <c r="AY62" s="13">
        <v>0.0</v>
      </c>
      <c r="AZ62" s="13">
        <v>0.0</v>
      </c>
      <c r="BA62" s="13">
        <v>0.0</v>
      </c>
      <c r="BB62" s="13">
        <v>0.0</v>
      </c>
      <c r="BC62" s="13">
        <v>0.0</v>
      </c>
      <c r="BD62" s="13">
        <v>0.0</v>
      </c>
      <c r="BE62" s="13">
        <v>0.0</v>
      </c>
      <c r="BF62" s="13">
        <v>0.0</v>
      </c>
      <c r="BG62" s="13">
        <v>0.0</v>
      </c>
      <c r="BH62" s="13">
        <v>0.0</v>
      </c>
      <c r="BI62" s="13">
        <v>0.0</v>
      </c>
      <c r="BJ62" s="13">
        <v>0.0</v>
      </c>
      <c r="BK62" s="13">
        <v>0.0</v>
      </c>
      <c r="BL62" s="13">
        <v>0.0</v>
      </c>
      <c r="BM62" s="13">
        <v>0.0</v>
      </c>
      <c r="BN62" s="13">
        <v>0.0</v>
      </c>
      <c r="BO62" s="13">
        <v>0.0</v>
      </c>
      <c r="BP62" s="13">
        <v>0.0</v>
      </c>
      <c r="BQ62" s="13">
        <v>0.0</v>
      </c>
      <c r="BR62" s="13">
        <v>0.0</v>
      </c>
      <c r="BS62" s="13">
        <v>0.0</v>
      </c>
      <c r="BT62" s="13">
        <v>0.0</v>
      </c>
      <c r="BU62" s="13">
        <v>0.0</v>
      </c>
      <c r="BV62" s="13">
        <v>0.0</v>
      </c>
      <c r="BW62" s="13">
        <v>0.0</v>
      </c>
      <c r="BX62" s="13">
        <v>0.0</v>
      </c>
      <c r="BY62" s="13">
        <v>0.0</v>
      </c>
      <c r="BZ62" s="13">
        <v>0.0</v>
      </c>
      <c r="CA62" s="13">
        <v>0.0</v>
      </c>
      <c r="CB62" s="13">
        <v>0.0</v>
      </c>
      <c r="CC62" s="13">
        <v>0.0</v>
      </c>
      <c r="CD62" s="13">
        <v>0.0</v>
      </c>
      <c r="CE62" s="13">
        <v>0.0</v>
      </c>
      <c r="CF62" s="13">
        <v>0.0</v>
      </c>
      <c r="CG62" s="13">
        <v>0.0</v>
      </c>
      <c r="CH62" s="13">
        <v>0.0</v>
      </c>
      <c r="CI62" s="13">
        <v>0.0</v>
      </c>
      <c r="CJ62" s="13">
        <v>0.0</v>
      </c>
      <c r="CK62" s="13">
        <v>0.0</v>
      </c>
      <c r="CL62" s="13">
        <v>0.0</v>
      </c>
      <c r="CM62" s="13">
        <v>0.0</v>
      </c>
      <c r="CN62" s="13">
        <v>0.0</v>
      </c>
      <c r="CO62" s="13">
        <v>0.0</v>
      </c>
      <c r="CP62" s="13">
        <v>0.0</v>
      </c>
      <c r="CQ62" s="13">
        <v>0.0</v>
      </c>
      <c r="CR62" s="13">
        <v>0.0</v>
      </c>
      <c r="CS62" s="13">
        <v>0.0</v>
      </c>
      <c r="CT62" s="13">
        <v>0.0</v>
      </c>
      <c r="CU62" s="13">
        <v>0.0</v>
      </c>
      <c r="CV62" s="13">
        <v>0.0</v>
      </c>
      <c r="CW62" s="13">
        <v>0.0</v>
      </c>
      <c r="CX62" s="13">
        <v>0.0</v>
      </c>
      <c r="CY62" s="13">
        <v>0.0</v>
      </c>
      <c r="CZ62" s="13">
        <v>0.0</v>
      </c>
      <c r="DA62" s="13">
        <v>0.0</v>
      </c>
      <c r="DB62" s="13">
        <v>0.0</v>
      </c>
      <c r="DC62" s="13">
        <v>0.0</v>
      </c>
      <c r="DD62" s="13">
        <v>0.0</v>
      </c>
      <c r="DE62" s="13">
        <v>0.0</v>
      </c>
      <c r="DF62" s="13">
        <v>0.0</v>
      </c>
      <c r="DG62" s="13">
        <v>0.0</v>
      </c>
      <c r="DH62" s="13">
        <v>0.0</v>
      </c>
      <c r="DI62" s="13">
        <v>0.0</v>
      </c>
      <c r="DJ62" s="13">
        <v>0.0</v>
      </c>
      <c r="DK62" s="13">
        <v>0.0</v>
      </c>
      <c r="DL62" s="13">
        <v>0.0</v>
      </c>
      <c r="DM62" s="13">
        <v>0.0</v>
      </c>
      <c r="DN62" s="13">
        <v>0.0</v>
      </c>
      <c r="DO62" s="13">
        <v>0.0</v>
      </c>
      <c r="DP62" s="13">
        <v>0.0</v>
      </c>
      <c r="DQ62" s="13">
        <v>0.0</v>
      </c>
      <c r="DR62" s="13">
        <v>0.0</v>
      </c>
      <c r="DS62" s="13">
        <v>0.0</v>
      </c>
      <c r="DT62" s="13"/>
      <c r="DU62" s="13">
        <v>0.0</v>
      </c>
      <c r="DV62" s="13">
        <v>0.0</v>
      </c>
      <c r="DW62" s="13">
        <v>0.0</v>
      </c>
      <c r="DX62" s="13"/>
      <c r="DY62" s="13">
        <v>0.0</v>
      </c>
      <c r="DZ62" s="13">
        <v>0.0</v>
      </c>
      <c r="EA62" s="13">
        <v>0.0</v>
      </c>
      <c r="EB62" s="13">
        <v>0.0</v>
      </c>
      <c r="EC62" s="13">
        <v>0.0</v>
      </c>
      <c r="ED62" s="13">
        <v>0.0</v>
      </c>
      <c r="EE62" s="13">
        <v>0.0</v>
      </c>
      <c r="EF62" s="13">
        <v>0.0</v>
      </c>
      <c r="EG62" s="13">
        <v>0.0</v>
      </c>
      <c r="EH62" s="13">
        <v>0.0</v>
      </c>
      <c r="EI62" s="13">
        <v>0.0</v>
      </c>
      <c r="EJ62" s="13">
        <v>0.0</v>
      </c>
    </row>
    <row r="63" ht="15.75" customHeight="1">
      <c r="A63" s="9" t="s">
        <v>221</v>
      </c>
      <c r="B63" s="13"/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/>
      <c r="I63" s="16">
        <f>iferror(vlookup(A63,'Inst Lending numbers'!A:D,4,false)," ")</f>
        <v>0.045</v>
      </c>
      <c r="J63" s="13"/>
      <c r="K63" s="13"/>
      <c r="L63" s="13"/>
      <c r="M63" s="13"/>
      <c r="N63" s="13"/>
      <c r="O63" s="13">
        <f t="shared" si="11"/>
        <v>0.03932233526</v>
      </c>
      <c r="P63" s="13">
        <f t="shared" si="2"/>
        <v>0</v>
      </c>
      <c r="Q63" s="13"/>
      <c r="R63" s="13"/>
      <c r="S63" s="13"/>
      <c r="T63" s="13"/>
      <c r="U63" s="13"/>
      <c r="V63" s="13"/>
      <c r="W63" s="13"/>
      <c r="X63" s="13"/>
      <c r="Y63" s="13">
        <f t="shared" si="3"/>
        <v>0</v>
      </c>
      <c r="Z63" s="13"/>
      <c r="AA63" s="13">
        <v>0.0</v>
      </c>
      <c r="AB63" s="13">
        <f t="shared" si="10"/>
        <v>0.1957867833</v>
      </c>
      <c r="AC63" s="13"/>
      <c r="AD63" s="13"/>
      <c r="AE63" s="13">
        <f>iferror(sumif('Weekly Rates'!D:D,A63,'Weekly Rates'!F:F)/countif('Weekly Rates'!D:D,A63),0)</f>
        <v>0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 t="str">
        <f>iferror(VLOOKUP($A63,EAM!A$2:E$14,2,FALSE))</f>
        <v/>
      </c>
      <c r="AT63" s="13"/>
      <c r="AU63" s="13">
        <f>sumif('Weekly Rates'!A:A,A63,'Weekly Rates'!B:B)</f>
        <v>0</v>
      </c>
      <c r="AV63" s="13">
        <v>0.0</v>
      </c>
      <c r="AW63" s="13">
        <v>0.0</v>
      </c>
      <c r="AX63" s="13">
        <v>0.0</v>
      </c>
      <c r="AY63" s="13">
        <v>0.0</v>
      </c>
      <c r="AZ63" s="13">
        <v>0.0</v>
      </c>
      <c r="BA63" s="13">
        <v>0.0</v>
      </c>
      <c r="BB63" s="13">
        <v>0.0</v>
      </c>
      <c r="BC63" s="13">
        <v>0.0</v>
      </c>
      <c r="BD63" s="13">
        <v>0.0</v>
      </c>
      <c r="BE63" s="13">
        <v>0.0</v>
      </c>
      <c r="BF63" s="13">
        <v>0.0</v>
      </c>
      <c r="BG63" s="13">
        <v>0.0</v>
      </c>
      <c r="BH63" s="13">
        <v>0.0</v>
      </c>
      <c r="BI63" s="13">
        <v>0.0</v>
      </c>
      <c r="BJ63" s="13">
        <v>0.0</v>
      </c>
      <c r="BK63" s="13">
        <v>0.0</v>
      </c>
      <c r="BL63" s="13">
        <v>0.0</v>
      </c>
      <c r="BM63" s="13">
        <v>0.0</v>
      </c>
      <c r="BN63" s="13">
        <v>0.0</v>
      </c>
      <c r="BO63" s="13">
        <v>0.0</v>
      </c>
      <c r="BP63" s="13">
        <v>0.0</v>
      </c>
      <c r="BQ63" s="13">
        <v>0.0</v>
      </c>
      <c r="BR63" s="13">
        <v>0.0</v>
      </c>
      <c r="BS63" s="13">
        <v>0.0</v>
      </c>
      <c r="BT63" s="13">
        <v>0.0</v>
      </c>
      <c r="BU63" s="13">
        <v>0.0</v>
      </c>
      <c r="BV63" s="13">
        <v>0.0</v>
      </c>
      <c r="BW63" s="13">
        <v>0.0</v>
      </c>
      <c r="BX63" s="13">
        <v>0.0</v>
      </c>
      <c r="BY63" s="13">
        <v>0.0</v>
      </c>
      <c r="BZ63" s="13">
        <v>0.0</v>
      </c>
      <c r="CA63" s="13">
        <v>0.0</v>
      </c>
      <c r="CB63" s="13">
        <v>0.0</v>
      </c>
      <c r="CC63" s="13">
        <v>0.0</v>
      </c>
      <c r="CD63" s="13">
        <v>0.0</v>
      </c>
      <c r="CE63" s="13">
        <v>0.0</v>
      </c>
      <c r="CF63" s="13">
        <v>0.0</v>
      </c>
      <c r="CG63" s="13">
        <v>0.0</v>
      </c>
      <c r="CH63" s="13">
        <v>0.0</v>
      </c>
      <c r="CI63" s="13">
        <v>0.0</v>
      </c>
      <c r="CJ63" s="13">
        <v>0.0</v>
      </c>
      <c r="CK63" s="13">
        <v>0.0</v>
      </c>
      <c r="CL63" s="13">
        <v>0.0</v>
      </c>
      <c r="CM63" s="13">
        <v>0.0</v>
      </c>
      <c r="CN63" s="13">
        <v>0.0</v>
      </c>
      <c r="CO63" s="13">
        <v>0.0</v>
      </c>
      <c r="CP63" s="13">
        <v>0.0</v>
      </c>
      <c r="CQ63" s="13">
        <v>0.0</v>
      </c>
      <c r="CR63" s="13">
        <v>0.0</v>
      </c>
      <c r="CS63" s="13">
        <v>0.0</v>
      </c>
      <c r="CT63" s="13">
        <v>0.0</v>
      </c>
      <c r="CU63" s="13">
        <v>0.0</v>
      </c>
      <c r="CV63" s="13">
        <v>0.0</v>
      </c>
      <c r="CW63" s="13">
        <v>0.0</v>
      </c>
      <c r="CX63" s="13">
        <v>0.0</v>
      </c>
      <c r="CY63" s="13">
        <v>0.0</v>
      </c>
      <c r="CZ63" s="13">
        <v>0.0</v>
      </c>
      <c r="DA63" s="13">
        <v>0.0</v>
      </c>
      <c r="DB63" s="13">
        <v>0.0</v>
      </c>
      <c r="DC63" s="13">
        <v>0.0</v>
      </c>
      <c r="DD63" s="13">
        <v>0.0</v>
      </c>
      <c r="DE63" s="13">
        <v>0.0</v>
      </c>
      <c r="DF63" s="13">
        <v>0.0</v>
      </c>
      <c r="DG63" s="13">
        <v>0.0</v>
      </c>
      <c r="DH63" s="13">
        <v>0.0</v>
      </c>
      <c r="DI63" s="13">
        <v>0.0</v>
      </c>
      <c r="DJ63" s="13">
        <v>0.0</v>
      </c>
      <c r="DK63" s="13">
        <v>0.0</v>
      </c>
      <c r="DL63" s="13">
        <v>0.0</v>
      </c>
      <c r="DM63" s="13">
        <v>0.0</v>
      </c>
      <c r="DN63" s="13">
        <v>0.0</v>
      </c>
      <c r="DO63" s="13">
        <v>0.0</v>
      </c>
      <c r="DP63" s="13">
        <v>0.0</v>
      </c>
      <c r="DQ63" s="13">
        <v>0.0</v>
      </c>
      <c r="DR63" s="13">
        <v>0.0</v>
      </c>
      <c r="DS63" s="13">
        <v>0.0</v>
      </c>
      <c r="DT63" s="13"/>
      <c r="DU63" s="13">
        <v>0.0</v>
      </c>
      <c r="DV63" s="13">
        <v>0.0</v>
      </c>
      <c r="DW63" s="13">
        <v>0.0</v>
      </c>
      <c r="DX63" s="13"/>
      <c r="DY63" s="13">
        <v>0.0</v>
      </c>
      <c r="DZ63" s="13">
        <v>0.0</v>
      </c>
      <c r="EA63" s="13">
        <v>0.0</v>
      </c>
      <c r="EB63" s="13">
        <v>0.0</v>
      </c>
      <c r="EC63" s="13">
        <v>0.0</v>
      </c>
      <c r="ED63" s="13">
        <v>0.0</v>
      </c>
      <c r="EE63" s="13">
        <v>0.0</v>
      </c>
      <c r="EF63" s="13">
        <v>0.0</v>
      </c>
      <c r="EG63" s="13">
        <v>0.0</v>
      </c>
      <c r="EH63" s="13">
        <v>0.0</v>
      </c>
      <c r="EI63" s="13">
        <v>0.0</v>
      </c>
      <c r="EJ63" s="13">
        <v>0.0</v>
      </c>
    </row>
    <row r="64" ht="15.75" customHeight="1">
      <c r="A64" s="7" t="s">
        <v>222</v>
      </c>
      <c r="B64" s="13"/>
      <c r="C64" s="13"/>
      <c r="D64" s="13"/>
      <c r="E64" s="13"/>
      <c r="F64" s="13"/>
      <c r="G64" s="13"/>
      <c r="H64" s="13"/>
      <c r="I64" s="16"/>
      <c r="J64" s="13"/>
      <c r="K64" s="13"/>
      <c r="L64" s="13"/>
      <c r="M64" s="13"/>
      <c r="N64" s="13"/>
      <c r="O64" s="13"/>
      <c r="P64" s="13">
        <f t="shared" si="2"/>
        <v>0</v>
      </c>
      <c r="Q64" s="13"/>
      <c r="R64" s="13"/>
      <c r="S64" s="13"/>
      <c r="T64" s="13"/>
      <c r="U64" s="13"/>
      <c r="V64" s="13"/>
      <c r="W64" s="13"/>
      <c r="X64" s="13"/>
      <c r="Y64" s="13">
        <f t="shared" si="3"/>
        <v>0</v>
      </c>
      <c r="Z64" s="13"/>
      <c r="AA64" s="13">
        <v>0.0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 t="str">
        <f>iferror(VLOOKUP($A64,EAM!A$2:E$14,2,FALSE))</f>
        <v/>
      </c>
      <c r="AT64" s="13"/>
      <c r="AU64" s="13"/>
      <c r="AV64" s="13"/>
      <c r="AW64" s="13"/>
      <c r="AX64" s="13"/>
      <c r="AY64" s="13">
        <v>0.0</v>
      </c>
      <c r="AZ64" s="13">
        <v>0.0</v>
      </c>
      <c r="BA64" s="13">
        <v>0.0</v>
      </c>
      <c r="BB64" s="13">
        <v>0.0</v>
      </c>
      <c r="BC64" s="13">
        <v>0.0</v>
      </c>
      <c r="BD64" s="13">
        <v>0.0</v>
      </c>
      <c r="BE64" s="13">
        <v>0.0</v>
      </c>
      <c r="BF64" s="13">
        <v>0.0</v>
      </c>
      <c r="BG64" s="13">
        <v>0.0</v>
      </c>
      <c r="BH64" s="13">
        <v>0.0</v>
      </c>
      <c r="BI64" s="13">
        <v>0.0</v>
      </c>
      <c r="BJ64" s="13">
        <v>0.0</v>
      </c>
      <c r="BK64" s="13">
        <v>0.0</v>
      </c>
      <c r="BL64" s="13">
        <v>0.0</v>
      </c>
      <c r="BM64" s="13">
        <v>0.0</v>
      </c>
      <c r="BN64" s="13">
        <v>0.0</v>
      </c>
      <c r="BO64" s="13">
        <v>0.0</v>
      </c>
      <c r="BP64" s="13">
        <v>0.0</v>
      </c>
      <c r="BQ64" s="13">
        <v>0.0</v>
      </c>
      <c r="BR64" s="13">
        <v>0.0</v>
      </c>
      <c r="BS64" s="13">
        <v>0.0</v>
      </c>
      <c r="BT64" s="13">
        <v>0.0</v>
      </c>
      <c r="BU64" s="13">
        <v>0.0</v>
      </c>
      <c r="BV64" s="13">
        <v>0.0</v>
      </c>
      <c r="BW64" s="13">
        <v>0.0</v>
      </c>
      <c r="BX64" s="13">
        <v>0.0</v>
      </c>
      <c r="BY64" s="13">
        <v>0.0</v>
      </c>
      <c r="BZ64" s="13">
        <v>0.0</v>
      </c>
      <c r="CA64" s="13">
        <v>0.0</v>
      </c>
      <c r="CB64" s="13">
        <v>0.0</v>
      </c>
      <c r="CC64" s="13">
        <v>0.0</v>
      </c>
      <c r="CD64" s="13">
        <v>0.0</v>
      </c>
      <c r="CE64" s="13">
        <v>0.0</v>
      </c>
      <c r="CF64" s="13">
        <v>0.0</v>
      </c>
      <c r="CG64" s="13">
        <v>0.0</v>
      </c>
      <c r="CH64" s="13">
        <v>0.0</v>
      </c>
      <c r="CI64" s="13">
        <v>0.0</v>
      </c>
      <c r="CJ64" s="13">
        <v>0.0</v>
      </c>
      <c r="CK64" s="13">
        <v>0.0</v>
      </c>
      <c r="CL64" s="13">
        <v>0.0</v>
      </c>
      <c r="CM64" s="13">
        <v>0.0</v>
      </c>
      <c r="CN64" s="13">
        <v>0.0</v>
      </c>
      <c r="CO64" s="13">
        <v>0.0</v>
      </c>
      <c r="CP64" s="13">
        <v>0.0</v>
      </c>
      <c r="CQ64" s="13">
        <v>0.0</v>
      </c>
      <c r="CR64" s="13">
        <v>0.0</v>
      </c>
      <c r="CS64" s="13">
        <v>0.0</v>
      </c>
      <c r="CT64" s="13">
        <v>0.0</v>
      </c>
      <c r="CU64" s="13">
        <v>0.0</v>
      </c>
      <c r="CV64" s="13">
        <v>0.0</v>
      </c>
      <c r="CW64" s="13">
        <v>0.0</v>
      </c>
      <c r="CX64" s="13">
        <v>0.0</v>
      </c>
      <c r="CY64" s="13">
        <v>0.0</v>
      </c>
      <c r="CZ64" s="13">
        <v>0.0</v>
      </c>
      <c r="DA64" s="13">
        <v>0.0</v>
      </c>
      <c r="DB64" s="13">
        <v>0.0</v>
      </c>
      <c r="DC64" s="13">
        <v>0.0</v>
      </c>
      <c r="DD64" s="13">
        <v>0.0</v>
      </c>
      <c r="DE64" s="13">
        <v>0.0</v>
      </c>
      <c r="DF64" s="13">
        <v>0.0</v>
      </c>
      <c r="DG64" s="13">
        <v>0.0</v>
      </c>
      <c r="DH64" s="13">
        <v>0.0</v>
      </c>
      <c r="DI64" s="13">
        <v>0.0</v>
      </c>
      <c r="DJ64" s="13">
        <v>0.0</v>
      </c>
      <c r="DK64" s="13">
        <v>0.0</v>
      </c>
      <c r="DL64" s="13">
        <v>0.0</v>
      </c>
      <c r="DM64" s="13">
        <v>0.0</v>
      </c>
      <c r="DN64" s="13">
        <v>0.0</v>
      </c>
      <c r="DO64" s="13">
        <v>0.0</v>
      </c>
      <c r="DP64" s="13">
        <v>0.0</v>
      </c>
      <c r="DQ64" s="13">
        <v>0.0</v>
      </c>
      <c r="DR64" s="13">
        <v>0.0</v>
      </c>
      <c r="DS64" s="13">
        <v>0.0</v>
      </c>
      <c r="DT64" s="13"/>
      <c r="DU64" s="13">
        <v>0.0</v>
      </c>
      <c r="DV64" s="13">
        <v>0.0</v>
      </c>
      <c r="DW64" s="13">
        <v>0.0</v>
      </c>
      <c r="DX64" s="13"/>
      <c r="DY64" s="13">
        <v>0.0</v>
      </c>
      <c r="DZ64" s="13">
        <v>0.0</v>
      </c>
      <c r="EA64" s="13">
        <v>0.0</v>
      </c>
      <c r="EB64" s="13">
        <v>0.0</v>
      </c>
      <c r="EC64" s="13">
        <v>0.0</v>
      </c>
      <c r="ED64" s="13">
        <v>0.0</v>
      </c>
      <c r="EE64" s="13">
        <v>0.0</v>
      </c>
      <c r="EF64" s="13">
        <v>0.0</v>
      </c>
      <c r="EG64" s="13">
        <v>0.0</v>
      </c>
      <c r="EH64" s="13">
        <v>0.0</v>
      </c>
      <c r="EI64" s="13">
        <v>0.0</v>
      </c>
      <c r="EJ64" s="13">
        <v>0.0</v>
      </c>
    </row>
    <row r="65" ht="15.75" customHeight="1">
      <c r="A65" s="9" t="s">
        <v>223</v>
      </c>
      <c r="B65" s="13"/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/>
      <c r="I65" s="16" t="str">
        <f>iferror(vlookup(A65,'Inst Lending numbers'!A:D,4,false)," ")</f>
        <v> </v>
      </c>
      <c r="J65" s="13"/>
      <c r="K65" s="13"/>
      <c r="L65" s="13"/>
      <c r="M65" s="13"/>
      <c r="N65" s="13"/>
      <c r="O65" s="13">
        <f t="shared" ref="O65:O66" si="12">$O$4</f>
        <v>0.03932233526</v>
      </c>
      <c r="P65" s="13">
        <f t="shared" si="2"/>
        <v>0</v>
      </c>
      <c r="Q65" s="13"/>
      <c r="R65" s="13"/>
      <c r="S65" s="13"/>
      <c r="T65" s="13"/>
      <c r="U65" s="13"/>
      <c r="V65" s="13"/>
      <c r="W65" s="13"/>
      <c r="X65" s="13"/>
      <c r="Y65" s="13">
        <f t="shared" si="3"/>
        <v>0</v>
      </c>
      <c r="Z65" s="13"/>
      <c r="AA65" s="13">
        <v>0.0</v>
      </c>
      <c r="AB65" s="13">
        <f t="shared" ref="AB65:AB66" si="13">$AB$4</f>
        <v>0.1957867833</v>
      </c>
      <c r="AC65" s="13"/>
      <c r="AD65" s="13"/>
      <c r="AE65" s="13">
        <f>iferror(sumif('Weekly Rates'!D:D,A65,'Weekly Rates'!F:F)/countif('Weekly Rates'!D:D,A65),0)</f>
        <v>0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 t="str">
        <f>iferror(VLOOKUP($A65,EAM!A$2:E$14,2,FALSE))</f>
        <v/>
      </c>
      <c r="AT65" s="13"/>
      <c r="AU65" s="13">
        <f>sumif('Weekly Rates'!A:A,A65,'Weekly Rates'!B:B)</f>
        <v>0</v>
      </c>
      <c r="AV65" s="13">
        <v>0.0</v>
      </c>
      <c r="AW65" s="13">
        <v>0.0</v>
      </c>
      <c r="AX65" s="13">
        <v>0.0</v>
      </c>
      <c r="AY65" s="13">
        <v>0.0</v>
      </c>
      <c r="AZ65" s="13">
        <v>0.0</v>
      </c>
      <c r="BA65" s="13">
        <v>0.0</v>
      </c>
      <c r="BB65" s="13">
        <v>0.0</v>
      </c>
      <c r="BC65" s="13">
        <v>0.0</v>
      </c>
      <c r="BD65" s="13">
        <v>0.0</v>
      </c>
      <c r="BE65" s="13">
        <v>0.0</v>
      </c>
      <c r="BF65" s="13">
        <v>0.0</v>
      </c>
      <c r="BG65" s="13">
        <v>0.0</v>
      </c>
      <c r="BH65" s="13">
        <v>0.0</v>
      </c>
      <c r="BI65" s="13">
        <v>0.0</v>
      </c>
      <c r="BJ65" s="13">
        <v>0.0</v>
      </c>
      <c r="BK65" s="13">
        <v>0.0</v>
      </c>
      <c r="BL65" s="13">
        <v>0.0</v>
      </c>
      <c r="BM65" s="13">
        <v>0.0</v>
      </c>
      <c r="BN65" s="13">
        <v>0.0</v>
      </c>
      <c r="BO65" s="13">
        <v>0.0</v>
      </c>
      <c r="BP65" s="13">
        <v>0.0</v>
      </c>
      <c r="BQ65" s="13">
        <v>0.0</v>
      </c>
      <c r="BR65" s="13">
        <v>0.0</v>
      </c>
      <c r="BS65" s="13">
        <v>0.0</v>
      </c>
      <c r="BT65" s="13">
        <v>0.0</v>
      </c>
      <c r="BU65" s="13">
        <v>0.0</v>
      </c>
      <c r="BV65" s="13">
        <v>0.0</v>
      </c>
      <c r="BW65" s="13">
        <v>0.0</v>
      </c>
      <c r="BX65" s="13">
        <v>0.0</v>
      </c>
      <c r="BY65" s="13">
        <v>0.0</v>
      </c>
      <c r="BZ65" s="13">
        <v>0.0</v>
      </c>
      <c r="CA65" s="13">
        <v>0.0</v>
      </c>
      <c r="CB65" s="13">
        <v>0.0</v>
      </c>
      <c r="CC65" s="13">
        <v>0.0</v>
      </c>
      <c r="CD65" s="13">
        <v>0.0</v>
      </c>
      <c r="CE65" s="13">
        <v>0.0</v>
      </c>
      <c r="CF65" s="13">
        <v>0.0</v>
      </c>
      <c r="CG65" s="13">
        <v>0.0</v>
      </c>
      <c r="CH65" s="13">
        <v>0.0</v>
      </c>
      <c r="CI65" s="13">
        <v>0.0</v>
      </c>
      <c r="CJ65" s="13">
        <v>0.0</v>
      </c>
      <c r="CK65" s="13">
        <v>0.0</v>
      </c>
      <c r="CL65" s="13">
        <v>0.0</v>
      </c>
      <c r="CM65" s="13">
        <v>0.0</v>
      </c>
      <c r="CN65" s="13">
        <v>0.0</v>
      </c>
      <c r="CO65" s="13">
        <v>0.0</v>
      </c>
      <c r="CP65" s="13">
        <v>0.0</v>
      </c>
      <c r="CQ65" s="13">
        <v>0.0</v>
      </c>
      <c r="CR65" s="13">
        <v>0.0</v>
      </c>
      <c r="CS65" s="13">
        <v>0.0</v>
      </c>
      <c r="CT65" s="13">
        <v>0.0</v>
      </c>
      <c r="CU65" s="13">
        <v>0.0</v>
      </c>
      <c r="CV65" s="13">
        <v>0.0</v>
      </c>
      <c r="CW65" s="13">
        <v>0.0</v>
      </c>
      <c r="CX65" s="13">
        <v>0.0</v>
      </c>
      <c r="CY65" s="13">
        <v>0.0</v>
      </c>
      <c r="CZ65" s="13">
        <v>0.0</v>
      </c>
      <c r="DA65" s="13">
        <v>0.0</v>
      </c>
      <c r="DB65" s="13">
        <v>0.0</v>
      </c>
      <c r="DC65" s="13">
        <v>0.0</v>
      </c>
      <c r="DD65" s="13">
        <v>0.0</v>
      </c>
      <c r="DE65" s="13">
        <v>0.0</v>
      </c>
      <c r="DF65" s="13">
        <v>0.0</v>
      </c>
      <c r="DG65" s="13">
        <v>0.0</v>
      </c>
      <c r="DH65" s="13">
        <v>0.0</v>
      </c>
      <c r="DI65" s="13">
        <v>0.0</v>
      </c>
      <c r="DJ65" s="13">
        <v>0.0</v>
      </c>
      <c r="DK65" s="13">
        <v>0.0</v>
      </c>
      <c r="DL65" s="13">
        <v>0.0</v>
      </c>
      <c r="DM65" s="13">
        <v>0.0</v>
      </c>
      <c r="DN65" s="13">
        <v>0.0</v>
      </c>
      <c r="DO65" s="13">
        <v>0.0</v>
      </c>
      <c r="DP65" s="13">
        <v>0.0</v>
      </c>
      <c r="DQ65" s="13">
        <v>0.0</v>
      </c>
      <c r="DR65" s="13">
        <v>0.0</v>
      </c>
      <c r="DS65" s="13">
        <v>0.0</v>
      </c>
      <c r="DT65" s="13"/>
      <c r="DU65" s="13">
        <v>0.0</v>
      </c>
      <c r="DV65" s="13">
        <v>0.0</v>
      </c>
      <c r="DW65" s="13">
        <v>0.0</v>
      </c>
      <c r="DX65" s="13"/>
      <c r="DY65" s="13">
        <v>0.0</v>
      </c>
      <c r="DZ65" s="13">
        <v>0.0</v>
      </c>
      <c r="EA65" s="13">
        <v>0.0</v>
      </c>
      <c r="EB65" s="13">
        <v>0.0</v>
      </c>
      <c r="EC65" s="13">
        <v>0.0</v>
      </c>
      <c r="ED65" s="13">
        <v>0.0</v>
      </c>
      <c r="EE65" s="13">
        <v>0.0</v>
      </c>
      <c r="EF65" s="13">
        <v>0.0</v>
      </c>
      <c r="EG65" s="13">
        <v>0.0</v>
      </c>
      <c r="EH65" s="13">
        <v>0.0</v>
      </c>
      <c r="EI65" s="13">
        <v>0.0</v>
      </c>
      <c r="EJ65" s="13">
        <v>0.0</v>
      </c>
    </row>
    <row r="66" ht="15.75" customHeight="1">
      <c r="A66" s="9" t="s">
        <v>224</v>
      </c>
      <c r="B66" s="13"/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/>
      <c r="I66" s="16">
        <f>iferror(vlookup(A66,'Inst Lending numbers'!A:D,4,false)," ")</f>
        <v>0.0943</v>
      </c>
      <c r="J66" s="13"/>
      <c r="K66" s="13"/>
      <c r="L66" s="13"/>
      <c r="M66" s="13"/>
      <c r="N66" s="13"/>
      <c r="O66" s="13">
        <f t="shared" si="12"/>
        <v>0.03932233526</v>
      </c>
      <c r="P66" s="13">
        <f t="shared" si="2"/>
        <v>0</v>
      </c>
      <c r="Q66" s="13"/>
      <c r="R66" s="13"/>
      <c r="S66" s="13"/>
      <c r="T66" s="13"/>
      <c r="U66" s="13"/>
      <c r="V66" s="13"/>
      <c r="W66" s="13"/>
      <c r="X66" s="13"/>
      <c r="Y66" s="13">
        <f t="shared" si="3"/>
        <v>0</v>
      </c>
      <c r="Z66" s="13"/>
      <c r="AA66" s="13">
        <v>0.0</v>
      </c>
      <c r="AB66" s="13">
        <f t="shared" si="13"/>
        <v>0.1957867833</v>
      </c>
      <c r="AC66" s="13"/>
      <c r="AD66" s="13"/>
      <c r="AE66" s="13">
        <f>iferror(sumif('Weekly Rates'!D:D,A66,'Weekly Rates'!F:F)/countif('Weekly Rates'!D:D,A66),0)</f>
        <v>0</v>
      </c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 t="str">
        <f>iferror(VLOOKUP($A66,EAM!A$2:E$14,2,FALSE))</f>
        <v/>
      </c>
      <c r="AT66" s="13"/>
      <c r="AU66" s="13">
        <f>sumif('Weekly Rates'!A:A,A66,'Weekly Rates'!B:B)</f>
        <v>0</v>
      </c>
      <c r="AV66" s="13">
        <v>0.0</v>
      </c>
      <c r="AW66" s="13">
        <v>0.0</v>
      </c>
      <c r="AX66" s="13">
        <v>0.0</v>
      </c>
      <c r="AY66" s="13">
        <v>0.0</v>
      </c>
      <c r="AZ66" s="13">
        <v>0.0</v>
      </c>
      <c r="BA66" s="13">
        <v>0.0</v>
      </c>
      <c r="BB66" s="13">
        <v>0.0</v>
      </c>
      <c r="BC66" s="13">
        <v>0.0</v>
      </c>
      <c r="BD66" s="13">
        <v>0.0</v>
      </c>
      <c r="BE66" s="13">
        <v>0.0</v>
      </c>
      <c r="BF66" s="13">
        <v>0.0</v>
      </c>
      <c r="BG66" s="13">
        <v>0.0</v>
      </c>
      <c r="BH66" s="13">
        <v>0.0</v>
      </c>
      <c r="BI66" s="13">
        <v>0.0</v>
      </c>
      <c r="BJ66" s="13">
        <v>0.0</v>
      </c>
      <c r="BK66" s="13">
        <v>0.0</v>
      </c>
      <c r="BL66" s="13">
        <v>0.0</v>
      </c>
      <c r="BM66" s="13">
        <v>0.0</v>
      </c>
      <c r="BN66" s="13">
        <v>0.0</v>
      </c>
      <c r="BO66" s="13">
        <v>0.0</v>
      </c>
      <c r="BP66" s="13">
        <v>0.0</v>
      </c>
      <c r="BQ66" s="13">
        <v>0.0</v>
      </c>
      <c r="BR66" s="13">
        <v>0.0</v>
      </c>
      <c r="BS66" s="13">
        <v>0.0</v>
      </c>
      <c r="BT66" s="13">
        <v>0.0</v>
      </c>
      <c r="BU66" s="13">
        <v>0.0</v>
      </c>
      <c r="BV66" s="13">
        <v>0.0</v>
      </c>
      <c r="BW66" s="13">
        <v>0.0</v>
      </c>
      <c r="BX66" s="13">
        <v>0.0</v>
      </c>
      <c r="BY66" s="13">
        <v>0.0</v>
      </c>
      <c r="BZ66" s="13">
        <v>0.0</v>
      </c>
      <c r="CA66" s="13">
        <v>0.0</v>
      </c>
      <c r="CB66" s="13">
        <v>0.0</v>
      </c>
      <c r="CC66" s="13">
        <v>0.0</v>
      </c>
      <c r="CD66" s="13">
        <v>0.0</v>
      </c>
      <c r="CE66" s="13">
        <v>0.0</v>
      </c>
      <c r="CF66" s="13">
        <v>0.0</v>
      </c>
      <c r="CG66" s="13">
        <v>0.0</v>
      </c>
      <c r="CH66" s="13">
        <v>0.0</v>
      </c>
      <c r="CI66" s="13">
        <v>0.0</v>
      </c>
      <c r="CJ66" s="13">
        <v>0.0</v>
      </c>
      <c r="CK66" s="13">
        <v>0.0</v>
      </c>
      <c r="CL66" s="13">
        <v>0.0</v>
      </c>
      <c r="CM66" s="13">
        <v>0.0</v>
      </c>
      <c r="CN66" s="13">
        <v>0.0</v>
      </c>
      <c r="CO66" s="13">
        <v>0.0</v>
      </c>
      <c r="CP66" s="13">
        <v>0.0</v>
      </c>
      <c r="CQ66" s="13">
        <v>0.0</v>
      </c>
      <c r="CR66" s="13">
        <v>0.0</v>
      </c>
      <c r="CS66" s="13">
        <v>0.0</v>
      </c>
      <c r="CT66" s="13">
        <v>0.0</v>
      </c>
      <c r="CU66" s="13">
        <v>0.0</v>
      </c>
      <c r="CV66" s="13">
        <v>0.0</v>
      </c>
      <c r="CW66" s="13">
        <v>0.0</v>
      </c>
      <c r="CX66" s="13">
        <v>0.0</v>
      </c>
      <c r="CY66" s="13">
        <v>0.0</v>
      </c>
      <c r="CZ66" s="13">
        <v>0.0</v>
      </c>
      <c r="DA66" s="13">
        <v>0.0</v>
      </c>
      <c r="DB66" s="13">
        <v>0.0</v>
      </c>
      <c r="DC66" s="13">
        <v>0.0</v>
      </c>
      <c r="DD66" s="13">
        <v>0.0</v>
      </c>
      <c r="DE66" s="13">
        <v>0.0</v>
      </c>
      <c r="DF66" s="13">
        <v>0.0</v>
      </c>
      <c r="DG66" s="13">
        <v>0.0</v>
      </c>
      <c r="DH66" s="13">
        <v>0.0</v>
      </c>
      <c r="DI66" s="13">
        <v>0.0</v>
      </c>
      <c r="DJ66" s="13">
        <v>0.0</v>
      </c>
      <c r="DK66" s="13">
        <v>0.0</v>
      </c>
      <c r="DL66" s="13">
        <v>0.0</v>
      </c>
      <c r="DM66" s="13">
        <v>0.0</v>
      </c>
      <c r="DN66" s="13">
        <v>0.0</v>
      </c>
      <c r="DO66" s="13">
        <v>0.0</v>
      </c>
      <c r="DP66" s="13">
        <v>0.0</v>
      </c>
      <c r="DQ66" s="13">
        <v>0.0</v>
      </c>
      <c r="DR66" s="13">
        <v>0.0</v>
      </c>
      <c r="DS66" s="13">
        <v>0.0</v>
      </c>
      <c r="DT66" s="13"/>
      <c r="DU66" s="13">
        <v>0.0</v>
      </c>
      <c r="DV66" s="13">
        <v>0.0</v>
      </c>
      <c r="DW66" s="13">
        <v>0.0</v>
      </c>
      <c r="DX66" s="13"/>
      <c r="DY66" s="13">
        <v>0.0</v>
      </c>
      <c r="DZ66" s="13">
        <v>0.0</v>
      </c>
      <c r="EA66" s="13">
        <v>0.0</v>
      </c>
      <c r="EB66" s="13">
        <v>0.0</v>
      </c>
      <c r="EC66" s="13">
        <v>0.0</v>
      </c>
      <c r="ED66" s="13">
        <v>0.0</v>
      </c>
      <c r="EE66" s="13">
        <v>0.0</v>
      </c>
      <c r="EF66" s="13">
        <v>0.0</v>
      </c>
      <c r="EG66" s="13">
        <v>0.0</v>
      </c>
      <c r="EH66" s="13">
        <v>0.0</v>
      </c>
      <c r="EI66" s="13">
        <v>0.0</v>
      </c>
      <c r="EJ66" s="13">
        <v>0.0</v>
      </c>
    </row>
    <row r="67" ht="15.75" customHeight="1">
      <c r="A67" s="7" t="s">
        <v>225</v>
      </c>
      <c r="B67" s="13">
        <v>0.0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  <c r="P67" s="13">
        <f t="shared" si="2"/>
        <v>0</v>
      </c>
      <c r="Q67" s="13">
        <v>0.0</v>
      </c>
      <c r="R67" s="13">
        <v>0.0</v>
      </c>
      <c r="S67" s="13">
        <v>0.0</v>
      </c>
      <c r="T67" s="13">
        <v>0.0</v>
      </c>
      <c r="U67" s="13">
        <v>0.0</v>
      </c>
      <c r="V67" s="13">
        <v>0.0</v>
      </c>
      <c r="W67" s="13">
        <v>0.0</v>
      </c>
      <c r="X67" s="13">
        <v>0.0</v>
      </c>
      <c r="Y67" s="13">
        <f t="shared" si="3"/>
        <v>0</v>
      </c>
      <c r="Z67" s="13">
        <v>0.0</v>
      </c>
      <c r="AA67" s="13">
        <v>0.0</v>
      </c>
      <c r="AB67" s="13">
        <v>0.0</v>
      </c>
      <c r="AC67" s="13">
        <v>0.0</v>
      </c>
      <c r="AD67" s="13">
        <v>0.0</v>
      </c>
      <c r="AE67" s="13">
        <v>0.0</v>
      </c>
      <c r="AF67" s="13">
        <v>0.0</v>
      </c>
      <c r="AG67" s="13">
        <v>0.0</v>
      </c>
      <c r="AH67" s="13">
        <v>0.0</v>
      </c>
      <c r="AI67" s="13">
        <v>0.0</v>
      </c>
      <c r="AJ67" s="13">
        <v>0.0</v>
      </c>
      <c r="AK67" s="13">
        <v>0.0</v>
      </c>
      <c r="AL67" s="13">
        <v>0.0</v>
      </c>
      <c r="AM67" s="13">
        <v>0.0</v>
      </c>
      <c r="AN67" s="13">
        <v>0.0</v>
      </c>
      <c r="AO67" s="13">
        <v>0.0</v>
      </c>
      <c r="AP67" s="13">
        <v>0.0</v>
      </c>
      <c r="AQ67" s="13">
        <v>0.0</v>
      </c>
      <c r="AR67" s="13">
        <v>0.0</v>
      </c>
      <c r="AS67" s="13" t="str">
        <f>iferror(VLOOKUP($A67,EAM!A$2:E$14,2,FALSE))</f>
        <v/>
      </c>
      <c r="AT67" s="13">
        <v>0.0</v>
      </c>
      <c r="AU67" s="13">
        <v>0.0</v>
      </c>
      <c r="AV67" s="13">
        <v>0.0</v>
      </c>
      <c r="AW67" s="13">
        <v>0.0</v>
      </c>
      <c r="AX67" s="13">
        <v>0.0</v>
      </c>
      <c r="AY67" s="13">
        <v>0.0</v>
      </c>
      <c r="AZ67" s="13">
        <v>0.0</v>
      </c>
      <c r="BA67" s="13">
        <v>0.0</v>
      </c>
      <c r="BB67" s="13">
        <v>0.0</v>
      </c>
      <c r="BC67" s="13">
        <v>0.0</v>
      </c>
      <c r="BD67" s="13">
        <v>0.0</v>
      </c>
      <c r="BE67" s="13">
        <v>0.0</v>
      </c>
      <c r="BF67" s="13">
        <v>0.0</v>
      </c>
      <c r="BG67" s="13">
        <v>0.0</v>
      </c>
      <c r="BH67" s="13">
        <v>0.0</v>
      </c>
      <c r="BI67" s="13">
        <v>0.0</v>
      </c>
      <c r="BJ67" s="13">
        <v>0.0</v>
      </c>
      <c r="BK67" s="13">
        <v>0.0</v>
      </c>
      <c r="BL67" s="13">
        <v>0.0</v>
      </c>
      <c r="BM67" s="13">
        <v>0.0</v>
      </c>
      <c r="BN67" s="13">
        <v>0.0</v>
      </c>
      <c r="BO67" s="13">
        <v>0.0</v>
      </c>
      <c r="BP67" s="13">
        <v>0.0</v>
      </c>
      <c r="BQ67" s="13">
        <v>0.0</v>
      </c>
      <c r="BR67" s="13">
        <v>0.0</v>
      </c>
      <c r="BS67" s="13">
        <v>0.0</v>
      </c>
      <c r="BT67" s="13">
        <v>0.0</v>
      </c>
      <c r="BU67" s="13">
        <v>0.0</v>
      </c>
      <c r="BV67" s="13">
        <v>0.0</v>
      </c>
      <c r="BW67" s="13">
        <v>0.0</v>
      </c>
      <c r="BX67" s="13">
        <v>0.0</v>
      </c>
      <c r="BY67" s="13">
        <v>0.0</v>
      </c>
      <c r="BZ67" s="13">
        <v>0.0</v>
      </c>
      <c r="CA67" s="13">
        <v>0.0</v>
      </c>
      <c r="CB67" s="13">
        <v>0.0</v>
      </c>
      <c r="CC67" s="13">
        <v>0.0</v>
      </c>
      <c r="CD67" s="13">
        <v>0.0</v>
      </c>
      <c r="CE67" s="13">
        <v>0.0</v>
      </c>
      <c r="CF67" s="13">
        <v>0.0</v>
      </c>
      <c r="CG67" s="13">
        <v>0.0</v>
      </c>
      <c r="CH67" s="13">
        <v>0.0</v>
      </c>
      <c r="CI67" s="13">
        <v>0.0</v>
      </c>
      <c r="CJ67" s="13">
        <v>0.0</v>
      </c>
      <c r="CK67" s="13">
        <v>0.0</v>
      </c>
      <c r="CL67" s="13">
        <v>0.0</v>
      </c>
      <c r="CM67" s="13">
        <v>0.0</v>
      </c>
      <c r="CN67" s="13">
        <v>0.0</v>
      </c>
      <c r="CO67" s="13">
        <v>0.0</v>
      </c>
      <c r="CP67" s="13">
        <v>0.0</v>
      </c>
      <c r="CQ67" s="13">
        <v>0.0</v>
      </c>
      <c r="CR67" s="13">
        <v>0.0</v>
      </c>
      <c r="CS67" s="13">
        <v>0.0</v>
      </c>
      <c r="CT67" s="13">
        <v>0.0</v>
      </c>
      <c r="CU67" s="13">
        <v>0.0</v>
      </c>
      <c r="CV67" s="13">
        <v>0.0</v>
      </c>
      <c r="CW67" s="13">
        <v>0.0</v>
      </c>
      <c r="CX67" s="13">
        <v>0.0</v>
      </c>
      <c r="CY67" s="13">
        <v>0.0</v>
      </c>
      <c r="CZ67" s="13">
        <v>0.0</v>
      </c>
      <c r="DA67" s="13">
        <v>0.0</v>
      </c>
      <c r="DB67" s="13">
        <v>0.0</v>
      </c>
      <c r="DC67" s="13">
        <v>0.0</v>
      </c>
      <c r="DD67" s="13">
        <v>0.0</v>
      </c>
      <c r="DE67" s="13">
        <v>0.0</v>
      </c>
      <c r="DF67" s="13">
        <v>0.0</v>
      </c>
      <c r="DG67" s="13">
        <v>0.0</v>
      </c>
      <c r="DH67" s="13">
        <v>0.0</v>
      </c>
      <c r="DI67" s="13">
        <v>0.0</v>
      </c>
      <c r="DJ67" s="13">
        <v>0.0</v>
      </c>
      <c r="DK67" s="13">
        <v>0.0</v>
      </c>
      <c r="DL67" s="13">
        <v>0.0</v>
      </c>
      <c r="DM67" s="13">
        <v>0.0</v>
      </c>
      <c r="DN67" s="13">
        <v>0.0</v>
      </c>
      <c r="DO67" s="13">
        <v>0.0</v>
      </c>
      <c r="DP67" s="13">
        <v>0.0</v>
      </c>
      <c r="DQ67" s="13">
        <v>0.0</v>
      </c>
      <c r="DR67" s="13">
        <v>0.0</v>
      </c>
      <c r="DS67" s="13">
        <v>0.0</v>
      </c>
      <c r="DT67" s="13">
        <v>0.0</v>
      </c>
      <c r="DU67" s="13">
        <v>0.0</v>
      </c>
      <c r="DV67" s="13">
        <v>0.0</v>
      </c>
      <c r="DW67" s="13">
        <v>0.0</v>
      </c>
      <c r="DX67" s="13">
        <v>0.0</v>
      </c>
      <c r="DY67" s="13">
        <v>0.0</v>
      </c>
      <c r="DZ67" s="13">
        <v>0.0</v>
      </c>
      <c r="EA67" s="13">
        <v>0.0</v>
      </c>
      <c r="EB67" s="13">
        <v>0.0</v>
      </c>
      <c r="EC67" s="13">
        <v>0.0</v>
      </c>
      <c r="ED67" s="13">
        <v>0.0</v>
      </c>
      <c r="EE67" s="13">
        <v>0.0</v>
      </c>
      <c r="EF67" s="13">
        <v>0.0</v>
      </c>
      <c r="EG67" s="13">
        <v>0.0</v>
      </c>
      <c r="EH67" s="13">
        <v>0.0</v>
      </c>
      <c r="EI67" s="13">
        <v>0.0</v>
      </c>
      <c r="EJ67" s="13">
        <v>0.0</v>
      </c>
    </row>
    <row r="68" ht="15.75" customHeight="1">
      <c r="A68" s="9" t="s">
        <v>226</v>
      </c>
      <c r="B68" s="13"/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/>
      <c r="I68" s="16" t="str">
        <f>iferror(vlookup(A68,'Inst Lending numbers'!A:D,4,false)," ")</f>
        <v> </v>
      </c>
      <c r="J68" s="13"/>
      <c r="K68" s="13"/>
      <c r="L68" s="13"/>
      <c r="M68" s="13"/>
      <c r="N68" s="13"/>
      <c r="O68" s="13">
        <f>$O$4</f>
        <v>0.03932233526</v>
      </c>
      <c r="P68" s="13">
        <f t="shared" si="2"/>
        <v>0</v>
      </c>
      <c r="Q68" s="13"/>
      <c r="R68" s="13"/>
      <c r="S68" s="13"/>
      <c r="T68" s="13"/>
      <c r="U68" s="13"/>
      <c r="V68" s="13"/>
      <c r="W68" s="13"/>
      <c r="X68" s="13"/>
      <c r="Y68" s="13">
        <f t="shared" si="3"/>
        <v>0</v>
      </c>
      <c r="Z68" s="13"/>
      <c r="AA68" s="13">
        <v>0.0</v>
      </c>
      <c r="AB68" s="13">
        <f>$AB$4</f>
        <v>0.1957867833</v>
      </c>
      <c r="AC68" s="13"/>
      <c r="AD68" s="13"/>
      <c r="AE68" s="13">
        <f>iferror(sumif('Weekly Rates'!D:D,A68,'Weekly Rates'!F:F)/countif('Weekly Rates'!D:D,A68),0)</f>
        <v>0</v>
      </c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 t="str">
        <f>iferror(VLOOKUP($A68,EAM!A$2:E$14,2,FALSE))</f>
        <v/>
      </c>
      <c r="AT68" s="13"/>
      <c r="AU68" s="13">
        <f>sumif('Weekly Rates'!A:A,A68,'Weekly Rates'!B:B)</f>
        <v>0</v>
      </c>
      <c r="AV68" s="13">
        <v>0.0</v>
      </c>
      <c r="AW68" s="13">
        <v>0.0</v>
      </c>
      <c r="AX68" s="13">
        <v>0.0</v>
      </c>
      <c r="AY68" s="13">
        <v>0.0</v>
      </c>
      <c r="AZ68" s="13">
        <v>0.0</v>
      </c>
      <c r="BA68" s="13">
        <v>0.0</v>
      </c>
      <c r="BB68" s="13">
        <v>0.0</v>
      </c>
      <c r="BC68" s="13">
        <v>0.0</v>
      </c>
      <c r="BD68" s="13">
        <v>0.0</v>
      </c>
      <c r="BE68" s="13">
        <v>0.0</v>
      </c>
      <c r="BF68" s="13">
        <v>0.0</v>
      </c>
      <c r="BG68" s="13">
        <v>0.0</v>
      </c>
      <c r="BH68" s="13">
        <v>0.0</v>
      </c>
      <c r="BI68" s="13">
        <v>0.0</v>
      </c>
      <c r="BJ68" s="13">
        <v>0.0</v>
      </c>
      <c r="BK68" s="13">
        <v>0.0</v>
      </c>
      <c r="BL68" s="13">
        <v>0.0</v>
      </c>
      <c r="BM68" s="13">
        <v>0.0</v>
      </c>
      <c r="BN68" s="13">
        <v>0.0</v>
      </c>
      <c r="BO68" s="13">
        <v>0.0</v>
      </c>
      <c r="BP68" s="13">
        <v>0.0</v>
      </c>
      <c r="BQ68" s="13">
        <v>0.0</v>
      </c>
      <c r="BR68" s="13">
        <v>0.0</v>
      </c>
      <c r="BS68" s="13">
        <v>0.0</v>
      </c>
      <c r="BT68" s="13">
        <v>0.0</v>
      </c>
      <c r="BU68" s="13">
        <v>0.0</v>
      </c>
      <c r="BV68" s="13">
        <v>0.0</v>
      </c>
      <c r="BW68" s="13">
        <v>0.0</v>
      </c>
      <c r="BX68" s="13">
        <v>0.0</v>
      </c>
      <c r="BY68" s="13">
        <v>0.0</v>
      </c>
      <c r="BZ68" s="13">
        <v>0.0</v>
      </c>
      <c r="CA68" s="13">
        <v>0.0</v>
      </c>
      <c r="CB68" s="13">
        <v>0.0</v>
      </c>
      <c r="CC68" s="13">
        <v>0.0</v>
      </c>
      <c r="CD68" s="13">
        <v>0.0</v>
      </c>
      <c r="CE68" s="13">
        <v>0.0</v>
      </c>
      <c r="CF68" s="13">
        <v>0.0</v>
      </c>
      <c r="CG68" s="13">
        <v>0.0</v>
      </c>
      <c r="CH68" s="13">
        <v>0.0</v>
      </c>
      <c r="CI68" s="13">
        <v>0.0</v>
      </c>
      <c r="CJ68" s="13">
        <v>0.0</v>
      </c>
      <c r="CK68" s="13">
        <v>0.0</v>
      </c>
      <c r="CL68" s="13">
        <v>0.0</v>
      </c>
      <c r="CM68" s="13">
        <v>0.0</v>
      </c>
      <c r="CN68" s="13">
        <v>0.0</v>
      </c>
      <c r="CO68" s="13">
        <v>0.0</v>
      </c>
      <c r="CP68" s="13">
        <v>0.0</v>
      </c>
      <c r="CQ68" s="13">
        <v>0.0</v>
      </c>
      <c r="CR68" s="13">
        <v>0.0</v>
      </c>
      <c r="CS68" s="13">
        <v>0.0</v>
      </c>
      <c r="CT68" s="13">
        <v>0.0</v>
      </c>
      <c r="CU68" s="13">
        <v>0.0</v>
      </c>
      <c r="CV68" s="13">
        <v>0.0</v>
      </c>
      <c r="CW68" s="13">
        <v>0.0</v>
      </c>
      <c r="CX68" s="13">
        <v>0.0</v>
      </c>
      <c r="CY68" s="13">
        <v>0.0</v>
      </c>
      <c r="CZ68" s="13">
        <v>0.0</v>
      </c>
      <c r="DA68" s="13">
        <v>0.0</v>
      </c>
      <c r="DB68" s="13">
        <v>0.0</v>
      </c>
      <c r="DC68" s="13">
        <v>0.0</v>
      </c>
      <c r="DD68" s="13">
        <v>0.0</v>
      </c>
      <c r="DE68" s="13">
        <v>0.0</v>
      </c>
      <c r="DF68" s="13">
        <v>0.0</v>
      </c>
      <c r="DG68" s="13">
        <v>0.0</v>
      </c>
      <c r="DH68" s="13">
        <v>0.0</v>
      </c>
      <c r="DI68" s="13">
        <v>0.0</v>
      </c>
      <c r="DJ68" s="13">
        <v>0.0</v>
      </c>
      <c r="DK68" s="13">
        <v>0.0</v>
      </c>
      <c r="DL68" s="13">
        <v>0.0</v>
      </c>
      <c r="DM68" s="13">
        <v>0.0</v>
      </c>
      <c r="DN68" s="13">
        <v>0.0</v>
      </c>
      <c r="DO68" s="13">
        <v>0.0</v>
      </c>
      <c r="DP68" s="13">
        <v>0.0</v>
      </c>
      <c r="DQ68" s="13">
        <v>0.0</v>
      </c>
      <c r="DR68" s="13">
        <v>0.0</v>
      </c>
      <c r="DS68" s="13">
        <v>0.0</v>
      </c>
      <c r="DT68" s="13"/>
      <c r="DU68" s="13">
        <v>0.0</v>
      </c>
      <c r="DV68" s="13">
        <v>0.0</v>
      </c>
      <c r="DW68" s="13">
        <v>0.0</v>
      </c>
      <c r="DX68" s="13"/>
      <c r="DY68" s="13">
        <v>0.0</v>
      </c>
      <c r="DZ68" s="13">
        <v>0.0</v>
      </c>
      <c r="EA68" s="13">
        <v>0.0</v>
      </c>
      <c r="EB68" s="13">
        <v>0.0</v>
      </c>
      <c r="EC68" s="13">
        <v>0.0</v>
      </c>
      <c r="ED68" s="13">
        <v>0.0</v>
      </c>
      <c r="EE68" s="13">
        <v>0.0</v>
      </c>
      <c r="EF68" s="13">
        <v>0.0</v>
      </c>
      <c r="EG68" s="13">
        <v>0.0</v>
      </c>
      <c r="EH68" s="13">
        <v>0.0</v>
      </c>
      <c r="EI68" s="13">
        <v>0.0</v>
      </c>
      <c r="EJ68" s="13">
        <v>0.0</v>
      </c>
    </row>
    <row r="69" ht="15.75" customHeight="1">
      <c r="A69" s="7" t="s">
        <v>227</v>
      </c>
      <c r="B69" s="13">
        <v>0.0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3">
        <v>0.0</v>
      </c>
      <c r="M69" s="13">
        <v>0.0</v>
      </c>
      <c r="N69" s="13">
        <v>0.0</v>
      </c>
      <c r="O69" s="13">
        <v>0.0</v>
      </c>
      <c r="P69" s="13">
        <f t="shared" si="2"/>
        <v>0</v>
      </c>
      <c r="Q69" s="13">
        <v>0.0</v>
      </c>
      <c r="R69" s="13">
        <v>0.0</v>
      </c>
      <c r="S69" s="13">
        <v>0.0</v>
      </c>
      <c r="T69" s="13">
        <v>0.0</v>
      </c>
      <c r="U69" s="13">
        <v>0.0</v>
      </c>
      <c r="V69" s="13">
        <v>0.0</v>
      </c>
      <c r="W69" s="13">
        <v>0.0</v>
      </c>
      <c r="X69" s="13">
        <v>0.0</v>
      </c>
      <c r="Y69" s="13">
        <f t="shared" si="3"/>
        <v>0</v>
      </c>
      <c r="Z69" s="13">
        <v>0.0</v>
      </c>
      <c r="AA69" s="13">
        <v>0.0</v>
      </c>
      <c r="AB69" s="13">
        <v>0.0</v>
      </c>
      <c r="AC69" s="13">
        <v>0.0</v>
      </c>
      <c r="AD69" s="13">
        <v>0.0</v>
      </c>
      <c r="AE69" s="13">
        <v>0.0</v>
      </c>
      <c r="AF69" s="13">
        <v>0.0</v>
      </c>
      <c r="AG69" s="13">
        <v>0.0</v>
      </c>
      <c r="AH69" s="13">
        <v>0.0</v>
      </c>
      <c r="AI69" s="13">
        <v>0.0</v>
      </c>
      <c r="AJ69" s="13">
        <v>0.0</v>
      </c>
      <c r="AK69" s="13">
        <v>0.0</v>
      </c>
      <c r="AL69" s="13">
        <v>0.0</v>
      </c>
      <c r="AM69" s="13">
        <v>0.0</v>
      </c>
      <c r="AN69" s="13">
        <v>0.0</v>
      </c>
      <c r="AO69" s="13">
        <v>0.0</v>
      </c>
      <c r="AP69" s="13">
        <v>0.0</v>
      </c>
      <c r="AQ69" s="13">
        <v>0.0</v>
      </c>
      <c r="AR69" s="13">
        <v>0.0</v>
      </c>
      <c r="AS69" s="13" t="str">
        <f>iferror(VLOOKUP($A69,EAM!A$2:E$14,2,FALSE))</f>
        <v/>
      </c>
      <c r="AT69" s="13">
        <v>0.0</v>
      </c>
      <c r="AU69" s="13">
        <v>0.0</v>
      </c>
      <c r="AV69" s="13">
        <v>0.0</v>
      </c>
      <c r="AW69" s="13">
        <v>0.0</v>
      </c>
      <c r="AX69" s="13">
        <v>0.0</v>
      </c>
      <c r="AY69" s="13">
        <v>0.0</v>
      </c>
      <c r="AZ69" s="13">
        <v>0.0</v>
      </c>
      <c r="BA69" s="13">
        <v>0.0</v>
      </c>
      <c r="BB69" s="13">
        <v>0.0</v>
      </c>
      <c r="BC69" s="13">
        <v>0.0</v>
      </c>
      <c r="BD69" s="13">
        <v>0.0</v>
      </c>
      <c r="BE69" s="13">
        <v>0.0</v>
      </c>
      <c r="BF69" s="13">
        <v>0.0</v>
      </c>
      <c r="BG69" s="13">
        <v>0.0</v>
      </c>
      <c r="BH69" s="13">
        <v>0.0</v>
      </c>
      <c r="BI69" s="13">
        <v>0.0</v>
      </c>
      <c r="BJ69" s="13">
        <v>0.0</v>
      </c>
      <c r="BK69" s="13">
        <v>0.0</v>
      </c>
      <c r="BL69" s="13">
        <v>0.0</v>
      </c>
      <c r="BM69" s="13">
        <v>0.0</v>
      </c>
      <c r="BN69" s="13">
        <v>0.0</v>
      </c>
      <c r="BO69" s="13">
        <v>0.0</v>
      </c>
      <c r="BP69" s="13">
        <v>0.0</v>
      </c>
      <c r="BQ69" s="13">
        <v>0.0</v>
      </c>
      <c r="BR69" s="13">
        <v>0.0</v>
      </c>
      <c r="BS69" s="13">
        <v>0.0</v>
      </c>
      <c r="BT69" s="13">
        <v>0.0</v>
      </c>
      <c r="BU69" s="13">
        <v>0.0</v>
      </c>
      <c r="BV69" s="13">
        <v>0.01</v>
      </c>
      <c r="BW69" s="13">
        <v>0.0</v>
      </c>
      <c r="BX69" s="13">
        <v>0.0</v>
      </c>
      <c r="BY69" s="13">
        <v>0.0</v>
      </c>
      <c r="BZ69" s="13">
        <v>0.0</v>
      </c>
      <c r="CA69" s="13">
        <v>0.0</v>
      </c>
      <c r="CB69" s="13">
        <v>0.0</v>
      </c>
      <c r="CC69" s="13">
        <v>0.0</v>
      </c>
      <c r="CD69" s="13">
        <v>0.0</v>
      </c>
      <c r="CE69" s="13">
        <v>0.0</v>
      </c>
      <c r="CF69" s="13">
        <v>0.0</v>
      </c>
      <c r="CG69" s="13">
        <v>0.0</v>
      </c>
      <c r="CH69" s="13">
        <v>0.0</v>
      </c>
      <c r="CI69" s="13">
        <v>0.0</v>
      </c>
      <c r="CJ69" s="13">
        <v>0.0</v>
      </c>
      <c r="CK69" s="13">
        <v>0.0</v>
      </c>
      <c r="CL69" s="13">
        <v>0.0</v>
      </c>
      <c r="CM69" s="13">
        <v>0.0</v>
      </c>
      <c r="CN69" s="13">
        <v>0.0</v>
      </c>
      <c r="CO69" s="13">
        <v>0.0</v>
      </c>
      <c r="CP69" s="13">
        <v>0.0</v>
      </c>
      <c r="CQ69" s="13">
        <v>0.0</v>
      </c>
      <c r="CR69" s="13">
        <v>0.0</v>
      </c>
      <c r="CS69" s="13">
        <v>0.0</v>
      </c>
      <c r="CT69" s="13">
        <v>0.0</v>
      </c>
      <c r="CU69" s="13">
        <v>0.0</v>
      </c>
      <c r="CV69" s="13">
        <v>0.0</v>
      </c>
      <c r="CW69" s="13">
        <v>0.0</v>
      </c>
      <c r="CX69" s="13">
        <v>0.0</v>
      </c>
      <c r="CY69" s="13">
        <v>0.0</v>
      </c>
      <c r="CZ69" s="13">
        <v>0.0</v>
      </c>
      <c r="DA69" s="13">
        <v>0.0</v>
      </c>
      <c r="DB69" s="13">
        <v>0.0</v>
      </c>
      <c r="DC69" s="13">
        <v>0.0</v>
      </c>
      <c r="DD69" s="13">
        <v>0.0</v>
      </c>
      <c r="DE69" s="13">
        <v>0.0</v>
      </c>
      <c r="DF69" s="13">
        <v>0.0</v>
      </c>
      <c r="DG69" s="13">
        <v>0.0</v>
      </c>
      <c r="DH69" s="13">
        <v>0.0</v>
      </c>
      <c r="DI69" s="13">
        <v>0.0</v>
      </c>
      <c r="DJ69" s="13">
        <v>0.0</v>
      </c>
      <c r="DK69" s="13">
        <v>0.0</v>
      </c>
      <c r="DL69" s="13">
        <v>0.0</v>
      </c>
      <c r="DM69" s="13">
        <v>0.0</v>
      </c>
      <c r="DN69" s="13">
        <v>0.0</v>
      </c>
      <c r="DO69" s="13">
        <v>0.0</v>
      </c>
      <c r="DP69" s="13">
        <v>0.0</v>
      </c>
      <c r="DQ69" s="13">
        <v>0.0</v>
      </c>
      <c r="DR69" s="13">
        <v>0.0</v>
      </c>
      <c r="DS69" s="13">
        <v>0.0</v>
      </c>
      <c r="DT69" s="13">
        <v>0.0</v>
      </c>
      <c r="DU69" s="13">
        <v>0.0</v>
      </c>
      <c r="DV69" s="13">
        <v>0.0</v>
      </c>
      <c r="DW69" s="13">
        <v>0.0</v>
      </c>
      <c r="DX69" s="13">
        <v>0.0</v>
      </c>
      <c r="DY69" s="13">
        <v>0.0</v>
      </c>
      <c r="DZ69" s="13">
        <v>0.0</v>
      </c>
      <c r="EA69" s="13">
        <v>0.0</v>
      </c>
      <c r="EB69" s="13">
        <v>0.0</v>
      </c>
      <c r="EC69" s="13">
        <v>0.0</v>
      </c>
      <c r="ED69" s="13">
        <v>0.0</v>
      </c>
      <c r="EE69" s="13">
        <v>0.0</v>
      </c>
      <c r="EF69" s="13">
        <v>0.0</v>
      </c>
      <c r="EG69" s="13">
        <v>0.0</v>
      </c>
      <c r="EH69" s="13">
        <v>0.0</v>
      </c>
      <c r="EI69" s="13">
        <v>0.0</v>
      </c>
      <c r="EJ69" s="13">
        <v>0.0</v>
      </c>
    </row>
    <row r="70" ht="15.75" customHeight="1">
      <c r="A70" s="9" t="s">
        <v>228</v>
      </c>
      <c r="B70" s="13"/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/>
      <c r="I70" s="16" t="str">
        <f>iferror(vlookup(A70,'Inst Lending numbers'!A:D,4,false)," ")</f>
        <v> </v>
      </c>
      <c r="J70" s="13"/>
      <c r="K70" s="13"/>
      <c r="L70" s="13"/>
      <c r="M70" s="13"/>
      <c r="N70" s="13"/>
      <c r="O70" s="13">
        <f t="shared" ref="O70:O71" si="14">$O$4</f>
        <v>0.03932233526</v>
      </c>
      <c r="P70" s="13">
        <f t="shared" si="2"/>
        <v>0</v>
      </c>
      <c r="Q70" s="13"/>
      <c r="R70" s="13"/>
      <c r="S70" s="13"/>
      <c r="T70" s="13"/>
      <c r="U70" s="13"/>
      <c r="V70" s="13"/>
      <c r="W70" s="13"/>
      <c r="X70" s="13"/>
      <c r="Y70" s="13">
        <f t="shared" si="3"/>
        <v>0</v>
      </c>
      <c r="Z70" s="13"/>
      <c r="AA70" s="13">
        <v>0.0</v>
      </c>
      <c r="AB70" s="13">
        <f t="shared" ref="AB70:AB73" si="15">$AB$4</f>
        <v>0.1957867833</v>
      </c>
      <c r="AC70" s="13"/>
      <c r="AD70" s="13"/>
      <c r="AE70" s="13">
        <f>iferror(sumif('Weekly Rates'!D:D,A70,'Weekly Rates'!F:F)/countif('Weekly Rates'!D:D,A70),0)</f>
        <v>0</v>
      </c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 t="str">
        <f>iferror(VLOOKUP($A70,EAM!A$2:E$14,2,FALSE))</f>
        <v/>
      </c>
      <c r="AT70" s="13"/>
      <c r="AU70" s="13">
        <f>sumif('Weekly Rates'!A:A,A70,'Weekly Rates'!B:B)</f>
        <v>0</v>
      </c>
      <c r="AV70" s="13">
        <v>0.0</v>
      </c>
      <c r="AW70" s="13">
        <v>0.0</v>
      </c>
      <c r="AX70" s="13">
        <v>0.0</v>
      </c>
      <c r="AY70" s="13">
        <v>0.0</v>
      </c>
      <c r="AZ70" s="13">
        <v>0.0</v>
      </c>
      <c r="BA70" s="13">
        <v>0.0</v>
      </c>
      <c r="BB70" s="13">
        <v>0.0</v>
      </c>
      <c r="BC70" s="13">
        <v>0.0</v>
      </c>
      <c r="BD70" s="13">
        <v>0.0</v>
      </c>
      <c r="BE70" s="13">
        <v>0.0</v>
      </c>
      <c r="BF70" s="13">
        <v>0.0</v>
      </c>
      <c r="BG70" s="13">
        <v>0.0</v>
      </c>
      <c r="BH70" s="13">
        <v>0.0</v>
      </c>
      <c r="BI70" s="13">
        <v>0.0</v>
      </c>
      <c r="BJ70" s="13">
        <v>0.0</v>
      </c>
      <c r="BK70" s="13">
        <v>0.0</v>
      </c>
      <c r="BL70" s="13">
        <v>0.0</v>
      </c>
      <c r="BM70" s="13">
        <v>0.0</v>
      </c>
      <c r="BN70" s="13">
        <v>0.0</v>
      </c>
      <c r="BO70" s="13">
        <v>0.0</v>
      </c>
      <c r="BP70" s="13">
        <v>0.0</v>
      </c>
      <c r="BQ70" s="13">
        <v>0.0</v>
      </c>
      <c r="BR70" s="13">
        <v>0.0</v>
      </c>
      <c r="BS70" s="13">
        <v>0.0</v>
      </c>
      <c r="BT70" s="13">
        <v>0.0</v>
      </c>
      <c r="BU70" s="13">
        <v>0.0</v>
      </c>
      <c r="BV70" s="13">
        <v>0.0</v>
      </c>
      <c r="BW70" s="13">
        <v>0.0</v>
      </c>
      <c r="BX70" s="13">
        <v>0.0</v>
      </c>
      <c r="BY70" s="13">
        <v>0.0</v>
      </c>
      <c r="BZ70" s="13">
        <v>0.0</v>
      </c>
      <c r="CA70" s="13">
        <v>0.0</v>
      </c>
      <c r="CB70" s="13">
        <v>0.0</v>
      </c>
      <c r="CC70" s="13">
        <v>0.0</v>
      </c>
      <c r="CD70" s="13">
        <v>0.0</v>
      </c>
      <c r="CE70" s="13">
        <v>0.0</v>
      </c>
      <c r="CF70" s="13">
        <v>0.0</v>
      </c>
      <c r="CG70" s="13">
        <v>0.0</v>
      </c>
      <c r="CH70" s="13">
        <v>0.0</v>
      </c>
      <c r="CI70" s="13">
        <v>0.0</v>
      </c>
      <c r="CJ70" s="13">
        <v>0.0</v>
      </c>
      <c r="CK70" s="13">
        <v>0.0</v>
      </c>
      <c r="CL70" s="13">
        <v>0.0</v>
      </c>
      <c r="CM70" s="13">
        <v>0.0</v>
      </c>
      <c r="CN70" s="13">
        <v>0.0</v>
      </c>
      <c r="CO70" s="13">
        <v>0.0</v>
      </c>
      <c r="CP70" s="13">
        <v>0.0</v>
      </c>
      <c r="CQ70" s="13">
        <v>0.0</v>
      </c>
      <c r="CR70" s="13">
        <v>0.0</v>
      </c>
      <c r="CS70" s="13">
        <v>0.0</v>
      </c>
      <c r="CT70" s="13">
        <v>0.0</v>
      </c>
      <c r="CU70" s="13">
        <v>0.0</v>
      </c>
      <c r="CV70" s="13">
        <v>0.0</v>
      </c>
      <c r="CW70" s="13">
        <v>0.0</v>
      </c>
      <c r="CX70" s="13">
        <v>0.0</v>
      </c>
      <c r="CY70" s="13">
        <v>0.0</v>
      </c>
      <c r="CZ70" s="13">
        <v>0.0</v>
      </c>
      <c r="DA70" s="13">
        <v>0.0</v>
      </c>
      <c r="DB70" s="13">
        <v>0.0</v>
      </c>
      <c r="DC70" s="13">
        <v>0.0</v>
      </c>
      <c r="DD70" s="13">
        <v>0.0</v>
      </c>
      <c r="DE70" s="13">
        <v>0.0</v>
      </c>
      <c r="DF70" s="13">
        <v>0.0</v>
      </c>
      <c r="DG70" s="13">
        <v>0.0</v>
      </c>
      <c r="DH70" s="13">
        <v>0.0</v>
      </c>
      <c r="DI70" s="13">
        <v>0.0</v>
      </c>
      <c r="DJ70" s="13">
        <v>0.0</v>
      </c>
      <c r="DK70" s="13">
        <v>0.0</v>
      </c>
      <c r="DL70" s="13">
        <v>0.0</v>
      </c>
      <c r="DM70" s="13">
        <v>0.0</v>
      </c>
      <c r="DN70" s="13">
        <v>0.0</v>
      </c>
      <c r="DO70" s="13">
        <v>0.0</v>
      </c>
      <c r="DP70" s="13">
        <v>0.0</v>
      </c>
      <c r="DQ70" s="13">
        <v>0.0</v>
      </c>
      <c r="DR70" s="13">
        <v>0.0</v>
      </c>
      <c r="DS70" s="13">
        <v>0.0</v>
      </c>
      <c r="DT70" s="13"/>
      <c r="DU70" s="13">
        <v>0.0</v>
      </c>
      <c r="DV70" s="13">
        <v>0.0</v>
      </c>
      <c r="DW70" s="13">
        <v>0.0</v>
      </c>
      <c r="DX70" s="13"/>
      <c r="DY70" s="13">
        <v>0.0</v>
      </c>
      <c r="DZ70" s="13">
        <v>0.0</v>
      </c>
      <c r="EA70" s="13">
        <v>0.0</v>
      </c>
      <c r="EB70" s="13">
        <v>0.0</v>
      </c>
      <c r="EC70" s="13">
        <v>0.0</v>
      </c>
      <c r="ED70" s="13">
        <v>0.0</v>
      </c>
      <c r="EE70" s="13">
        <v>0.0</v>
      </c>
      <c r="EF70" s="13">
        <v>0.0</v>
      </c>
      <c r="EG70" s="13">
        <v>0.0</v>
      </c>
      <c r="EH70" s="13">
        <v>0.0</v>
      </c>
      <c r="EI70" s="13">
        <v>0.0</v>
      </c>
      <c r="EJ70" s="13">
        <v>0.0</v>
      </c>
    </row>
    <row r="71" ht="15.75" customHeight="1">
      <c r="A71" s="9" t="s">
        <v>229</v>
      </c>
      <c r="B71" s="13"/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/>
      <c r="I71" s="16" t="str">
        <f>iferror(vlookup(A71,'Inst Lending numbers'!A:D,4,false)," ")</f>
        <v> </v>
      </c>
      <c r="J71" s="13"/>
      <c r="K71" s="13"/>
      <c r="L71" s="13"/>
      <c r="M71" s="13"/>
      <c r="N71" s="13"/>
      <c r="O71" s="13">
        <f t="shared" si="14"/>
        <v>0.03932233526</v>
      </c>
      <c r="P71" s="13">
        <f t="shared" si="2"/>
        <v>0</v>
      </c>
      <c r="Q71" s="13"/>
      <c r="R71" s="13"/>
      <c r="S71" s="13"/>
      <c r="T71" s="13"/>
      <c r="U71" s="13"/>
      <c r="V71" s="13"/>
      <c r="W71" s="13"/>
      <c r="X71" s="13"/>
      <c r="Y71" s="13">
        <f t="shared" si="3"/>
        <v>0</v>
      </c>
      <c r="Z71" s="13"/>
      <c r="AA71" s="13">
        <v>0.0</v>
      </c>
      <c r="AB71" s="13">
        <f t="shared" si="15"/>
        <v>0.1957867833</v>
      </c>
      <c r="AC71" s="13"/>
      <c r="AD71" s="13"/>
      <c r="AE71" s="13">
        <f>iferror(sumif('Weekly Rates'!D:D,A71,'Weekly Rates'!F:F)/countif('Weekly Rates'!D:D,A71),0)</f>
        <v>0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 t="str">
        <f>iferror(VLOOKUP($A71,EAM!A$2:E$14,2,FALSE))</f>
        <v/>
      </c>
      <c r="AT71" s="13"/>
      <c r="AU71" s="13">
        <f>sumif('Weekly Rates'!A:A,A71,'Weekly Rates'!B:B)</f>
        <v>0</v>
      </c>
      <c r="AV71" s="13">
        <v>0.0</v>
      </c>
      <c r="AW71" s="13">
        <v>0.0</v>
      </c>
      <c r="AX71" s="13">
        <v>0.0</v>
      </c>
      <c r="AY71" s="13">
        <v>0.0</v>
      </c>
      <c r="AZ71" s="13">
        <v>0.0</v>
      </c>
      <c r="BA71" s="13">
        <v>0.0</v>
      </c>
      <c r="BB71" s="13">
        <v>0.0</v>
      </c>
      <c r="BC71" s="13">
        <v>0.0</v>
      </c>
      <c r="BD71" s="13">
        <v>0.0</v>
      </c>
      <c r="BE71" s="13">
        <v>0.0</v>
      </c>
      <c r="BF71" s="13">
        <v>0.0</v>
      </c>
      <c r="BG71" s="13">
        <v>0.0</v>
      </c>
      <c r="BH71" s="13">
        <v>0.0</v>
      </c>
      <c r="BI71" s="13">
        <v>0.0</v>
      </c>
      <c r="BJ71" s="13">
        <v>0.0</v>
      </c>
      <c r="BK71" s="13">
        <v>0.0</v>
      </c>
      <c r="BL71" s="13">
        <v>0.0</v>
      </c>
      <c r="BM71" s="13">
        <v>0.0</v>
      </c>
      <c r="BN71" s="13">
        <v>0.0</v>
      </c>
      <c r="BO71" s="13">
        <v>0.0</v>
      </c>
      <c r="BP71" s="13">
        <v>0.0</v>
      </c>
      <c r="BQ71" s="13">
        <v>0.0</v>
      </c>
      <c r="BR71" s="13">
        <v>0.0</v>
      </c>
      <c r="BS71" s="13">
        <v>0.0</v>
      </c>
      <c r="BT71" s="13">
        <v>0.0</v>
      </c>
      <c r="BU71" s="13">
        <v>0.0</v>
      </c>
      <c r="BV71" s="13">
        <v>0.0</v>
      </c>
      <c r="BW71" s="13">
        <v>0.0</v>
      </c>
      <c r="BX71" s="13">
        <v>0.0</v>
      </c>
      <c r="BY71" s="13">
        <v>0.0</v>
      </c>
      <c r="BZ71" s="13">
        <v>0.0</v>
      </c>
      <c r="CA71" s="13">
        <v>0.0</v>
      </c>
      <c r="CB71" s="13">
        <v>0.0</v>
      </c>
      <c r="CC71" s="13">
        <v>0.0</v>
      </c>
      <c r="CD71" s="13">
        <v>0.0</v>
      </c>
      <c r="CE71" s="13">
        <v>0.0</v>
      </c>
      <c r="CF71" s="13">
        <v>0.0</v>
      </c>
      <c r="CG71" s="13">
        <v>0.0</v>
      </c>
      <c r="CH71" s="13">
        <v>0.0</v>
      </c>
      <c r="CI71" s="13">
        <v>0.0</v>
      </c>
      <c r="CJ71" s="13">
        <v>0.0</v>
      </c>
      <c r="CK71" s="13">
        <v>0.0</v>
      </c>
      <c r="CL71" s="13">
        <v>0.0</v>
      </c>
      <c r="CM71" s="13">
        <v>0.0</v>
      </c>
      <c r="CN71" s="13">
        <v>0.0</v>
      </c>
      <c r="CO71" s="13">
        <v>0.0</v>
      </c>
      <c r="CP71" s="13">
        <v>0.0</v>
      </c>
      <c r="CQ71" s="13">
        <v>0.0</v>
      </c>
      <c r="CR71" s="13">
        <v>0.0</v>
      </c>
      <c r="CS71" s="13">
        <v>0.0</v>
      </c>
      <c r="CT71" s="13">
        <v>0.0</v>
      </c>
      <c r="CU71" s="13">
        <v>0.0</v>
      </c>
      <c r="CV71" s="13">
        <v>0.0</v>
      </c>
      <c r="CW71" s="13">
        <v>0.0</v>
      </c>
      <c r="CX71" s="13">
        <v>0.0</v>
      </c>
      <c r="CY71" s="13">
        <v>0.0</v>
      </c>
      <c r="CZ71" s="13">
        <v>0.0</v>
      </c>
      <c r="DA71" s="13">
        <v>0.0</v>
      </c>
      <c r="DB71" s="13">
        <v>0.0</v>
      </c>
      <c r="DC71" s="13">
        <v>0.0</v>
      </c>
      <c r="DD71" s="13">
        <v>0.0</v>
      </c>
      <c r="DE71" s="13">
        <v>0.0</v>
      </c>
      <c r="DF71" s="13">
        <v>0.0</v>
      </c>
      <c r="DG71" s="13">
        <v>0.0</v>
      </c>
      <c r="DH71" s="13">
        <v>0.0</v>
      </c>
      <c r="DI71" s="13">
        <v>0.0</v>
      </c>
      <c r="DJ71" s="13">
        <v>0.0</v>
      </c>
      <c r="DK71" s="13">
        <v>0.0</v>
      </c>
      <c r="DL71" s="13">
        <v>0.0</v>
      </c>
      <c r="DM71" s="13">
        <v>0.0</v>
      </c>
      <c r="DN71" s="13">
        <v>0.0</v>
      </c>
      <c r="DO71" s="13">
        <v>0.0</v>
      </c>
      <c r="DP71" s="13">
        <v>0.0</v>
      </c>
      <c r="DQ71" s="13">
        <v>0.0</v>
      </c>
      <c r="DR71" s="13">
        <v>0.0</v>
      </c>
      <c r="DS71" s="13">
        <v>0.0</v>
      </c>
      <c r="DT71" s="13"/>
      <c r="DU71" s="13">
        <v>0.0</v>
      </c>
      <c r="DV71" s="13">
        <v>0.0</v>
      </c>
      <c r="DW71" s="13">
        <v>0.0</v>
      </c>
      <c r="DX71" s="13"/>
      <c r="DY71" s="13">
        <v>0.0</v>
      </c>
      <c r="DZ71" s="13">
        <v>0.0</v>
      </c>
      <c r="EA71" s="13">
        <v>0.0</v>
      </c>
      <c r="EB71" s="13">
        <v>0.0</v>
      </c>
      <c r="EC71" s="13">
        <v>0.0</v>
      </c>
      <c r="ED71" s="13">
        <v>0.0</v>
      </c>
      <c r="EE71" s="13">
        <v>0.0</v>
      </c>
      <c r="EF71" s="13">
        <v>0.0</v>
      </c>
      <c r="EG71" s="13">
        <v>0.0</v>
      </c>
      <c r="EH71" s="13">
        <v>0.0</v>
      </c>
      <c r="EI71" s="13">
        <v>0.0</v>
      </c>
      <c r="EJ71" s="13">
        <v>0.0</v>
      </c>
    </row>
    <row r="72" ht="15.75" customHeight="1">
      <c r="A72" s="7" t="s">
        <v>230</v>
      </c>
      <c r="B72" s="13"/>
      <c r="C72" s="13">
        <v>0.0</v>
      </c>
      <c r="D72" s="13"/>
      <c r="E72" s="13"/>
      <c r="F72" s="13"/>
      <c r="G72" s="13"/>
      <c r="H72" s="13"/>
      <c r="I72" s="16"/>
      <c r="J72" s="13"/>
      <c r="K72" s="13"/>
      <c r="L72" s="13"/>
      <c r="M72" s="13"/>
      <c r="N72" s="13"/>
      <c r="O72" s="13"/>
      <c r="P72" s="13">
        <f t="shared" si="2"/>
        <v>0</v>
      </c>
      <c r="Q72" s="13"/>
      <c r="R72" s="13"/>
      <c r="S72" s="13"/>
      <c r="T72" s="13"/>
      <c r="U72" s="13"/>
      <c r="V72" s="13"/>
      <c r="W72" s="13"/>
      <c r="X72" s="13"/>
      <c r="Y72" s="13">
        <f t="shared" si="3"/>
        <v>0</v>
      </c>
      <c r="Z72" s="13"/>
      <c r="AA72" s="13">
        <v>0.0</v>
      </c>
      <c r="AB72" s="13">
        <f t="shared" si="15"/>
        <v>0.1957867833</v>
      </c>
      <c r="AC72" s="13"/>
      <c r="AD72" s="13"/>
      <c r="AE72" s="13">
        <f>iferror(sumif('Weekly Rates'!D:D,A72,'Weekly Rates'!F:F)/countif('Weekly Rates'!D:D,A72),0)</f>
        <v>0</v>
      </c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 t="str">
        <f>iferror(VLOOKUP($A72,EAM!A$2:E$14,2,FALSE))</f>
        <v/>
      </c>
      <c r="AT72" s="13"/>
      <c r="AU72" s="13"/>
      <c r="AV72" s="13"/>
      <c r="AW72" s="13">
        <v>0.0</v>
      </c>
      <c r="AX72" s="13"/>
      <c r="AY72" s="13">
        <v>0.0</v>
      </c>
      <c r="AZ72" s="13">
        <v>0.0</v>
      </c>
      <c r="BA72" s="13">
        <v>0.0</v>
      </c>
      <c r="BB72" s="13">
        <v>0.0</v>
      </c>
      <c r="BC72" s="13">
        <v>0.0</v>
      </c>
      <c r="BD72" s="13">
        <v>0.0</v>
      </c>
      <c r="BE72" s="13">
        <v>0.0</v>
      </c>
      <c r="BF72" s="13">
        <v>0.0</v>
      </c>
      <c r="BG72" s="13">
        <v>0.0</v>
      </c>
      <c r="BH72" s="13">
        <v>0.0</v>
      </c>
      <c r="BI72" s="13">
        <v>0.0</v>
      </c>
      <c r="BJ72" s="13">
        <v>0.0</v>
      </c>
      <c r="BK72" s="13">
        <v>0.0</v>
      </c>
      <c r="BL72" s="13">
        <v>0.0</v>
      </c>
      <c r="BM72" s="13">
        <v>0.0</v>
      </c>
      <c r="BN72" s="13">
        <v>0.0</v>
      </c>
      <c r="BO72" s="13">
        <v>0.0</v>
      </c>
      <c r="BP72" s="13">
        <v>0.0</v>
      </c>
      <c r="BQ72" s="13">
        <v>0.0</v>
      </c>
      <c r="BR72" s="13">
        <v>0.0</v>
      </c>
      <c r="BS72" s="13">
        <v>0.0</v>
      </c>
      <c r="BT72" s="13">
        <v>0.0</v>
      </c>
      <c r="BU72" s="13">
        <v>0.0</v>
      </c>
      <c r="BV72" s="13">
        <v>0.0</v>
      </c>
      <c r="BW72" s="13">
        <v>0.0</v>
      </c>
      <c r="BX72" s="13">
        <v>0.0</v>
      </c>
      <c r="BY72" s="13">
        <v>0.0</v>
      </c>
      <c r="BZ72" s="13">
        <v>0.0</v>
      </c>
      <c r="CA72" s="13">
        <v>0.0</v>
      </c>
      <c r="CB72" s="13">
        <v>0.0</v>
      </c>
      <c r="CC72" s="13">
        <v>0.0</v>
      </c>
      <c r="CD72" s="13">
        <v>0.0</v>
      </c>
      <c r="CE72" s="13">
        <v>0.0</v>
      </c>
      <c r="CF72" s="13">
        <v>0.0</v>
      </c>
      <c r="CG72" s="13">
        <v>0.0</v>
      </c>
      <c r="CH72" s="13">
        <v>0.0</v>
      </c>
      <c r="CI72" s="13">
        <v>0.0</v>
      </c>
      <c r="CJ72" s="13">
        <v>0.0</v>
      </c>
      <c r="CK72" s="13">
        <v>0.0</v>
      </c>
      <c r="CL72" s="13">
        <v>0.0</v>
      </c>
      <c r="CM72" s="13">
        <v>0.0</v>
      </c>
      <c r="CN72" s="13">
        <v>0.0</v>
      </c>
      <c r="CO72" s="13">
        <v>0.0</v>
      </c>
      <c r="CP72" s="13">
        <v>0.0</v>
      </c>
      <c r="CQ72" s="13">
        <v>0.0</v>
      </c>
      <c r="CR72" s="13">
        <v>0.0</v>
      </c>
      <c r="CS72" s="13">
        <v>0.0</v>
      </c>
      <c r="CT72" s="13">
        <v>0.0</v>
      </c>
      <c r="CU72" s="13">
        <v>0.0</v>
      </c>
      <c r="CV72" s="13">
        <v>0.0</v>
      </c>
      <c r="CW72" s="13">
        <v>0.0</v>
      </c>
      <c r="CX72" s="13">
        <v>0.0</v>
      </c>
      <c r="CY72" s="13">
        <v>0.0</v>
      </c>
      <c r="CZ72" s="13">
        <v>0.0</v>
      </c>
      <c r="DA72" s="13">
        <v>0.0</v>
      </c>
      <c r="DB72" s="13">
        <v>0.0</v>
      </c>
      <c r="DC72" s="13">
        <v>0.0</v>
      </c>
      <c r="DD72" s="13">
        <v>0.0</v>
      </c>
      <c r="DE72" s="13">
        <v>0.0</v>
      </c>
      <c r="DF72" s="13">
        <v>0.0</v>
      </c>
      <c r="DG72" s="13">
        <v>0.0</v>
      </c>
      <c r="DH72" s="13">
        <v>0.0</v>
      </c>
      <c r="DI72" s="13">
        <v>0.0</v>
      </c>
      <c r="DJ72" s="13">
        <v>0.0</v>
      </c>
      <c r="DK72" s="13">
        <v>0.0</v>
      </c>
      <c r="DL72" s="13">
        <v>0.0</v>
      </c>
      <c r="DM72" s="13">
        <v>0.0</v>
      </c>
      <c r="DN72" s="13">
        <v>0.0</v>
      </c>
      <c r="DO72" s="13">
        <v>0.0</v>
      </c>
      <c r="DP72" s="13">
        <v>0.0</v>
      </c>
      <c r="DQ72" s="13">
        <v>0.0</v>
      </c>
      <c r="DR72" s="13">
        <v>0.0</v>
      </c>
      <c r="DS72" s="13">
        <v>0.0</v>
      </c>
      <c r="DT72" s="13"/>
      <c r="DU72" s="13">
        <v>0.0</v>
      </c>
      <c r="DV72" s="13">
        <v>0.0</v>
      </c>
      <c r="DW72" s="13">
        <v>0.0</v>
      </c>
      <c r="DX72" s="13"/>
      <c r="DY72" s="13">
        <v>0.0</v>
      </c>
      <c r="DZ72" s="13">
        <v>0.0</v>
      </c>
      <c r="EA72" s="13">
        <v>0.0</v>
      </c>
      <c r="EB72" s="13">
        <v>0.0</v>
      </c>
      <c r="EC72" s="13">
        <v>0.0</v>
      </c>
      <c r="ED72" s="13">
        <v>0.0</v>
      </c>
      <c r="EE72" s="13">
        <v>0.0</v>
      </c>
      <c r="EF72" s="13">
        <v>0.0</v>
      </c>
      <c r="EG72" s="13">
        <v>0.0</v>
      </c>
      <c r="EH72" s="13">
        <v>0.0</v>
      </c>
      <c r="EI72" s="13">
        <v>0.0</v>
      </c>
      <c r="EJ72" s="13">
        <v>0.0</v>
      </c>
    </row>
    <row r="73" ht="15.75" customHeight="1">
      <c r="A73" s="18" t="s">
        <v>231</v>
      </c>
      <c r="B73" s="13"/>
      <c r="C73" s="13">
        <v>0.0</v>
      </c>
      <c r="D73" s="13"/>
      <c r="E73" s="13"/>
      <c r="F73" s="13"/>
      <c r="G73" s="13"/>
      <c r="H73" s="13"/>
      <c r="I73" s="16"/>
      <c r="J73" s="13"/>
      <c r="K73" s="13"/>
      <c r="L73" s="13"/>
      <c r="M73" s="13"/>
      <c r="N73" s="13"/>
      <c r="O73" s="13"/>
      <c r="P73" s="13">
        <f t="shared" si="2"/>
        <v>0</v>
      </c>
      <c r="Q73" s="13"/>
      <c r="R73" s="13"/>
      <c r="S73" s="13"/>
      <c r="T73" s="13"/>
      <c r="U73" s="13"/>
      <c r="V73" s="13"/>
      <c r="W73" s="13"/>
      <c r="X73" s="13"/>
      <c r="Y73" s="13">
        <f t="shared" si="3"/>
        <v>0</v>
      </c>
      <c r="Z73" s="13"/>
      <c r="AA73" s="13">
        <v>0.0</v>
      </c>
      <c r="AB73" s="13">
        <f t="shared" si="15"/>
        <v>0.1957867833</v>
      </c>
      <c r="AC73" s="13"/>
      <c r="AD73" s="13"/>
      <c r="AE73" s="13">
        <f>iferror(sumif('Weekly Rates'!D:D,A73,'Weekly Rates'!F:F)/countif('Weekly Rates'!D:D,A73),0)</f>
        <v>0</v>
      </c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 t="str">
        <f>iferror(VLOOKUP($A73,EAM!A$2:E$14,2,FALSE))</f>
        <v/>
      </c>
      <c r="AT73" s="13"/>
      <c r="AU73" s="13"/>
      <c r="AV73" s="13"/>
      <c r="AW73" s="13">
        <v>0.0</v>
      </c>
      <c r="AX73" s="13"/>
      <c r="AY73" s="13">
        <v>0.0</v>
      </c>
      <c r="AZ73" s="13">
        <v>0.0</v>
      </c>
      <c r="BA73" s="13">
        <v>0.0</v>
      </c>
      <c r="BB73" s="13">
        <v>0.0</v>
      </c>
      <c r="BC73" s="13">
        <v>0.0</v>
      </c>
      <c r="BD73" s="13">
        <v>0.0</v>
      </c>
      <c r="BE73" s="13">
        <v>0.0</v>
      </c>
      <c r="BF73" s="13">
        <v>0.0</v>
      </c>
      <c r="BG73" s="13">
        <v>0.0</v>
      </c>
      <c r="BH73" s="13">
        <v>0.0</v>
      </c>
      <c r="BI73" s="13">
        <v>0.0</v>
      </c>
      <c r="BJ73" s="13">
        <v>0.0</v>
      </c>
      <c r="BK73" s="13">
        <v>0.0</v>
      </c>
      <c r="BL73" s="13">
        <v>0.0</v>
      </c>
      <c r="BM73" s="13">
        <v>0.0</v>
      </c>
      <c r="BN73" s="13">
        <v>0.0</v>
      </c>
      <c r="BO73" s="13">
        <v>0.0</v>
      </c>
      <c r="BP73" s="13">
        <v>0.0</v>
      </c>
      <c r="BQ73" s="13">
        <v>0.0</v>
      </c>
      <c r="BR73" s="13">
        <v>0.0</v>
      </c>
      <c r="BS73" s="13">
        <v>0.0</v>
      </c>
      <c r="BT73" s="13">
        <v>0.0</v>
      </c>
      <c r="BU73" s="13">
        <v>0.0</v>
      </c>
      <c r="BV73" s="13">
        <v>0.0</v>
      </c>
      <c r="BW73" s="13">
        <v>0.0</v>
      </c>
      <c r="BX73" s="13">
        <v>0.0</v>
      </c>
      <c r="BY73" s="13">
        <v>0.0</v>
      </c>
      <c r="BZ73" s="13">
        <v>0.0</v>
      </c>
      <c r="CA73" s="13">
        <v>0.0</v>
      </c>
      <c r="CB73" s="13">
        <v>0.0</v>
      </c>
      <c r="CC73" s="13">
        <v>0.0</v>
      </c>
      <c r="CD73" s="13">
        <v>0.0</v>
      </c>
      <c r="CE73" s="13">
        <v>0.0</v>
      </c>
      <c r="CF73" s="13">
        <v>0.0</v>
      </c>
      <c r="CG73" s="13">
        <v>0.0</v>
      </c>
      <c r="CH73" s="13">
        <v>0.0</v>
      </c>
      <c r="CI73" s="13">
        <v>0.0</v>
      </c>
      <c r="CJ73" s="13">
        <v>0.0</v>
      </c>
      <c r="CK73" s="13">
        <v>0.0</v>
      </c>
      <c r="CL73" s="13">
        <v>0.0</v>
      </c>
      <c r="CM73" s="13">
        <v>0.0</v>
      </c>
      <c r="CN73" s="13">
        <v>0.0</v>
      </c>
      <c r="CO73" s="13">
        <v>0.0</v>
      </c>
      <c r="CP73" s="13">
        <v>0.0</v>
      </c>
      <c r="CQ73" s="13">
        <v>0.0</v>
      </c>
      <c r="CR73" s="13">
        <v>0.0</v>
      </c>
      <c r="CS73" s="13">
        <v>0.0</v>
      </c>
      <c r="CT73" s="13">
        <v>0.0</v>
      </c>
      <c r="CU73" s="13">
        <v>0.0</v>
      </c>
      <c r="CV73" s="13">
        <v>0.0</v>
      </c>
      <c r="CW73" s="13">
        <v>0.0</v>
      </c>
      <c r="CX73" s="13">
        <v>0.0</v>
      </c>
      <c r="CY73" s="13">
        <v>0.0</v>
      </c>
      <c r="CZ73" s="13">
        <v>0.0</v>
      </c>
      <c r="DA73" s="13">
        <v>0.0</v>
      </c>
      <c r="DB73" s="13">
        <v>0.0</v>
      </c>
      <c r="DC73" s="13">
        <v>0.0</v>
      </c>
      <c r="DD73" s="13">
        <v>0.0</v>
      </c>
      <c r="DE73" s="13">
        <v>0.0</v>
      </c>
      <c r="DF73" s="13">
        <v>0.0</v>
      </c>
      <c r="DG73" s="13">
        <v>0.0</v>
      </c>
      <c r="DH73" s="13">
        <v>0.0</v>
      </c>
      <c r="DI73" s="13">
        <v>0.0</v>
      </c>
      <c r="DJ73" s="13">
        <v>0.0</v>
      </c>
      <c r="DK73" s="13">
        <v>0.0</v>
      </c>
      <c r="DL73" s="13">
        <v>0.0</v>
      </c>
      <c r="DM73" s="13">
        <v>0.0</v>
      </c>
      <c r="DN73" s="13">
        <v>0.0</v>
      </c>
      <c r="DO73" s="13">
        <v>0.0</v>
      </c>
      <c r="DP73" s="13">
        <v>0.0</v>
      </c>
      <c r="DQ73" s="13">
        <v>0.0</v>
      </c>
      <c r="DR73" s="13">
        <v>0.0</v>
      </c>
      <c r="DS73" s="13">
        <v>0.0</v>
      </c>
      <c r="DT73" s="13"/>
      <c r="DU73" s="13">
        <v>0.0</v>
      </c>
      <c r="DV73" s="13">
        <v>0.0</v>
      </c>
      <c r="DW73" s="13">
        <v>0.0</v>
      </c>
      <c r="DX73" s="13"/>
      <c r="DY73" s="13">
        <v>0.0</v>
      </c>
      <c r="DZ73" s="13">
        <v>0.0</v>
      </c>
      <c r="EA73" s="13">
        <v>0.0</v>
      </c>
      <c r="EB73" s="13">
        <v>0.0</v>
      </c>
      <c r="EC73" s="13">
        <v>0.0</v>
      </c>
      <c r="ED73" s="13">
        <v>0.0</v>
      </c>
      <c r="EE73" s="13">
        <v>0.0</v>
      </c>
      <c r="EF73" s="13">
        <v>0.0</v>
      </c>
      <c r="EG73" s="13">
        <v>0.0</v>
      </c>
      <c r="EH73" s="13">
        <v>0.0</v>
      </c>
      <c r="EI73" s="13">
        <v>0.0</v>
      </c>
      <c r="EJ73" s="13">
        <v>0.0</v>
      </c>
    </row>
    <row r="74" ht="15.75" customHeight="1">
      <c r="A74" s="18" t="s">
        <v>232</v>
      </c>
      <c r="B74" s="13"/>
      <c r="C74" s="13"/>
      <c r="D74" s="13"/>
      <c r="E74" s="13"/>
      <c r="F74" s="13"/>
      <c r="G74" s="13"/>
      <c r="H74" s="13"/>
      <c r="I74" s="16"/>
      <c r="J74" s="13"/>
      <c r="K74" s="13"/>
      <c r="L74" s="13"/>
      <c r="M74" s="13"/>
      <c r="N74" s="13"/>
      <c r="O74" s="13"/>
      <c r="P74" s="13">
        <f t="shared" si="2"/>
        <v>0</v>
      </c>
      <c r="Q74" s="13"/>
      <c r="R74" s="13"/>
      <c r="S74" s="13"/>
      <c r="T74" s="13"/>
      <c r="U74" s="13"/>
      <c r="V74" s="13"/>
      <c r="W74" s="13"/>
      <c r="X74" s="13"/>
      <c r="Y74" s="13">
        <f t="shared" si="3"/>
        <v>0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 t="str">
        <f>iferror(VLOOKUP($A74,EAM!A$2:E$14,2,FALSE))</f>
        <v/>
      </c>
      <c r="AT74" s="13"/>
      <c r="AU74" s="13">
        <v>0.0</v>
      </c>
      <c r="AV74" s="13">
        <v>0.0</v>
      </c>
      <c r="AW74" s="13">
        <v>0.0</v>
      </c>
      <c r="AX74" s="13">
        <v>0.0</v>
      </c>
      <c r="AY74" s="13">
        <v>0.0</v>
      </c>
      <c r="AZ74" s="13">
        <v>0.0</v>
      </c>
      <c r="BA74" s="13">
        <v>0.0</v>
      </c>
      <c r="BB74" s="13">
        <v>0.0</v>
      </c>
      <c r="BC74" s="13">
        <v>0.0</v>
      </c>
      <c r="BD74" s="13">
        <v>0.0</v>
      </c>
      <c r="BE74" s="13">
        <v>0.0</v>
      </c>
      <c r="BF74" s="13">
        <v>0.0</v>
      </c>
      <c r="BG74" s="13">
        <v>0.0</v>
      </c>
      <c r="BH74" s="13">
        <v>0.0</v>
      </c>
      <c r="BI74" s="13">
        <v>0.0</v>
      </c>
      <c r="BJ74" s="13">
        <v>0.0</v>
      </c>
      <c r="BK74" s="13">
        <v>0.0</v>
      </c>
      <c r="BL74" s="13">
        <v>0.0</v>
      </c>
      <c r="BM74" s="13">
        <v>0.0</v>
      </c>
      <c r="BN74" s="13">
        <v>0.0</v>
      </c>
      <c r="BO74" s="13">
        <v>0.0</v>
      </c>
      <c r="BP74" s="13">
        <v>0.0</v>
      </c>
      <c r="BQ74" s="13">
        <v>0.0</v>
      </c>
      <c r="BR74" s="13">
        <v>0.0</v>
      </c>
      <c r="BS74" s="13">
        <v>0.0</v>
      </c>
      <c r="BT74" s="13">
        <v>0.0</v>
      </c>
      <c r="BU74" s="13">
        <v>0.0</v>
      </c>
      <c r="BV74" s="13">
        <v>0.0</v>
      </c>
      <c r="BW74" s="13">
        <v>0.0</v>
      </c>
      <c r="BX74" s="13">
        <v>0.0</v>
      </c>
      <c r="BY74" s="13">
        <v>0.0</v>
      </c>
      <c r="BZ74" s="13">
        <v>0.0</v>
      </c>
      <c r="CA74" s="13">
        <v>0.0</v>
      </c>
      <c r="CB74" s="13">
        <v>0.0</v>
      </c>
      <c r="CC74" s="13">
        <v>0.0</v>
      </c>
      <c r="CD74" s="13">
        <v>0.0</v>
      </c>
      <c r="CE74" s="13">
        <v>0.0</v>
      </c>
      <c r="CF74" s="13">
        <v>0.0</v>
      </c>
      <c r="CG74" s="13">
        <v>0.0</v>
      </c>
      <c r="CH74" s="13">
        <v>0.0</v>
      </c>
      <c r="CI74" s="13">
        <v>0.0</v>
      </c>
      <c r="CJ74" s="13">
        <v>0.0</v>
      </c>
      <c r="CK74" s="13">
        <v>0.0</v>
      </c>
      <c r="CL74" s="13">
        <v>0.0</v>
      </c>
      <c r="CM74" s="13">
        <v>0.0</v>
      </c>
      <c r="CN74" s="13">
        <v>0.0</v>
      </c>
      <c r="CO74" s="13">
        <v>0.0</v>
      </c>
      <c r="CP74" s="13">
        <v>0.0</v>
      </c>
      <c r="CQ74" s="13">
        <v>0.0</v>
      </c>
      <c r="CR74" s="13">
        <v>0.0</v>
      </c>
      <c r="CS74" s="13">
        <v>0.0</v>
      </c>
      <c r="CT74" s="13">
        <v>0.0</v>
      </c>
      <c r="CU74" s="13">
        <v>0.0</v>
      </c>
      <c r="CV74" s="13">
        <v>0.0</v>
      </c>
      <c r="CW74" s="13">
        <v>0.0</v>
      </c>
      <c r="CX74" s="13">
        <v>0.0</v>
      </c>
      <c r="CY74" s="13">
        <v>0.0</v>
      </c>
      <c r="CZ74" s="13">
        <v>0.0</v>
      </c>
      <c r="DA74" s="13">
        <v>0.0</v>
      </c>
      <c r="DB74" s="13">
        <v>0.0</v>
      </c>
      <c r="DC74" s="13">
        <v>0.0</v>
      </c>
      <c r="DD74" s="13">
        <v>0.0</v>
      </c>
      <c r="DE74" s="13">
        <v>0.0</v>
      </c>
      <c r="DF74" s="13">
        <v>0.0</v>
      </c>
      <c r="DG74" s="13">
        <v>0.0</v>
      </c>
      <c r="DH74" s="13">
        <v>0.0</v>
      </c>
      <c r="DI74" s="13">
        <v>0.0</v>
      </c>
      <c r="DJ74" s="13">
        <v>0.0</v>
      </c>
      <c r="DK74" s="13">
        <v>0.0</v>
      </c>
      <c r="DL74" s="13">
        <v>0.0</v>
      </c>
      <c r="DM74" s="13">
        <v>0.0</v>
      </c>
      <c r="DN74" s="13">
        <v>0.0</v>
      </c>
      <c r="DO74" s="13">
        <v>0.0</v>
      </c>
      <c r="DP74" s="13">
        <v>0.0</v>
      </c>
      <c r="DQ74" s="13">
        <v>0.0</v>
      </c>
      <c r="DR74" s="13">
        <v>0.0</v>
      </c>
      <c r="DS74" s="13">
        <v>0.0</v>
      </c>
      <c r="DT74" s="13">
        <v>0.0</v>
      </c>
      <c r="DU74" s="13">
        <v>0.0</v>
      </c>
      <c r="DV74" s="13">
        <v>0.0</v>
      </c>
      <c r="DW74" s="13">
        <v>0.0</v>
      </c>
      <c r="DX74" s="13">
        <v>0.0</v>
      </c>
      <c r="DY74" s="13">
        <v>0.0</v>
      </c>
      <c r="DZ74" s="13">
        <v>0.0</v>
      </c>
      <c r="EA74" s="13">
        <v>0.0</v>
      </c>
      <c r="EB74" s="13">
        <v>0.0</v>
      </c>
      <c r="EC74" s="13">
        <v>0.0</v>
      </c>
      <c r="ED74" s="13">
        <v>0.0</v>
      </c>
      <c r="EE74" s="13">
        <v>0.0</v>
      </c>
      <c r="EF74" s="13">
        <v>0.0</v>
      </c>
      <c r="EG74" s="13">
        <v>0.0</v>
      </c>
      <c r="EH74" s="13">
        <v>0.0</v>
      </c>
      <c r="EI74" s="13">
        <v>0.0</v>
      </c>
      <c r="EJ74" s="13">
        <v>0.0</v>
      </c>
    </row>
    <row r="75" ht="15.75" customHeight="1">
      <c r="A75" s="9" t="s">
        <v>233</v>
      </c>
      <c r="B75" s="13"/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/>
      <c r="I75" s="16">
        <f>iferror(vlookup(A75,'Inst Lending numbers'!A:D,4,false)," ")</f>
        <v>0.1425</v>
      </c>
      <c r="J75" s="13"/>
      <c r="K75" s="13"/>
      <c r="L75" s="13"/>
      <c r="M75" s="13"/>
      <c r="N75" s="13"/>
      <c r="O75" s="13">
        <f t="shared" ref="O75:O82" si="16">$O$4</f>
        <v>0.03932233526</v>
      </c>
      <c r="P75" s="13">
        <f t="shared" si="2"/>
        <v>0</v>
      </c>
      <c r="Q75" s="13"/>
      <c r="R75" s="13"/>
      <c r="S75" s="13"/>
      <c r="T75" s="13"/>
      <c r="U75" s="13"/>
      <c r="V75" s="13"/>
      <c r="W75" s="13"/>
      <c r="X75" s="13"/>
      <c r="Y75" s="13">
        <f t="shared" si="3"/>
        <v>0</v>
      </c>
      <c r="Z75" s="13"/>
      <c r="AA75" s="13">
        <v>0.0</v>
      </c>
      <c r="AB75" s="13">
        <f t="shared" ref="AB75:AB95" si="17">$AB$4</f>
        <v>0.1957867833</v>
      </c>
      <c r="AC75" s="13"/>
      <c r="AD75" s="13"/>
      <c r="AE75" s="13">
        <f>iferror(sumif('Weekly Rates'!D:D,A75,'Weekly Rates'!F:F)/countif('Weekly Rates'!D:D,A75),0)</f>
        <v>0.0550128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 t="str">
        <f>iferror(VLOOKUP($A75,EAM!A$2:E$14,2,FALSE))</f>
        <v/>
      </c>
      <c r="AT75" s="13"/>
      <c r="AU75" s="13">
        <f>sumif('Weekly Rates'!A:A,A75,'Weekly Rates'!B:B)</f>
        <v>0</v>
      </c>
      <c r="AV75" s="13">
        <v>0.0</v>
      </c>
      <c r="AW75" s="13">
        <v>0.0</v>
      </c>
      <c r="AX75" s="13">
        <v>0.0</v>
      </c>
      <c r="AY75" s="13">
        <v>0.0</v>
      </c>
      <c r="AZ75" s="13">
        <v>0.0</v>
      </c>
      <c r="BA75" s="13">
        <v>0.0</v>
      </c>
      <c r="BB75" s="13">
        <v>0.0</v>
      </c>
      <c r="BC75" s="13">
        <v>0.0</v>
      </c>
      <c r="BD75" s="13">
        <v>0.0</v>
      </c>
      <c r="BE75" s="13">
        <v>0.0</v>
      </c>
      <c r="BF75" s="13">
        <v>0.35</v>
      </c>
      <c r="BG75" s="13">
        <v>0.0</v>
      </c>
      <c r="BH75" s="13">
        <v>0.0</v>
      </c>
      <c r="BI75" s="13">
        <v>0.0</v>
      </c>
      <c r="BJ75" s="13">
        <v>0.0</v>
      </c>
      <c r="BK75" s="13">
        <v>0.0</v>
      </c>
      <c r="BL75" s="13">
        <v>0.0</v>
      </c>
      <c r="BM75" s="13">
        <v>0.0</v>
      </c>
      <c r="BN75" s="13">
        <v>0.0</v>
      </c>
      <c r="BO75" s="13">
        <v>0.0</v>
      </c>
      <c r="BP75" s="13">
        <v>0.0</v>
      </c>
      <c r="BQ75" s="13">
        <v>0.0</v>
      </c>
      <c r="BR75" s="13">
        <v>0.0</v>
      </c>
      <c r="BS75" s="13">
        <v>0.0</v>
      </c>
      <c r="BT75" s="13">
        <v>0.0</v>
      </c>
      <c r="BU75" s="13">
        <v>0.0</v>
      </c>
      <c r="BV75" s="13">
        <v>0.0</v>
      </c>
      <c r="BW75" s="13">
        <v>0.0</v>
      </c>
      <c r="BX75" s="13">
        <v>0.0</v>
      </c>
      <c r="BY75" s="13">
        <v>0.0</v>
      </c>
      <c r="BZ75" s="13">
        <v>0.0</v>
      </c>
      <c r="CA75" s="13">
        <v>0.0</v>
      </c>
      <c r="CB75" s="13">
        <v>0.0</v>
      </c>
      <c r="CC75" s="13">
        <v>0.0</v>
      </c>
      <c r="CD75" s="13">
        <v>0.0</v>
      </c>
      <c r="CE75" s="13">
        <v>0.0</v>
      </c>
      <c r="CF75" s="13">
        <v>0.0</v>
      </c>
      <c r="CG75" s="13">
        <v>0.0</v>
      </c>
      <c r="CH75" s="13">
        <v>0.0</v>
      </c>
      <c r="CI75" s="13">
        <v>0.0</v>
      </c>
      <c r="CJ75" s="13">
        <v>0.0</v>
      </c>
      <c r="CK75" s="13">
        <v>0.0</v>
      </c>
      <c r="CL75" s="13">
        <v>0.0</v>
      </c>
      <c r="CM75" s="13">
        <v>0.0</v>
      </c>
      <c r="CN75" s="13">
        <v>0.0</v>
      </c>
      <c r="CO75" s="13">
        <v>0.0</v>
      </c>
      <c r="CP75" s="13">
        <v>0.0</v>
      </c>
      <c r="CQ75" s="13">
        <v>0.0</v>
      </c>
      <c r="CR75" s="13">
        <v>0.0</v>
      </c>
      <c r="CS75" s="13">
        <v>0.0</v>
      </c>
      <c r="CT75" s="13">
        <v>0.0</v>
      </c>
      <c r="CU75" s="13">
        <v>0.0</v>
      </c>
      <c r="CV75" s="13">
        <v>0.0</v>
      </c>
      <c r="CW75" s="13">
        <v>0.0</v>
      </c>
      <c r="CX75" s="13">
        <v>0.0</v>
      </c>
      <c r="CY75" s="13">
        <v>0.0</v>
      </c>
      <c r="CZ75" s="13">
        <v>0.0</v>
      </c>
      <c r="DA75" s="13">
        <v>0.0</v>
      </c>
      <c r="DB75" s="13">
        <v>0.0</v>
      </c>
      <c r="DC75" s="13">
        <v>0.0</v>
      </c>
      <c r="DD75" s="13">
        <v>0.0</v>
      </c>
      <c r="DE75" s="13">
        <v>0.0</v>
      </c>
      <c r="DF75" s="13">
        <v>0.0</v>
      </c>
      <c r="DG75" s="13">
        <v>0.0</v>
      </c>
      <c r="DH75" s="13">
        <v>0.0</v>
      </c>
      <c r="DI75" s="13">
        <v>0.0</v>
      </c>
      <c r="DJ75" s="13">
        <v>0.0</v>
      </c>
      <c r="DK75" s="13">
        <v>0.0</v>
      </c>
      <c r="DL75" s="13">
        <v>0.0</v>
      </c>
      <c r="DM75" s="13">
        <v>0.0</v>
      </c>
      <c r="DN75" s="13">
        <v>0.0</v>
      </c>
      <c r="DO75" s="13">
        <v>0.0</v>
      </c>
      <c r="DP75" s="13">
        <v>0.0</v>
      </c>
      <c r="DQ75" s="13">
        <v>0.0</v>
      </c>
      <c r="DR75" s="13">
        <v>0.0</v>
      </c>
      <c r="DS75" s="13">
        <v>0.0</v>
      </c>
      <c r="DT75" s="13"/>
      <c r="DU75" s="13">
        <v>0.0</v>
      </c>
      <c r="DV75" s="13">
        <v>0.0</v>
      </c>
      <c r="DW75" s="13">
        <v>0.0</v>
      </c>
      <c r="DX75" s="13"/>
      <c r="DY75" s="13">
        <v>0.0</v>
      </c>
      <c r="DZ75" s="13">
        <v>0.0</v>
      </c>
      <c r="EA75" s="13">
        <v>0.0</v>
      </c>
      <c r="EB75" s="13">
        <v>0.0</v>
      </c>
      <c r="EC75" s="13">
        <v>0.0</v>
      </c>
      <c r="ED75" s="13">
        <v>0.0</v>
      </c>
      <c r="EE75" s="13">
        <v>0.0</v>
      </c>
      <c r="EF75" s="13">
        <v>0.0</v>
      </c>
      <c r="EG75" s="13">
        <v>0.0</v>
      </c>
      <c r="EH75" s="13">
        <v>0.0</v>
      </c>
      <c r="EI75" s="13">
        <v>0.0</v>
      </c>
      <c r="EJ75" s="13">
        <v>0.0</v>
      </c>
    </row>
    <row r="76" ht="15.75" customHeight="1">
      <c r="A76" s="9" t="s">
        <v>234</v>
      </c>
      <c r="B76" s="13"/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/>
      <c r="I76" s="16" t="str">
        <f>iferror(vlookup(A76,'Inst Lending numbers'!A:D,4,false)," ")</f>
        <v> </v>
      </c>
      <c r="J76" s="13"/>
      <c r="K76" s="13"/>
      <c r="L76" s="13"/>
      <c r="M76" s="13"/>
      <c r="N76" s="13"/>
      <c r="O76" s="13">
        <f t="shared" si="16"/>
        <v>0.03932233526</v>
      </c>
      <c r="P76" s="13">
        <f t="shared" si="2"/>
        <v>0</v>
      </c>
      <c r="Q76" s="13"/>
      <c r="R76" s="13"/>
      <c r="S76" s="13"/>
      <c r="T76" s="13"/>
      <c r="U76" s="13"/>
      <c r="V76" s="13"/>
      <c r="W76" s="13"/>
      <c r="X76" s="13"/>
      <c r="Y76" s="13">
        <f t="shared" si="3"/>
        <v>0</v>
      </c>
      <c r="Z76" s="13"/>
      <c r="AA76" s="13">
        <v>0.0</v>
      </c>
      <c r="AB76" s="13">
        <f t="shared" si="17"/>
        <v>0.1957867833</v>
      </c>
      <c r="AC76" s="13"/>
      <c r="AD76" s="13"/>
      <c r="AE76" s="13">
        <f>iferror(sumif('Weekly Rates'!D:D,A76,'Weekly Rates'!F:F)/countif('Weekly Rates'!D:D,A76),0)</f>
        <v>0</v>
      </c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 t="str">
        <f>iferror(VLOOKUP($A76,EAM!A$2:E$14,2,FALSE))</f>
        <v/>
      </c>
      <c r="AT76" s="13"/>
      <c r="AU76" s="13">
        <f>sumif('Weekly Rates'!A:A,A76,'Weekly Rates'!B:B)</f>
        <v>0</v>
      </c>
      <c r="AV76" s="13">
        <v>0.0</v>
      </c>
      <c r="AW76" s="13">
        <v>0.0</v>
      </c>
      <c r="AX76" s="13">
        <v>0.0</v>
      </c>
      <c r="AY76" s="13">
        <v>0.0</v>
      </c>
      <c r="AZ76" s="13">
        <v>0.0</v>
      </c>
      <c r="BA76" s="13">
        <v>0.0</v>
      </c>
      <c r="BB76" s="13">
        <v>0.0</v>
      </c>
      <c r="BC76" s="13">
        <v>0.0</v>
      </c>
      <c r="BD76" s="13">
        <v>0.0</v>
      </c>
      <c r="BE76" s="13">
        <v>0.0</v>
      </c>
      <c r="BF76" s="13">
        <v>0.0</v>
      </c>
      <c r="BG76" s="13">
        <v>0.0</v>
      </c>
      <c r="BH76" s="13">
        <v>0.0</v>
      </c>
      <c r="BI76" s="13">
        <v>0.0</v>
      </c>
      <c r="BJ76" s="13">
        <v>0.0</v>
      </c>
      <c r="BK76" s="13">
        <v>0.0</v>
      </c>
      <c r="BL76" s="13">
        <v>0.0</v>
      </c>
      <c r="BM76" s="13">
        <v>0.0</v>
      </c>
      <c r="BN76" s="13">
        <v>0.0</v>
      </c>
      <c r="BO76" s="13">
        <v>0.0</v>
      </c>
      <c r="BP76" s="13">
        <v>0.0</v>
      </c>
      <c r="BQ76" s="13">
        <v>0.0</v>
      </c>
      <c r="BR76" s="13">
        <v>0.0</v>
      </c>
      <c r="BS76" s="13">
        <v>0.0</v>
      </c>
      <c r="BT76" s="13">
        <v>0.0</v>
      </c>
      <c r="BU76" s="13">
        <v>0.0</v>
      </c>
      <c r="BV76" s="13">
        <v>0.0</v>
      </c>
      <c r="BW76" s="13">
        <v>0.0</v>
      </c>
      <c r="BX76" s="13">
        <v>0.0</v>
      </c>
      <c r="BY76" s="13">
        <v>0.0</v>
      </c>
      <c r="BZ76" s="13">
        <v>0.0</v>
      </c>
      <c r="CA76" s="13">
        <v>0.0</v>
      </c>
      <c r="CB76" s="13">
        <v>0.0</v>
      </c>
      <c r="CC76" s="13">
        <v>0.0</v>
      </c>
      <c r="CD76" s="13">
        <v>0.0</v>
      </c>
      <c r="CE76" s="13">
        <v>0.0</v>
      </c>
      <c r="CF76" s="13">
        <v>0.0</v>
      </c>
      <c r="CG76" s="13">
        <v>0.0</v>
      </c>
      <c r="CH76" s="13">
        <v>0.0</v>
      </c>
      <c r="CI76" s="13">
        <v>0.0</v>
      </c>
      <c r="CJ76" s="13">
        <v>0.0</v>
      </c>
      <c r="CK76" s="13">
        <v>0.0</v>
      </c>
      <c r="CL76" s="13">
        <v>0.0</v>
      </c>
      <c r="CM76" s="13">
        <v>0.0</v>
      </c>
      <c r="CN76" s="13">
        <v>0.0</v>
      </c>
      <c r="CO76" s="13">
        <v>0.0</v>
      </c>
      <c r="CP76" s="13">
        <v>0.0</v>
      </c>
      <c r="CQ76" s="13">
        <v>0.0</v>
      </c>
      <c r="CR76" s="13">
        <v>0.0</v>
      </c>
      <c r="CS76" s="13">
        <v>0.0</v>
      </c>
      <c r="CT76" s="13">
        <v>0.0</v>
      </c>
      <c r="CU76" s="13">
        <v>0.0</v>
      </c>
      <c r="CV76" s="13">
        <v>0.0</v>
      </c>
      <c r="CW76" s="13">
        <v>0.0</v>
      </c>
      <c r="CX76" s="13">
        <v>0.0</v>
      </c>
      <c r="CY76" s="13">
        <v>0.0</v>
      </c>
      <c r="CZ76" s="13">
        <v>0.0</v>
      </c>
      <c r="DA76" s="13">
        <v>0.0</v>
      </c>
      <c r="DB76" s="13">
        <v>0.0</v>
      </c>
      <c r="DC76" s="13">
        <v>0.0</v>
      </c>
      <c r="DD76" s="13">
        <v>0.0</v>
      </c>
      <c r="DE76" s="13">
        <v>0.0</v>
      </c>
      <c r="DF76" s="13">
        <v>0.0</v>
      </c>
      <c r="DG76" s="13">
        <v>0.0</v>
      </c>
      <c r="DH76" s="13">
        <v>0.0</v>
      </c>
      <c r="DI76" s="13">
        <v>0.0</v>
      </c>
      <c r="DJ76" s="13">
        <v>0.0</v>
      </c>
      <c r="DK76" s="13">
        <v>0.0</v>
      </c>
      <c r="DL76" s="13">
        <v>0.0</v>
      </c>
      <c r="DM76" s="13">
        <v>0.0</v>
      </c>
      <c r="DN76" s="13">
        <v>0.0</v>
      </c>
      <c r="DO76" s="13">
        <v>0.0</v>
      </c>
      <c r="DP76" s="13">
        <v>0.0</v>
      </c>
      <c r="DQ76" s="13">
        <v>0.0</v>
      </c>
      <c r="DR76" s="13">
        <v>0.0</v>
      </c>
      <c r="DS76" s="13">
        <v>0.0</v>
      </c>
      <c r="DT76" s="13"/>
      <c r="DU76" s="13">
        <v>0.0</v>
      </c>
      <c r="DV76" s="13">
        <v>0.0</v>
      </c>
      <c r="DW76" s="13">
        <v>0.0</v>
      </c>
      <c r="DX76" s="13"/>
      <c r="DY76" s="13">
        <v>0.0</v>
      </c>
      <c r="DZ76" s="13">
        <v>0.0</v>
      </c>
      <c r="EA76" s="13">
        <v>0.0</v>
      </c>
      <c r="EB76" s="13">
        <v>0.0</v>
      </c>
      <c r="EC76" s="13">
        <v>0.0</v>
      </c>
      <c r="ED76" s="13">
        <v>0.0</v>
      </c>
      <c r="EE76" s="13">
        <v>0.0</v>
      </c>
      <c r="EF76" s="13">
        <v>0.0</v>
      </c>
      <c r="EG76" s="13">
        <v>0.0</v>
      </c>
      <c r="EH76" s="13">
        <v>0.0</v>
      </c>
      <c r="EI76" s="13">
        <v>0.0</v>
      </c>
      <c r="EJ76" s="13">
        <v>0.0</v>
      </c>
    </row>
    <row r="77" ht="15.75" customHeight="1">
      <c r="A77" s="9" t="s">
        <v>235</v>
      </c>
      <c r="B77" s="13"/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/>
      <c r="I77" s="16" t="str">
        <f>iferror(vlookup(A77,'Inst Lending numbers'!A:D,4,false)," ")</f>
        <v> </v>
      </c>
      <c r="J77" s="13"/>
      <c r="K77" s="13"/>
      <c r="L77" s="13"/>
      <c r="M77" s="13"/>
      <c r="N77" s="13"/>
      <c r="O77" s="13">
        <f t="shared" si="16"/>
        <v>0.03932233526</v>
      </c>
      <c r="P77" s="13">
        <f t="shared" si="2"/>
        <v>0</v>
      </c>
      <c r="Q77" s="13"/>
      <c r="R77" s="13"/>
      <c r="S77" s="13"/>
      <c r="T77" s="13"/>
      <c r="U77" s="13"/>
      <c r="V77" s="13"/>
      <c r="W77" s="13"/>
      <c r="X77" s="13"/>
      <c r="Y77" s="13">
        <f t="shared" si="3"/>
        <v>0</v>
      </c>
      <c r="Z77" s="13"/>
      <c r="AA77" s="13">
        <v>0.0</v>
      </c>
      <c r="AB77" s="13">
        <f t="shared" si="17"/>
        <v>0.1957867833</v>
      </c>
      <c r="AC77" s="13"/>
      <c r="AD77" s="13"/>
      <c r="AE77" s="13">
        <f>iferror(sumif('Weekly Rates'!D:D,A77,'Weekly Rates'!F:F)/countif('Weekly Rates'!D:D,A77),0)</f>
        <v>0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 t="str">
        <f>iferror(VLOOKUP($A77,EAM!A$2:E$14,2,FALSE))</f>
        <v/>
      </c>
      <c r="AT77" s="13"/>
      <c r="AU77" s="13">
        <f>sumif('Weekly Rates'!A:A,A77,'Weekly Rates'!B:B)</f>
        <v>0</v>
      </c>
      <c r="AV77" s="13">
        <v>0.0</v>
      </c>
      <c r="AW77" s="13">
        <v>0.0</v>
      </c>
      <c r="AX77" s="13">
        <v>0.0</v>
      </c>
      <c r="AY77" s="13">
        <v>0.0</v>
      </c>
      <c r="AZ77" s="13">
        <v>0.0</v>
      </c>
      <c r="BA77" s="13">
        <v>0.0</v>
      </c>
      <c r="BB77" s="13">
        <v>0.0</v>
      </c>
      <c r="BC77" s="13">
        <v>0.0</v>
      </c>
      <c r="BD77" s="13">
        <v>0.0</v>
      </c>
      <c r="BE77" s="13">
        <v>0.0</v>
      </c>
      <c r="BF77" s="13">
        <v>0.0</v>
      </c>
      <c r="BG77" s="13">
        <v>0.0</v>
      </c>
      <c r="BH77" s="13">
        <v>0.0</v>
      </c>
      <c r="BI77" s="13">
        <v>0.0</v>
      </c>
      <c r="BJ77" s="13">
        <v>0.0</v>
      </c>
      <c r="BK77" s="13">
        <v>0.0</v>
      </c>
      <c r="BL77" s="13">
        <v>0.0</v>
      </c>
      <c r="BM77" s="13">
        <v>0.0</v>
      </c>
      <c r="BN77" s="13">
        <v>0.0</v>
      </c>
      <c r="BO77" s="13">
        <v>0.0</v>
      </c>
      <c r="BP77" s="13">
        <v>0.0</v>
      </c>
      <c r="BQ77" s="13">
        <v>0.0</v>
      </c>
      <c r="BR77" s="13">
        <v>0.0</v>
      </c>
      <c r="BS77" s="13">
        <v>0.0</v>
      </c>
      <c r="BT77" s="13">
        <v>0.0</v>
      </c>
      <c r="BU77" s="13">
        <v>0.0</v>
      </c>
      <c r="BV77" s="13">
        <v>0.0</v>
      </c>
      <c r="BW77" s="13">
        <v>0.0</v>
      </c>
      <c r="BX77" s="13">
        <v>0.0</v>
      </c>
      <c r="BY77" s="13">
        <v>0.0</v>
      </c>
      <c r="BZ77" s="13">
        <v>0.0</v>
      </c>
      <c r="CA77" s="13">
        <v>0.0</v>
      </c>
      <c r="CB77" s="13">
        <v>0.0</v>
      </c>
      <c r="CC77" s="13">
        <v>0.0</v>
      </c>
      <c r="CD77" s="13">
        <v>0.0</v>
      </c>
      <c r="CE77" s="13">
        <v>0.0</v>
      </c>
      <c r="CF77" s="13">
        <v>0.0</v>
      </c>
      <c r="CG77" s="13">
        <v>0.0</v>
      </c>
      <c r="CH77" s="13">
        <v>0.0</v>
      </c>
      <c r="CI77" s="13">
        <v>0.0</v>
      </c>
      <c r="CJ77" s="13">
        <v>0.0</v>
      </c>
      <c r="CK77" s="13">
        <v>0.0</v>
      </c>
      <c r="CL77" s="13">
        <v>0.0</v>
      </c>
      <c r="CM77" s="13">
        <v>0.0</v>
      </c>
      <c r="CN77" s="13">
        <v>0.0</v>
      </c>
      <c r="CO77" s="13">
        <v>0.0</v>
      </c>
      <c r="CP77" s="13">
        <v>0.0</v>
      </c>
      <c r="CQ77" s="13">
        <v>0.0</v>
      </c>
      <c r="CR77" s="13">
        <v>0.0</v>
      </c>
      <c r="CS77" s="13">
        <v>0.0</v>
      </c>
      <c r="CT77" s="13">
        <v>0.0</v>
      </c>
      <c r="CU77" s="13">
        <v>0.0</v>
      </c>
      <c r="CV77" s="13">
        <v>0.0</v>
      </c>
      <c r="CW77" s="13">
        <v>0.0</v>
      </c>
      <c r="CX77" s="13">
        <v>0.0</v>
      </c>
      <c r="CY77" s="13">
        <v>0.0</v>
      </c>
      <c r="CZ77" s="13">
        <v>0.0</v>
      </c>
      <c r="DA77" s="13">
        <v>0.0</v>
      </c>
      <c r="DB77" s="13">
        <v>0.0</v>
      </c>
      <c r="DC77" s="13">
        <v>0.0</v>
      </c>
      <c r="DD77" s="13">
        <v>0.0</v>
      </c>
      <c r="DE77" s="13">
        <v>0.0</v>
      </c>
      <c r="DF77" s="13">
        <v>0.0</v>
      </c>
      <c r="DG77" s="13">
        <v>0.0</v>
      </c>
      <c r="DH77" s="13">
        <v>0.0</v>
      </c>
      <c r="DI77" s="13">
        <v>0.0</v>
      </c>
      <c r="DJ77" s="13">
        <v>0.0</v>
      </c>
      <c r="DK77" s="13">
        <v>0.0</v>
      </c>
      <c r="DL77" s="13">
        <v>0.0</v>
      </c>
      <c r="DM77" s="13">
        <v>0.0</v>
      </c>
      <c r="DN77" s="13">
        <v>0.0</v>
      </c>
      <c r="DO77" s="13">
        <v>0.0</v>
      </c>
      <c r="DP77" s="13">
        <v>0.0</v>
      </c>
      <c r="DQ77" s="13">
        <v>0.0</v>
      </c>
      <c r="DR77" s="13">
        <v>0.0</v>
      </c>
      <c r="DS77" s="13">
        <v>0.0</v>
      </c>
      <c r="DT77" s="13"/>
      <c r="DU77" s="13">
        <v>0.0</v>
      </c>
      <c r="DV77" s="13">
        <v>0.0</v>
      </c>
      <c r="DW77" s="13">
        <v>0.0</v>
      </c>
      <c r="DX77" s="13"/>
      <c r="DY77" s="13">
        <v>0.0</v>
      </c>
      <c r="DZ77" s="13">
        <v>0.0</v>
      </c>
      <c r="EA77" s="13">
        <v>0.0</v>
      </c>
      <c r="EB77" s="13">
        <v>0.0</v>
      </c>
      <c r="EC77" s="13">
        <v>0.0</v>
      </c>
      <c r="ED77" s="13">
        <v>0.0</v>
      </c>
      <c r="EE77" s="13">
        <v>0.0</v>
      </c>
      <c r="EF77" s="13">
        <v>0.0</v>
      </c>
      <c r="EG77" s="13">
        <v>0.0</v>
      </c>
      <c r="EH77" s="13">
        <v>0.0</v>
      </c>
      <c r="EI77" s="13">
        <v>0.0</v>
      </c>
      <c r="EJ77" s="13">
        <v>0.0</v>
      </c>
    </row>
    <row r="78" ht="15.75" customHeight="1">
      <c r="A78" s="9" t="s">
        <v>236</v>
      </c>
      <c r="B78" s="13"/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/>
      <c r="I78" s="16">
        <f>iferror(vlookup(A78,'Inst Lending numbers'!A:D,4,false)," ")</f>
        <v>0.1473</v>
      </c>
      <c r="J78" s="13"/>
      <c r="K78" s="13"/>
      <c r="L78" s="13"/>
      <c r="M78" s="13"/>
      <c r="N78" s="13"/>
      <c r="O78" s="13">
        <f t="shared" si="16"/>
        <v>0.03932233526</v>
      </c>
      <c r="P78" s="13">
        <f t="shared" si="2"/>
        <v>0</v>
      </c>
      <c r="Q78" s="13"/>
      <c r="R78" s="13"/>
      <c r="S78" s="13"/>
      <c r="T78" s="13"/>
      <c r="U78" s="13"/>
      <c r="V78" s="13"/>
      <c r="W78" s="13"/>
      <c r="X78" s="13"/>
      <c r="Y78" s="13">
        <f t="shared" si="3"/>
        <v>0</v>
      </c>
      <c r="Z78" s="13"/>
      <c r="AA78" s="13">
        <v>0.0</v>
      </c>
      <c r="AB78" s="13">
        <f t="shared" si="17"/>
        <v>0.1957867833</v>
      </c>
      <c r="AC78" s="13"/>
      <c r="AD78" s="13"/>
      <c r="AE78" s="13">
        <f>iferror(sumif('Weekly Rates'!D:D,A78,'Weekly Rates'!F:F)/countif('Weekly Rates'!D:D,A78),0)</f>
        <v>0</v>
      </c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 t="str">
        <f>iferror(VLOOKUP($A78,EAM!A$2:E$14,2,FALSE))</f>
        <v/>
      </c>
      <c r="AT78" s="13"/>
      <c r="AU78" s="13">
        <f>sumif('Weekly Rates'!A:A,A78,'Weekly Rates'!B:B)</f>
        <v>0</v>
      </c>
      <c r="AV78" s="13">
        <v>0.0</v>
      </c>
      <c r="AW78" s="13">
        <v>0.0</v>
      </c>
      <c r="AX78" s="13">
        <v>0.0</v>
      </c>
      <c r="AY78" s="13">
        <v>0.0</v>
      </c>
      <c r="AZ78" s="13">
        <v>0.0</v>
      </c>
      <c r="BA78" s="13">
        <v>0.0</v>
      </c>
      <c r="BB78" s="13">
        <v>0.0</v>
      </c>
      <c r="BC78" s="13">
        <v>0.0</v>
      </c>
      <c r="BD78" s="13">
        <v>0.025</v>
      </c>
      <c r="BE78" s="13">
        <v>0.0</v>
      </c>
      <c r="BF78" s="13">
        <v>0.0</v>
      </c>
      <c r="BG78" s="13">
        <v>0.0</v>
      </c>
      <c r="BH78" s="13">
        <v>0.0</v>
      </c>
      <c r="BI78" s="13">
        <v>0.0</v>
      </c>
      <c r="BJ78" s="13">
        <v>0.0</v>
      </c>
      <c r="BK78" s="13">
        <v>0.0</v>
      </c>
      <c r="BL78" s="13">
        <v>0.0</v>
      </c>
      <c r="BM78" s="13">
        <v>0.0</v>
      </c>
      <c r="BN78" s="13">
        <v>0.0</v>
      </c>
      <c r="BO78" s="13">
        <v>0.0</v>
      </c>
      <c r="BP78" s="13">
        <v>0.0</v>
      </c>
      <c r="BQ78" s="13">
        <v>0.0</v>
      </c>
      <c r="BR78" s="13">
        <v>0.0</v>
      </c>
      <c r="BS78" s="13">
        <v>0.0</v>
      </c>
      <c r="BT78" s="13">
        <v>0.0</v>
      </c>
      <c r="BU78" s="13">
        <v>0.0</v>
      </c>
      <c r="BV78" s="13">
        <v>0.0</v>
      </c>
      <c r="BW78" s="13">
        <v>0.0</v>
      </c>
      <c r="BX78" s="13">
        <v>0.0</v>
      </c>
      <c r="BY78" s="13">
        <v>0.0</v>
      </c>
      <c r="BZ78" s="13">
        <v>0.0</v>
      </c>
      <c r="CA78" s="13">
        <v>0.0</v>
      </c>
      <c r="CB78" s="13">
        <v>0.0</v>
      </c>
      <c r="CC78" s="13">
        <v>0.0</v>
      </c>
      <c r="CD78" s="13">
        <v>0.0</v>
      </c>
      <c r="CE78" s="13">
        <v>0.0</v>
      </c>
      <c r="CF78" s="13">
        <v>0.0</v>
      </c>
      <c r="CG78" s="13">
        <v>0.0</v>
      </c>
      <c r="CH78" s="13">
        <v>0.0</v>
      </c>
      <c r="CI78" s="13">
        <v>0.0</v>
      </c>
      <c r="CJ78" s="13">
        <v>0.0</v>
      </c>
      <c r="CK78" s="13">
        <v>0.0</v>
      </c>
      <c r="CL78" s="13">
        <v>0.0</v>
      </c>
      <c r="CM78" s="13">
        <v>0.0</v>
      </c>
      <c r="CN78" s="13">
        <v>0.0</v>
      </c>
      <c r="CO78" s="13">
        <v>0.0</v>
      </c>
      <c r="CP78" s="13">
        <v>0.0</v>
      </c>
      <c r="CQ78" s="13">
        <v>0.0</v>
      </c>
      <c r="CR78" s="13">
        <v>0.0</v>
      </c>
      <c r="CS78" s="13">
        <v>0.0</v>
      </c>
      <c r="CT78" s="13">
        <v>0.0</v>
      </c>
      <c r="CU78" s="13">
        <v>0.0</v>
      </c>
      <c r="CV78" s="13">
        <v>0.0</v>
      </c>
      <c r="CW78" s="13">
        <v>0.0</v>
      </c>
      <c r="CX78" s="13">
        <v>0.0</v>
      </c>
      <c r="CY78" s="13">
        <v>0.0</v>
      </c>
      <c r="CZ78" s="13">
        <v>0.0</v>
      </c>
      <c r="DA78" s="13">
        <v>0.0</v>
      </c>
      <c r="DB78" s="13">
        <v>0.0</v>
      </c>
      <c r="DC78" s="13">
        <v>0.0</v>
      </c>
      <c r="DD78" s="13">
        <v>0.0</v>
      </c>
      <c r="DE78" s="13">
        <v>0.0</v>
      </c>
      <c r="DF78" s="13">
        <v>0.0</v>
      </c>
      <c r="DG78" s="13">
        <v>0.0</v>
      </c>
      <c r="DH78" s="13">
        <v>0.0</v>
      </c>
      <c r="DI78" s="13">
        <v>0.0</v>
      </c>
      <c r="DJ78" s="13">
        <v>0.0</v>
      </c>
      <c r="DK78" s="13">
        <v>0.0</v>
      </c>
      <c r="DL78" s="13">
        <v>0.0</v>
      </c>
      <c r="DM78" s="13">
        <v>0.0</v>
      </c>
      <c r="DN78" s="13">
        <v>0.0</v>
      </c>
      <c r="DO78" s="13">
        <v>0.0</v>
      </c>
      <c r="DP78" s="13">
        <v>0.0</v>
      </c>
      <c r="DQ78" s="13">
        <v>0.0</v>
      </c>
      <c r="DR78" s="13">
        <v>0.0</v>
      </c>
      <c r="DS78" s="13">
        <v>0.0</v>
      </c>
      <c r="DT78" s="13"/>
      <c r="DU78" s="13">
        <v>0.0</v>
      </c>
      <c r="DV78" s="13">
        <v>0.1469</v>
      </c>
      <c r="DW78" s="13">
        <v>0.0</v>
      </c>
      <c r="DX78" s="13"/>
      <c r="DY78" s="13">
        <v>0.0</v>
      </c>
      <c r="DZ78" s="13">
        <v>0.0</v>
      </c>
      <c r="EA78" s="13">
        <v>0.0</v>
      </c>
      <c r="EB78" s="13">
        <v>0.0</v>
      </c>
      <c r="EC78" s="13">
        <v>0.0</v>
      </c>
      <c r="ED78" s="13">
        <v>0.0</v>
      </c>
      <c r="EE78" s="13">
        <v>0.0</v>
      </c>
      <c r="EF78" s="13">
        <v>0.0</v>
      </c>
      <c r="EG78" s="13">
        <v>0.0</v>
      </c>
      <c r="EH78" s="13">
        <v>0.0</v>
      </c>
      <c r="EI78" s="13">
        <v>0.0</v>
      </c>
      <c r="EJ78" s="13">
        <v>0.0</v>
      </c>
    </row>
    <row r="79" ht="15.75" customHeight="1">
      <c r="A79" s="9" t="s">
        <v>237</v>
      </c>
      <c r="B79" s="13"/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/>
      <c r="I79" s="16" t="str">
        <f>iferror(vlookup(A79,'Inst Lending numbers'!A:D,4,false)," ")</f>
        <v> </v>
      </c>
      <c r="J79" s="13"/>
      <c r="K79" s="13"/>
      <c r="L79" s="13"/>
      <c r="M79" s="13"/>
      <c r="N79" s="13"/>
      <c r="O79" s="13">
        <f t="shared" si="16"/>
        <v>0.03932233526</v>
      </c>
      <c r="P79" s="13">
        <f t="shared" si="2"/>
        <v>0</v>
      </c>
      <c r="Q79" s="13"/>
      <c r="R79" s="13"/>
      <c r="S79" s="13"/>
      <c r="T79" s="13"/>
      <c r="U79" s="13"/>
      <c r="V79" s="13"/>
      <c r="W79" s="13"/>
      <c r="X79" s="13"/>
      <c r="Y79" s="13">
        <f t="shared" si="3"/>
        <v>0</v>
      </c>
      <c r="Z79" s="13"/>
      <c r="AA79" s="13">
        <v>0.0</v>
      </c>
      <c r="AB79" s="13">
        <f t="shared" si="17"/>
        <v>0.1957867833</v>
      </c>
      <c r="AC79" s="13"/>
      <c r="AD79" s="13"/>
      <c r="AE79" s="13">
        <f>iferror(sumif('Weekly Rates'!D:D,A79,'Weekly Rates'!F:F)/countif('Weekly Rates'!D:D,A79),0)</f>
        <v>0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 t="str">
        <f>iferror(VLOOKUP($A79,EAM!A$2:E$14,2,FALSE))</f>
        <v/>
      </c>
      <c r="AT79" s="13"/>
      <c r="AU79" s="13">
        <f>sumif('Weekly Rates'!A:A,A79,'Weekly Rates'!B:B)</f>
        <v>0</v>
      </c>
      <c r="AV79" s="13">
        <v>0.0</v>
      </c>
      <c r="AW79" s="13">
        <v>0.0</v>
      </c>
      <c r="AX79" s="13">
        <v>0.0</v>
      </c>
      <c r="AY79" s="13">
        <v>0.0</v>
      </c>
      <c r="AZ79" s="13">
        <v>0.0</v>
      </c>
      <c r="BA79" s="13">
        <v>0.0</v>
      </c>
      <c r="BB79" s="13">
        <v>0.0</v>
      </c>
      <c r="BC79" s="13">
        <v>0.0</v>
      </c>
      <c r="BD79" s="13">
        <v>0.0</v>
      </c>
      <c r="BE79" s="13">
        <v>0.0</v>
      </c>
      <c r="BF79" s="13">
        <v>0.0</v>
      </c>
      <c r="BG79" s="13">
        <v>0.0</v>
      </c>
      <c r="BH79" s="13">
        <v>0.0</v>
      </c>
      <c r="BI79" s="13">
        <v>0.0</v>
      </c>
      <c r="BJ79" s="13">
        <v>0.0</v>
      </c>
      <c r="BK79" s="13">
        <v>0.0</v>
      </c>
      <c r="BL79" s="13">
        <v>0.0</v>
      </c>
      <c r="BM79" s="13">
        <v>0.0</v>
      </c>
      <c r="BN79" s="13">
        <v>0.0</v>
      </c>
      <c r="BO79" s="13">
        <v>0.0</v>
      </c>
      <c r="BP79" s="13">
        <v>0.0</v>
      </c>
      <c r="BQ79" s="13">
        <v>0.0</v>
      </c>
      <c r="BR79" s="13">
        <v>0.0</v>
      </c>
      <c r="BS79" s="13">
        <v>0.0</v>
      </c>
      <c r="BT79" s="13">
        <v>0.0</v>
      </c>
      <c r="BU79" s="13">
        <v>0.0</v>
      </c>
      <c r="BV79" s="13">
        <v>0.0</v>
      </c>
      <c r="BW79" s="13">
        <v>0.0</v>
      </c>
      <c r="BX79" s="13">
        <v>0.0</v>
      </c>
      <c r="BY79" s="13">
        <v>0.0</v>
      </c>
      <c r="BZ79" s="13">
        <v>0.0</v>
      </c>
      <c r="CA79" s="13">
        <v>0.0</v>
      </c>
      <c r="CB79" s="13">
        <v>0.0</v>
      </c>
      <c r="CC79" s="13">
        <v>0.0</v>
      </c>
      <c r="CD79" s="13">
        <v>0.0</v>
      </c>
      <c r="CE79" s="13">
        <v>0.0</v>
      </c>
      <c r="CF79" s="13">
        <v>0.0</v>
      </c>
      <c r="CG79" s="13">
        <v>0.0</v>
      </c>
      <c r="CH79" s="13">
        <v>0.0</v>
      </c>
      <c r="CI79" s="13">
        <v>0.0</v>
      </c>
      <c r="CJ79" s="13">
        <v>0.0</v>
      </c>
      <c r="CK79" s="13">
        <v>0.0</v>
      </c>
      <c r="CL79" s="13">
        <v>0.0</v>
      </c>
      <c r="CM79" s="13">
        <v>0.0</v>
      </c>
      <c r="CN79" s="13">
        <v>0.0</v>
      </c>
      <c r="CO79" s="13">
        <v>0.0</v>
      </c>
      <c r="CP79" s="13">
        <v>0.0</v>
      </c>
      <c r="CQ79" s="13">
        <v>0.0</v>
      </c>
      <c r="CR79" s="13">
        <v>0.0</v>
      </c>
      <c r="CS79" s="13">
        <v>0.0</v>
      </c>
      <c r="CT79" s="13">
        <v>0.0</v>
      </c>
      <c r="CU79" s="13">
        <v>0.0</v>
      </c>
      <c r="CV79" s="13">
        <v>0.0</v>
      </c>
      <c r="CW79" s="13">
        <v>0.0</v>
      </c>
      <c r="CX79" s="13">
        <v>0.0</v>
      </c>
      <c r="CY79" s="13">
        <v>0.0</v>
      </c>
      <c r="CZ79" s="13">
        <v>0.0</v>
      </c>
      <c r="DA79" s="13">
        <v>0.0</v>
      </c>
      <c r="DB79" s="13">
        <v>0.0</v>
      </c>
      <c r="DC79" s="13">
        <v>0.0</v>
      </c>
      <c r="DD79" s="13">
        <v>0.0</v>
      </c>
      <c r="DE79" s="13">
        <v>0.0</v>
      </c>
      <c r="DF79" s="13">
        <v>0.0</v>
      </c>
      <c r="DG79" s="13">
        <v>0.0</v>
      </c>
      <c r="DH79" s="13">
        <v>0.0</v>
      </c>
      <c r="DI79" s="13">
        <v>0.0</v>
      </c>
      <c r="DJ79" s="13">
        <v>0.0</v>
      </c>
      <c r="DK79" s="13">
        <v>0.0</v>
      </c>
      <c r="DL79" s="13">
        <v>0.0</v>
      </c>
      <c r="DM79" s="13">
        <v>0.0</v>
      </c>
      <c r="DN79" s="13">
        <v>0.0</v>
      </c>
      <c r="DO79" s="13">
        <v>0.0</v>
      </c>
      <c r="DP79" s="13">
        <v>0.0</v>
      </c>
      <c r="DQ79" s="13">
        <v>0.0</v>
      </c>
      <c r="DR79" s="13">
        <v>0.0</v>
      </c>
      <c r="DS79" s="13">
        <v>0.0</v>
      </c>
      <c r="DT79" s="13"/>
      <c r="DU79" s="13">
        <v>0.0</v>
      </c>
      <c r="DV79" s="13">
        <v>0.0</v>
      </c>
      <c r="DW79" s="13">
        <v>0.0</v>
      </c>
      <c r="DX79" s="13"/>
      <c r="DY79" s="13">
        <v>0.0</v>
      </c>
      <c r="DZ79" s="13">
        <v>0.0</v>
      </c>
      <c r="EA79" s="13">
        <v>0.0</v>
      </c>
      <c r="EB79" s="13">
        <v>0.0</v>
      </c>
      <c r="EC79" s="13">
        <v>0.0</v>
      </c>
      <c r="ED79" s="13">
        <v>0.0</v>
      </c>
      <c r="EE79" s="13">
        <v>0.0</v>
      </c>
      <c r="EF79" s="13">
        <v>0.0</v>
      </c>
      <c r="EG79" s="13">
        <v>0.0</v>
      </c>
      <c r="EH79" s="13">
        <v>0.0</v>
      </c>
      <c r="EI79" s="13">
        <v>0.0</v>
      </c>
      <c r="EJ79" s="13">
        <v>0.0</v>
      </c>
    </row>
    <row r="80" ht="15.75" customHeight="1">
      <c r="A80" s="9" t="s">
        <v>238</v>
      </c>
      <c r="B80" s="13"/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/>
      <c r="I80" s="16" t="str">
        <f>iferror(vlookup(A80,'Inst Lending numbers'!A:D,4,false)," ")</f>
        <v> </v>
      </c>
      <c r="J80" s="13"/>
      <c r="K80" s="13"/>
      <c r="L80" s="13"/>
      <c r="M80" s="13"/>
      <c r="N80" s="13"/>
      <c r="O80" s="13">
        <f t="shared" si="16"/>
        <v>0.03932233526</v>
      </c>
      <c r="P80" s="13">
        <f t="shared" si="2"/>
        <v>0</v>
      </c>
      <c r="Q80" s="13"/>
      <c r="R80" s="13"/>
      <c r="S80" s="13"/>
      <c r="T80" s="13"/>
      <c r="U80" s="13"/>
      <c r="V80" s="13"/>
      <c r="W80" s="13"/>
      <c r="X80" s="13"/>
      <c r="Y80" s="13">
        <f t="shared" si="3"/>
        <v>0</v>
      </c>
      <c r="Z80" s="13"/>
      <c r="AA80" s="13">
        <v>0.0</v>
      </c>
      <c r="AB80" s="13">
        <f t="shared" si="17"/>
        <v>0.1957867833</v>
      </c>
      <c r="AC80" s="13"/>
      <c r="AD80" s="13"/>
      <c r="AE80" s="13">
        <f>iferror(sumif('Weekly Rates'!D:D,A80,'Weekly Rates'!F:F)/countif('Weekly Rates'!D:D,A80),0)</f>
        <v>0</v>
      </c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 t="str">
        <f>iferror(VLOOKUP($A80,EAM!A$2:E$14,2,FALSE))</f>
        <v/>
      </c>
      <c r="AT80" s="13"/>
      <c r="AU80" s="13">
        <f>sumif('Weekly Rates'!A:A,A80,'Weekly Rates'!B:B)</f>
        <v>0</v>
      </c>
      <c r="AV80" s="13">
        <v>0.0</v>
      </c>
      <c r="AW80" s="13">
        <v>0.0</v>
      </c>
      <c r="AX80" s="13">
        <v>0.0</v>
      </c>
      <c r="AY80" s="13">
        <v>0.0</v>
      </c>
      <c r="AZ80" s="13">
        <v>0.0</v>
      </c>
      <c r="BA80" s="13">
        <v>0.0</v>
      </c>
      <c r="BB80" s="13">
        <v>0.0</v>
      </c>
      <c r="BC80" s="13">
        <v>0.0</v>
      </c>
      <c r="BD80" s="13">
        <v>0.0</v>
      </c>
      <c r="BE80" s="13">
        <v>0.0</v>
      </c>
      <c r="BF80" s="13">
        <v>0.0</v>
      </c>
      <c r="BG80" s="13">
        <v>0.0</v>
      </c>
      <c r="BH80" s="13">
        <v>0.0</v>
      </c>
      <c r="BI80" s="13">
        <v>0.0</v>
      </c>
      <c r="BJ80" s="13">
        <v>0.0</v>
      </c>
      <c r="BK80" s="13">
        <v>0.0</v>
      </c>
      <c r="BL80" s="13">
        <v>0.0</v>
      </c>
      <c r="BM80" s="13">
        <v>0.0</v>
      </c>
      <c r="BN80" s="13">
        <v>0.0</v>
      </c>
      <c r="BO80" s="13">
        <v>0.0</v>
      </c>
      <c r="BP80" s="13">
        <v>0.0</v>
      </c>
      <c r="BQ80" s="13">
        <v>0.0</v>
      </c>
      <c r="BR80" s="13">
        <v>0.0</v>
      </c>
      <c r="BS80" s="13">
        <v>0.0</v>
      </c>
      <c r="BT80" s="13">
        <v>0.0</v>
      </c>
      <c r="BU80" s="13">
        <v>0.0</v>
      </c>
      <c r="BV80" s="13">
        <v>0.0</v>
      </c>
      <c r="BW80" s="13">
        <v>0.0</v>
      </c>
      <c r="BX80" s="13">
        <v>0.0</v>
      </c>
      <c r="BY80" s="13">
        <v>0.0</v>
      </c>
      <c r="BZ80" s="13">
        <v>0.0</v>
      </c>
      <c r="CA80" s="13">
        <v>0.0</v>
      </c>
      <c r="CB80" s="13">
        <v>0.0</v>
      </c>
      <c r="CC80" s="13">
        <v>0.0</v>
      </c>
      <c r="CD80" s="13">
        <v>0.0</v>
      </c>
      <c r="CE80" s="13">
        <v>0.0</v>
      </c>
      <c r="CF80" s="13">
        <v>0.0</v>
      </c>
      <c r="CG80" s="13">
        <v>0.0</v>
      </c>
      <c r="CH80" s="13">
        <v>0.0</v>
      </c>
      <c r="CI80" s="13">
        <v>0.0</v>
      </c>
      <c r="CJ80" s="13">
        <v>0.0</v>
      </c>
      <c r="CK80" s="13">
        <v>0.0</v>
      </c>
      <c r="CL80" s="13">
        <v>0.0</v>
      </c>
      <c r="CM80" s="13">
        <v>0.0</v>
      </c>
      <c r="CN80" s="13">
        <v>0.0</v>
      </c>
      <c r="CO80" s="13">
        <v>0.0</v>
      </c>
      <c r="CP80" s="13">
        <v>0.0</v>
      </c>
      <c r="CQ80" s="13">
        <v>0.0</v>
      </c>
      <c r="CR80" s="13">
        <v>0.0</v>
      </c>
      <c r="CS80" s="13">
        <v>0.0</v>
      </c>
      <c r="CT80" s="13">
        <v>0.0</v>
      </c>
      <c r="CU80" s="13">
        <v>0.0</v>
      </c>
      <c r="CV80" s="13">
        <v>0.0</v>
      </c>
      <c r="CW80" s="13">
        <v>0.0</v>
      </c>
      <c r="CX80" s="13">
        <v>0.0</v>
      </c>
      <c r="CY80" s="13">
        <v>0.0</v>
      </c>
      <c r="CZ80" s="13">
        <v>0.0</v>
      </c>
      <c r="DA80" s="13">
        <v>0.0</v>
      </c>
      <c r="DB80" s="13">
        <v>0.0</v>
      </c>
      <c r="DC80" s="13">
        <v>0.0</v>
      </c>
      <c r="DD80" s="13">
        <v>0.0</v>
      </c>
      <c r="DE80" s="13">
        <v>0.0</v>
      </c>
      <c r="DF80" s="13">
        <v>0.0</v>
      </c>
      <c r="DG80" s="13">
        <v>0.0</v>
      </c>
      <c r="DH80" s="13">
        <v>0.0</v>
      </c>
      <c r="DI80" s="13">
        <v>0.0</v>
      </c>
      <c r="DJ80" s="13">
        <v>0.0</v>
      </c>
      <c r="DK80" s="13">
        <v>0.0</v>
      </c>
      <c r="DL80" s="13">
        <v>0.0</v>
      </c>
      <c r="DM80" s="13">
        <v>0.0</v>
      </c>
      <c r="DN80" s="13">
        <v>0.0</v>
      </c>
      <c r="DO80" s="13">
        <v>0.0</v>
      </c>
      <c r="DP80" s="13">
        <v>0.0</v>
      </c>
      <c r="DQ80" s="13">
        <v>0.0</v>
      </c>
      <c r="DR80" s="13">
        <v>0.0</v>
      </c>
      <c r="DS80" s="13">
        <v>0.0</v>
      </c>
      <c r="DT80" s="13"/>
      <c r="DU80" s="13">
        <v>0.0</v>
      </c>
      <c r="DV80" s="13">
        <v>0.0</v>
      </c>
      <c r="DW80" s="13">
        <v>0.0</v>
      </c>
      <c r="DX80" s="13"/>
      <c r="DY80" s="13">
        <v>0.0</v>
      </c>
      <c r="DZ80" s="13">
        <v>0.0</v>
      </c>
      <c r="EA80" s="13">
        <v>0.0</v>
      </c>
      <c r="EB80" s="13">
        <v>0.0</v>
      </c>
      <c r="EC80" s="13">
        <v>0.0</v>
      </c>
      <c r="ED80" s="13">
        <v>0.0</v>
      </c>
      <c r="EE80" s="13">
        <v>0.0</v>
      </c>
      <c r="EF80" s="13">
        <v>0.0</v>
      </c>
      <c r="EG80" s="13">
        <v>0.0</v>
      </c>
      <c r="EH80" s="13">
        <v>0.0</v>
      </c>
      <c r="EI80" s="13">
        <v>0.0</v>
      </c>
      <c r="EJ80" s="13">
        <v>0.0</v>
      </c>
    </row>
    <row r="81" ht="15.75" customHeight="1">
      <c r="A81" s="9" t="s">
        <v>239</v>
      </c>
      <c r="B81" s="13"/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/>
      <c r="I81" s="16" t="str">
        <f>iferror(vlookup(A81,'Inst Lending numbers'!A:D,4,false)," ")</f>
        <v> </v>
      </c>
      <c r="J81" s="13"/>
      <c r="K81" s="13"/>
      <c r="L81" s="13"/>
      <c r="M81" s="13"/>
      <c r="N81" s="13"/>
      <c r="O81" s="13">
        <f t="shared" si="16"/>
        <v>0.03932233526</v>
      </c>
      <c r="P81" s="13">
        <f t="shared" si="2"/>
        <v>0</v>
      </c>
      <c r="Q81" s="13"/>
      <c r="R81" s="13"/>
      <c r="S81" s="13"/>
      <c r="T81" s="13"/>
      <c r="U81" s="13"/>
      <c r="V81" s="13"/>
      <c r="W81" s="13"/>
      <c r="X81" s="13"/>
      <c r="Y81" s="13">
        <f t="shared" si="3"/>
        <v>0</v>
      </c>
      <c r="Z81" s="13"/>
      <c r="AA81" s="13">
        <v>0.0</v>
      </c>
      <c r="AB81" s="13">
        <f t="shared" si="17"/>
        <v>0.1957867833</v>
      </c>
      <c r="AC81" s="13"/>
      <c r="AD81" s="13"/>
      <c r="AE81" s="13">
        <f>iferror(sumif('Weekly Rates'!D:D,A81,'Weekly Rates'!F:F)/countif('Weekly Rates'!D:D,A81),0)</f>
        <v>0</v>
      </c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 t="str">
        <f>iferror(VLOOKUP($A81,EAM!A$2:E$14,2,FALSE))</f>
        <v/>
      </c>
      <c r="AT81" s="13"/>
      <c r="AU81" s="13">
        <f>sumif('Weekly Rates'!A:A,A81,'Weekly Rates'!B:B)</f>
        <v>0</v>
      </c>
      <c r="AV81" s="13">
        <v>0.0</v>
      </c>
      <c r="AW81" s="13">
        <v>0.0</v>
      </c>
      <c r="AX81" s="13">
        <v>0.0</v>
      </c>
      <c r="AY81" s="13">
        <v>0.0</v>
      </c>
      <c r="AZ81" s="13">
        <v>0.0</v>
      </c>
      <c r="BA81" s="13">
        <v>0.0</v>
      </c>
      <c r="BB81" s="13">
        <v>0.0</v>
      </c>
      <c r="BC81" s="13">
        <v>0.0</v>
      </c>
      <c r="BD81" s="13">
        <v>0.0</v>
      </c>
      <c r="BE81" s="13">
        <v>0.0</v>
      </c>
      <c r="BF81" s="13">
        <v>0.0</v>
      </c>
      <c r="BG81" s="13">
        <v>0.0</v>
      </c>
      <c r="BH81" s="13">
        <v>0.0</v>
      </c>
      <c r="BI81" s="13">
        <v>0.0</v>
      </c>
      <c r="BJ81" s="13">
        <v>0.0</v>
      </c>
      <c r="BK81" s="13">
        <v>0.0</v>
      </c>
      <c r="BL81" s="13">
        <v>0.0</v>
      </c>
      <c r="BM81" s="13">
        <v>0.0</v>
      </c>
      <c r="BN81" s="13">
        <v>0.0</v>
      </c>
      <c r="BO81" s="13">
        <v>0.0</v>
      </c>
      <c r="BP81" s="13">
        <v>0.0</v>
      </c>
      <c r="BQ81" s="13">
        <v>0.0</v>
      </c>
      <c r="BR81" s="13">
        <v>0.0</v>
      </c>
      <c r="BS81" s="13">
        <v>0.0</v>
      </c>
      <c r="BT81" s="13">
        <v>0.0</v>
      </c>
      <c r="BU81" s="13">
        <v>0.0</v>
      </c>
      <c r="BV81" s="13">
        <v>0.0</v>
      </c>
      <c r="BW81" s="13">
        <v>0.0</v>
      </c>
      <c r="BX81" s="13">
        <v>0.0</v>
      </c>
      <c r="BY81" s="13">
        <v>0.0</v>
      </c>
      <c r="BZ81" s="13">
        <v>0.0</v>
      </c>
      <c r="CA81" s="13">
        <v>0.0</v>
      </c>
      <c r="CB81" s="13">
        <v>0.0</v>
      </c>
      <c r="CC81" s="13">
        <v>0.0</v>
      </c>
      <c r="CD81" s="13">
        <v>0.0</v>
      </c>
      <c r="CE81" s="13">
        <v>0.0</v>
      </c>
      <c r="CF81" s="13">
        <v>0.0</v>
      </c>
      <c r="CG81" s="13">
        <v>0.0</v>
      </c>
      <c r="CH81" s="13">
        <v>0.0</v>
      </c>
      <c r="CI81" s="13">
        <v>0.0</v>
      </c>
      <c r="CJ81" s="13">
        <v>0.0</v>
      </c>
      <c r="CK81" s="13">
        <v>0.0</v>
      </c>
      <c r="CL81" s="13">
        <v>0.0</v>
      </c>
      <c r="CM81" s="13">
        <v>0.0</v>
      </c>
      <c r="CN81" s="13">
        <v>0.0</v>
      </c>
      <c r="CO81" s="13">
        <v>0.0</v>
      </c>
      <c r="CP81" s="13">
        <v>0.0</v>
      </c>
      <c r="CQ81" s="13">
        <v>0.0</v>
      </c>
      <c r="CR81" s="13">
        <v>0.0</v>
      </c>
      <c r="CS81" s="13">
        <v>0.0</v>
      </c>
      <c r="CT81" s="13">
        <v>0.0</v>
      </c>
      <c r="CU81" s="13">
        <v>0.0</v>
      </c>
      <c r="CV81" s="13">
        <v>0.0</v>
      </c>
      <c r="CW81" s="13">
        <v>0.0</v>
      </c>
      <c r="CX81" s="13">
        <v>0.0</v>
      </c>
      <c r="CY81" s="13">
        <v>0.0</v>
      </c>
      <c r="CZ81" s="13">
        <v>0.0</v>
      </c>
      <c r="DA81" s="13">
        <v>0.0</v>
      </c>
      <c r="DB81" s="13">
        <v>0.0</v>
      </c>
      <c r="DC81" s="13">
        <v>0.0</v>
      </c>
      <c r="DD81" s="13">
        <v>0.0</v>
      </c>
      <c r="DE81" s="13">
        <v>0.0</v>
      </c>
      <c r="DF81" s="13">
        <v>0.0</v>
      </c>
      <c r="DG81" s="13">
        <v>0.0</v>
      </c>
      <c r="DH81" s="13">
        <v>0.0</v>
      </c>
      <c r="DI81" s="13">
        <v>0.0</v>
      </c>
      <c r="DJ81" s="13">
        <v>0.0</v>
      </c>
      <c r="DK81" s="13">
        <v>0.0</v>
      </c>
      <c r="DL81" s="13">
        <v>0.0</v>
      </c>
      <c r="DM81" s="13">
        <v>0.0</v>
      </c>
      <c r="DN81" s="13">
        <v>0.0</v>
      </c>
      <c r="DO81" s="13">
        <v>0.0</v>
      </c>
      <c r="DP81" s="13">
        <v>0.0</v>
      </c>
      <c r="DQ81" s="13">
        <v>0.0</v>
      </c>
      <c r="DR81" s="13">
        <v>0.0</v>
      </c>
      <c r="DS81" s="13">
        <v>0.0</v>
      </c>
      <c r="DT81" s="13"/>
      <c r="DU81" s="13">
        <v>0.0</v>
      </c>
      <c r="DV81" s="13">
        <v>0.0</v>
      </c>
      <c r="DW81" s="13">
        <v>0.0</v>
      </c>
      <c r="DX81" s="13"/>
      <c r="DY81" s="13">
        <v>0.0</v>
      </c>
      <c r="DZ81" s="13">
        <v>0.0</v>
      </c>
      <c r="EA81" s="13">
        <v>0.0</v>
      </c>
      <c r="EB81" s="13">
        <v>0.0</v>
      </c>
      <c r="EC81" s="13">
        <v>0.0</v>
      </c>
      <c r="ED81" s="13">
        <v>0.0</v>
      </c>
      <c r="EE81" s="13">
        <v>0.0</v>
      </c>
      <c r="EF81" s="13">
        <v>0.0</v>
      </c>
      <c r="EG81" s="13">
        <v>0.0</v>
      </c>
      <c r="EH81" s="13">
        <v>0.0</v>
      </c>
      <c r="EI81" s="13">
        <v>0.0</v>
      </c>
      <c r="EJ81" s="13">
        <v>0.0</v>
      </c>
    </row>
    <row r="82" ht="15.75" customHeight="1">
      <c r="A82" s="9" t="s">
        <v>240</v>
      </c>
      <c r="B82" s="13"/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/>
      <c r="I82" s="16" t="str">
        <f>iferror(vlookup(A82,'Inst Lending numbers'!A:D,4,false)," ")</f>
        <v> </v>
      </c>
      <c r="J82" s="13"/>
      <c r="K82" s="13"/>
      <c r="L82" s="13"/>
      <c r="M82" s="13"/>
      <c r="N82" s="13"/>
      <c r="O82" s="13">
        <f t="shared" si="16"/>
        <v>0.03932233526</v>
      </c>
      <c r="P82" s="13">
        <f t="shared" si="2"/>
        <v>0</v>
      </c>
      <c r="Q82" s="13"/>
      <c r="R82" s="13"/>
      <c r="S82" s="13"/>
      <c r="T82" s="13"/>
      <c r="U82" s="13"/>
      <c r="V82" s="13"/>
      <c r="W82" s="13"/>
      <c r="X82" s="13"/>
      <c r="Y82" s="13">
        <f t="shared" si="3"/>
        <v>0</v>
      </c>
      <c r="Z82" s="13"/>
      <c r="AA82" s="13">
        <v>0.0</v>
      </c>
      <c r="AB82" s="13">
        <f t="shared" si="17"/>
        <v>0.1957867833</v>
      </c>
      <c r="AC82" s="13"/>
      <c r="AD82" s="13"/>
      <c r="AE82" s="13">
        <f>iferror(sumif('Weekly Rates'!D:D,A82,'Weekly Rates'!F:F)/countif('Weekly Rates'!D:D,A82),0)</f>
        <v>0</v>
      </c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 t="str">
        <f>iferror(VLOOKUP($A82,EAM!A$2:E$14,2,FALSE))</f>
        <v/>
      </c>
      <c r="AT82" s="13"/>
      <c r="AU82" s="13">
        <f>sumif('Weekly Rates'!A:A,A82,'Weekly Rates'!B:B)</f>
        <v>0</v>
      </c>
      <c r="AV82" s="13">
        <v>0.0</v>
      </c>
      <c r="AW82" s="13">
        <v>0.0</v>
      </c>
      <c r="AX82" s="13">
        <v>0.0</v>
      </c>
      <c r="AY82" s="13">
        <v>0.0</v>
      </c>
      <c r="AZ82" s="13">
        <v>0.0</v>
      </c>
      <c r="BA82" s="13">
        <v>0.0</v>
      </c>
      <c r="BB82" s="13">
        <v>0.0</v>
      </c>
      <c r="BC82" s="13">
        <v>0.0</v>
      </c>
      <c r="BD82" s="13">
        <v>0.0</v>
      </c>
      <c r="BE82" s="13">
        <v>0.0</v>
      </c>
      <c r="BF82" s="13">
        <v>0.0</v>
      </c>
      <c r="BG82" s="13">
        <v>0.0</v>
      </c>
      <c r="BH82" s="13">
        <v>0.0</v>
      </c>
      <c r="BI82" s="13">
        <v>0.0</v>
      </c>
      <c r="BJ82" s="13">
        <v>0.0</v>
      </c>
      <c r="BK82" s="13">
        <v>0.0</v>
      </c>
      <c r="BL82" s="13">
        <v>0.0</v>
      </c>
      <c r="BM82" s="13">
        <v>0.0</v>
      </c>
      <c r="BN82" s="13">
        <v>0.0</v>
      </c>
      <c r="BO82" s="13">
        <v>0.0</v>
      </c>
      <c r="BP82" s="13">
        <v>0.0</v>
      </c>
      <c r="BQ82" s="13">
        <v>0.0</v>
      </c>
      <c r="BR82" s="13">
        <v>0.0</v>
      </c>
      <c r="BS82" s="13">
        <v>0.0</v>
      </c>
      <c r="BT82" s="13">
        <v>0.0</v>
      </c>
      <c r="BU82" s="13">
        <v>0.0</v>
      </c>
      <c r="BV82" s="13">
        <v>0.0</v>
      </c>
      <c r="BW82" s="13">
        <v>0.0</v>
      </c>
      <c r="BX82" s="13">
        <v>0.0</v>
      </c>
      <c r="BY82" s="13">
        <v>0.0</v>
      </c>
      <c r="BZ82" s="13">
        <v>0.0</v>
      </c>
      <c r="CA82" s="13">
        <v>0.0</v>
      </c>
      <c r="CB82" s="13">
        <v>0.0</v>
      </c>
      <c r="CC82" s="13">
        <v>0.0</v>
      </c>
      <c r="CD82" s="13">
        <v>0.0</v>
      </c>
      <c r="CE82" s="13">
        <v>0.0</v>
      </c>
      <c r="CF82" s="13">
        <v>0.0</v>
      </c>
      <c r="CG82" s="13">
        <v>0.0</v>
      </c>
      <c r="CH82" s="13">
        <v>0.0</v>
      </c>
      <c r="CI82" s="13">
        <v>0.0</v>
      </c>
      <c r="CJ82" s="13">
        <v>0.0</v>
      </c>
      <c r="CK82" s="13">
        <v>0.0</v>
      </c>
      <c r="CL82" s="13">
        <v>0.0</v>
      </c>
      <c r="CM82" s="13">
        <v>0.0</v>
      </c>
      <c r="CN82" s="13">
        <v>0.0</v>
      </c>
      <c r="CO82" s="13">
        <v>0.0</v>
      </c>
      <c r="CP82" s="13">
        <v>0.0</v>
      </c>
      <c r="CQ82" s="13">
        <v>0.0</v>
      </c>
      <c r="CR82" s="13">
        <v>0.0</v>
      </c>
      <c r="CS82" s="13">
        <v>0.0</v>
      </c>
      <c r="CT82" s="13">
        <v>0.0</v>
      </c>
      <c r="CU82" s="13">
        <v>0.0</v>
      </c>
      <c r="CV82" s="13">
        <v>0.0</v>
      </c>
      <c r="CW82" s="13">
        <v>0.0</v>
      </c>
      <c r="CX82" s="13">
        <v>0.0</v>
      </c>
      <c r="CY82" s="13">
        <v>0.0</v>
      </c>
      <c r="CZ82" s="13">
        <v>0.0</v>
      </c>
      <c r="DA82" s="13">
        <v>0.0</v>
      </c>
      <c r="DB82" s="13">
        <v>0.0</v>
      </c>
      <c r="DC82" s="13">
        <v>0.0</v>
      </c>
      <c r="DD82" s="13">
        <v>0.0</v>
      </c>
      <c r="DE82" s="13">
        <v>0.0</v>
      </c>
      <c r="DF82" s="13">
        <v>0.0</v>
      </c>
      <c r="DG82" s="13">
        <v>0.0</v>
      </c>
      <c r="DH82" s="13">
        <v>0.0</v>
      </c>
      <c r="DI82" s="13">
        <v>0.0</v>
      </c>
      <c r="DJ82" s="13">
        <v>0.0</v>
      </c>
      <c r="DK82" s="13">
        <v>0.0</v>
      </c>
      <c r="DL82" s="13">
        <v>0.0</v>
      </c>
      <c r="DM82" s="13">
        <v>0.0</v>
      </c>
      <c r="DN82" s="13">
        <v>0.0</v>
      </c>
      <c r="DO82" s="13">
        <v>0.0</v>
      </c>
      <c r="DP82" s="13">
        <v>0.0</v>
      </c>
      <c r="DQ82" s="13">
        <v>0.0</v>
      </c>
      <c r="DR82" s="13">
        <v>0.0</v>
      </c>
      <c r="DS82" s="13">
        <v>0.0</v>
      </c>
      <c r="DT82" s="13"/>
      <c r="DU82" s="13">
        <v>0.0</v>
      </c>
      <c r="DV82" s="13">
        <v>0.0</v>
      </c>
      <c r="DW82" s="13">
        <v>0.0</v>
      </c>
      <c r="DX82" s="13"/>
      <c r="DY82" s="13">
        <v>0.0</v>
      </c>
      <c r="DZ82" s="13">
        <v>0.0</v>
      </c>
      <c r="EA82" s="13">
        <v>0.0</v>
      </c>
      <c r="EB82" s="13">
        <v>0.0</v>
      </c>
      <c r="EC82" s="13">
        <v>0.0</v>
      </c>
      <c r="ED82" s="13">
        <v>0.0</v>
      </c>
      <c r="EE82" s="13">
        <v>0.0</v>
      </c>
      <c r="EF82" s="13">
        <v>0.0</v>
      </c>
      <c r="EG82" s="13">
        <v>0.0</v>
      </c>
      <c r="EH82" s="13">
        <v>0.0</v>
      </c>
      <c r="EI82" s="13">
        <v>0.0</v>
      </c>
      <c r="EJ82" s="13">
        <v>0.0</v>
      </c>
    </row>
    <row r="83" ht="15.75" customHeight="1">
      <c r="A83" s="7" t="s">
        <v>241</v>
      </c>
      <c r="B83" s="13"/>
      <c r="C83" s="13"/>
      <c r="D83" s="13"/>
      <c r="E83" s="13"/>
      <c r="F83" s="13"/>
      <c r="G83" s="13"/>
      <c r="H83" s="13"/>
      <c r="I83" s="16"/>
      <c r="J83" s="13"/>
      <c r="K83" s="13"/>
      <c r="L83" s="13"/>
      <c r="M83" s="13"/>
      <c r="N83" s="13"/>
      <c r="O83" s="13"/>
      <c r="P83" s="13">
        <f t="shared" si="2"/>
        <v>0</v>
      </c>
      <c r="Q83" s="13"/>
      <c r="R83" s="13"/>
      <c r="S83" s="13"/>
      <c r="T83" s="13"/>
      <c r="U83" s="13"/>
      <c r="V83" s="13"/>
      <c r="W83" s="13"/>
      <c r="X83" s="13"/>
      <c r="Y83" s="13">
        <f t="shared" si="3"/>
        <v>0</v>
      </c>
      <c r="Z83" s="13"/>
      <c r="AA83" s="13">
        <v>0.0</v>
      </c>
      <c r="AB83" s="13">
        <f t="shared" si="17"/>
        <v>0.1957867833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 t="str">
        <f>iferror(VLOOKUP($A83,EAM!A$2:E$14,2,FALSE))</f>
        <v/>
      </c>
      <c r="AT83" s="13"/>
      <c r="AU83" s="13"/>
      <c r="AV83" s="13"/>
      <c r="AW83" s="13"/>
      <c r="AX83" s="13"/>
      <c r="AY83" s="13">
        <v>0.0</v>
      </c>
      <c r="AZ83" s="13">
        <v>0.0</v>
      </c>
      <c r="BA83" s="13">
        <v>0.0</v>
      </c>
      <c r="BB83" s="13">
        <v>0.0</v>
      </c>
      <c r="BC83" s="13">
        <v>0.0</v>
      </c>
      <c r="BD83" s="13">
        <v>0.0</v>
      </c>
      <c r="BE83" s="13">
        <v>0.0</v>
      </c>
      <c r="BF83" s="13">
        <v>0.0</v>
      </c>
      <c r="BG83" s="13">
        <v>0.0</v>
      </c>
      <c r="BH83" s="13">
        <v>0.0</v>
      </c>
      <c r="BI83" s="13">
        <v>0.0</v>
      </c>
      <c r="BJ83" s="13">
        <v>0.0</v>
      </c>
      <c r="BK83" s="13">
        <v>0.0</v>
      </c>
      <c r="BL83" s="13">
        <v>0.0</v>
      </c>
      <c r="BM83" s="13">
        <v>0.0</v>
      </c>
      <c r="BN83" s="13">
        <v>0.0</v>
      </c>
      <c r="BO83" s="13">
        <v>0.0</v>
      </c>
      <c r="BP83" s="13">
        <v>0.0</v>
      </c>
      <c r="BQ83" s="13">
        <v>0.0</v>
      </c>
      <c r="BR83" s="13">
        <v>0.0</v>
      </c>
      <c r="BS83" s="13">
        <v>0.0</v>
      </c>
      <c r="BT83" s="13">
        <v>0.0</v>
      </c>
      <c r="BU83" s="13">
        <v>0.0</v>
      </c>
      <c r="BV83" s="13">
        <v>0.0</v>
      </c>
      <c r="BW83" s="13">
        <v>0.0</v>
      </c>
      <c r="BX83" s="13">
        <v>0.0</v>
      </c>
      <c r="BY83" s="13">
        <v>0.0</v>
      </c>
      <c r="BZ83" s="13">
        <v>0.0</v>
      </c>
      <c r="CA83" s="13">
        <v>0.0</v>
      </c>
      <c r="CB83" s="13">
        <v>0.0</v>
      </c>
      <c r="CC83" s="13">
        <v>0.0</v>
      </c>
      <c r="CD83" s="13">
        <v>0.0</v>
      </c>
      <c r="CE83" s="13">
        <v>0.0</v>
      </c>
      <c r="CF83" s="13">
        <v>0.0</v>
      </c>
      <c r="CG83" s="13">
        <v>0.0</v>
      </c>
      <c r="CH83" s="13">
        <v>0.0</v>
      </c>
      <c r="CI83" s="13">
        <v>0.0</v>
      </c>
      <c r="CJ83" s="13">
        <v>0.0</v>
      </c>
      <c r="CK83" s="13">
        <v>0.0</v>
      </c>
      <c r="CL83" s="13">
        <v>0.0</v>
      </c>
      <c r="CM83" s="13">
        <v>0.0</v>
      </c>
      <c r="CN83" s="13">
        <v>0.0</v>
      </c>
      <c r="CO83" s="13">
        <v>0.0</v>
      </c>
      <c r="CP83" s="13">
        <v>0.0</v>
      </c>
      <c r="CQ83" s="13">
        <v>0.0</v>
      </c>
      <c r="CR83" s="13">
        <v>0.0</v>
      </c>
      <c r="CS83" s="13">
        <v>0.0</v>
      </c>
      <c r="CT83" s="13">
        <v>0.0</v>
      </c>
      <c r="CU83" s="13">
        <v>0.0</v>
      </c>
      <c r="CV83" s="13">
        <v>0.0</v>
      </c>
      <c r="CW83" s="13">
        <v>0.0</v>
      </c>
      <c r="CX83" s="13">
        <v>0.0</v>
      </c>
      <c r="CY83" s="13">
        <v>0.0</v>
      </c>
      <c r="CZ83" s="13">
        <v>0.0</v>
      </c>
      <c r="DA83" s="13">
        <v>0.0</v>
      </c>
      <c r="DB83" s="13">
        <v>0.0</v>
      </c>
      <c r="DC83" s="13">
        <v>0.0</v>
      </c>
      <c r="DD83" s="13">
        <v>0.0</v>
      </c>
      <c r="DE83" s="13">
        <v>0.0</v>
      </c>
      <c r="DF83" s="13">
        <v>0.0</v>
      </c>
      <c r="DG83" s="13">
        <v>0.0</v>
      </c>
      <c r="DH83" s="13">
        <v>0.0</v>
      </c>
      <c r="DI83" s="13">
        <v>0.0</v>
      </c>
      <c r="DJ83" s="13">
        <v>0.0</v>
      </c>
      <c r="DK83" s="13">
        <v>0.0</v>
      </c>
      <c r="DL83" s="13">
        <v>0.0</v>
      </c>
      <c r="DM83" s="13">
        <v>0.0</v>
      </c>
      <c r="DN83" s="13">
        <v>0.0</v>
      </c>
      <c r="DO83" s="13">
        <v>0.0</v>
      </c>
      <c r="DP83" s="13">
        <v>0.0</v>
      </c>
      <c r="DQ83" s="13">
        <v>0.0</v>
      </c>
      <c r="DR83" s="13">
        <v>0.0</v>
      </c>
      <c r="DS83" s="13">
        <v>0.0</v>
      </c>
      <c r="DT83" s="13"/>
      <c r="DU83" s="13">
        <v>0.0</v>
      </c>
      <c r="DV83" s="13">
        <v>0.0</v>
      </c>
      <c r="DW83" s="13">
        <v>0.0</v>
      </c>
      <c r="DX83" s="13"/>
      <c r="DY83" s="13">
        <v>0.0</v>
      </c>
      <c r="DZ83" s="13">
        <v>0.0</v>
      </c>
      <c r="EA83" s="13">
        <v>0.0</v>
      </c>
      <c r="EB83" s="13">
        <v>0.0</v>
      </c>
      <c r="EC83" s="13">
        <v>0.0</v>
      </c>
      <c r="ED83" s="13">
        <v>0.0</v>
      </c>
      <c r="EE83" s="13">
        <v>0.0</v>
      </c>
      <c r="EF83" s="13">
        <v>0.0</v>
      </c>
      <c r="EG83" s="13">
        <v>0.0</v>
      </c>
      <c r="EH83" s="13">
        <v>0.0</v>
      </c>
      <c r="EI83" s="13">
        <v>0.0</v>
      </c>
      <c r="EJ83" s="13">
        <v>0.0</v>
      </c>
    </row>
    <row r="84" ht="15.75" customHeight="1">
      <c r="A84" s="9" t="s">
        <v>242</v>
      </c>
      <c r="B84" s="13"/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/>
      <c r="I84" s="16" t="str">
        <f>iferror(vlookup(A84,'Inst Lending numbers'!A:D,4,false)," ")</f>
        <v> </v>
      </c>
      <c r="J84" s="13"/>
      <c r="K84" s="13"/>
      <c r="L84" s="13">
        <v>0.034</v>
      </c>
      <c r="M84" s="13"/>
      <c r="N84" s="13"/>
      <c r="O84" s="13">
        <f t="shared" ref="O84:O95" si="18">$O$4</f>
        <v>0.03932233526</v>
      </c>
      <c r="P84" s="13">
        <f t="shared" si="2"/>
        <v>0</v>
      </c>
      <c r="Q84" s="13"/>
      <c r="R84" s="13"/>
      <c r="S84" s="13"/>
      <c r="T84" s="13"/>
      <c r="U84" s="13"/>
      <c r="V84" s="13"/>
      <c r="W84" s="13"/>
      <c r="X84" s="13"/>
      <c r="Y84" s="13">
        <f t="shared" si="3"/>
        <v>0</v>
      </c>
      <c r="Z84" s="13"/>
      <c r="AA84" s="13">
        <v>0.0</v>
      </c>
      <c r="AB84" s="13">
        <f t="shared" si="17"/>
        <v>0.1957867833</v>
      </c>
      <c r="AC84" s="13"/>
      <c r="AD84" s="13"/>
      <c r="AE84" s="13">
        <f>iferror(sumif('Weekly Rates'!D:D,A84,'Weekly Rates'!F:F)/countif('Weekly Rates'!D:D,A84),0)</f>
        <v>0</v>
      </c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 t="str">
        <f>iferror(VLOOKUP($A84,EAM!A$2:E$14,2,FALSE))</f>
        <v/>
      </c>
      <c r="AT84" s="13"/>
      <c r="AU84" s="13">
        <f>sumif('Weekly Rates'!A:A,A84,'Weekly Rates'!B:B)</f>
        <v>0</v>
      </c>
      <c r="AV84" s="13">
        <v>0.0</v>
      </c>
      <c r="AW84" s="13">
        <v>0.0</v>
      </c>
      <c r="AX84" s="13">
        <v>0.0</v>
      </c>
      <c r="AY84" s="13">
        <v>0.0</v>
      </c>
      <c r="AZ84" s="13">
        <v>0.0</v>
      </c>
      <c r="BA84" s="13">
        <v>0.0</v>
      </c>
      <c r="BB84" s="13">
        <v>0.0</v>
      </c>
      <c r="BC84" s="13">
        <v>0.0</v>
      </c>
      <c r="BD84" s="13">
        <v>0.0</v>
      </c>
      <c r="BE84" s="13">
        <v>0.0</v>
      </c>
      <c r="BF84" s="13">
        <v>0.0</v>
      </c>
      <c r="BG84" s="13">
        <v>0.0</v>
      </c>
      <c r="BH84" s="13">
        <v>0.0</v>
      </c>
      <c r="BI84" s="13">
        <v>0.0</v>
      </c>
      <c r="BJ84" s="13">
        <v>0.0</v>
      </c>
      <c r="BK84" s="13">
        <v>0.0</v>
      </c>
      <c r="BL84" s="13">
        <v>0.0</v>
      </c>
      <c r="BM84" s="13">
        <v>0.0</v>
      </c>
      <c r="BN84" s="13">
        <v>0.0</v>
      </c>
      <c r="BO84" s="13">
        <v>0.0</v>
      </c>
      <c r="BP84" s="13">
        <v>0.0</v>
      </c>
      <c r="BQ84" s="13">
        <v>0.0</v>
      </c>
      <c r="BR84" s="13">
        <v>0.0</v>
      </c>
      <c r="BS84" s="13">
        <v>0.0</v>
      </c>
      <c r="BT84" s="13">
        <v>0.0</v>
      </c>
      <c r="BU84" s="13">
        <v>0.0</v>
      </c>
      <c r="BV84" s="13">
        <v>0.0</v>
      </c>
      <c r="BW84" s="13">
        <v>0.0</v>
      </c>
      <c r="BX84" s="13">
        <v>0.0</v>
      </c>
      <c r="BY84" s="13">
        <v>0.0945</v>
      </c>
      <c r="BZ84" s="13">
        <v>0.0</v>
      </c>
      <c r="CA84" s="13">
        <v>0.0</v>
      </c>
      <c r="CB84" s="13">
        <v>0.0</v>
      </c>
      <c r="CC84" s="13">
        <v>0.0</v>
      </c>
      <c r="CD84" s="13">
        <v>0.0</v>
      </c>
      <c r="CE84" s="13">
        <v>0.0</v>
      </c>
      <c r="CF84" s="13">
        <v>0.0</v>
      </c>
      <c r="CG84" s="13">
        <v>0.0</v>
      </c>
      <c r="CH84" s="13">
        <v>0.0</v>
      </c>
      <c r="CI84" s="13">
        <v>0.0</v>
      </c>
      <c r="CJ84" s="13">
        <v>0.0</v>
      </c>
      <c r="CK84" s="13">
        <v>0.0</v>
      </c>
      <c r="CL84" s="13">
        <v>0.0</v>
      </c>
      <c r="CM84" s="13">
        <v>0.0</v>
      </c>
      <c r="CN84" s="13">
        <v>0.0</v>
      </c>
      <c r="CO84" s="13">
        <v>0.0</v>
      </c>
      <c r="CP84" s="13">
        <v>0.0</v>
      </c>
      <c r="CQ84" s="13">
        <v>0.0</v>
      </c>
      <c r="CR84" s="13">
        <v>0.0</v>
      </c>
      <c r="CS84" s="13">
        <v>0.0</v>
      </c>
      <c r="CT84" s="13">
        <v>0.0</v>
      </c>
      <c r="CU84" s="13">
        <v>0.0</v>
      </c>
      <c r="CV84" s="13">
        <v>0.0</v>
      </c>
      <c r="CW84" s="13">
        <v>0.0</v>
      </c>
      <c r="CX84" s="13">
        <v>0.0</v>
      </c>
      <c r="CY84" s="13">
        <v>0.0</v>
      </c>
      <c r="CZ84" s="13">
        <v>0.0</v>
      </c>
      <c r="DA84" s="13">
        <v>0.0</v>
      </c>
      <c r="DB84" s="13">
        <v>0.0</v>
      </c>
      <c r="DC84" s="13">
        <v>0.0</v>
      </c>
      <c r="DD84" s="13">
        <v>0.0</v>
      </c>
      <c r="DE84" s="13">
        <v>0.0</v>
      </c>
      <c r="DF84" s="13">
        <v>0.0</v>
      </c>
      <c r="DG84" s="13">
        <v>0.0</v>
      </c>
      <c r="DH84" s="13">
        <v>0.0</v>
      </c>
      <c r="DI84" s="13">
        <v>0.0</v>
      </c>
      <c r="DJ84" s="13">
        <v>0.0</v>
      </c>
      <c r="DK84" s="13">
        <v>0.0</v>
      </c>
      <c r="DL84" s="13">
        <v>0.0</v>
      </c>
      <c r="DM84" s="13">
        <v>0.0</v>
      </c>
      <c r="DN84" s="13">
        <v>0.0</v>
      </c>
      <c r="DO84" s="13">
        <v>0.0</v>
      </c>
      <c r="DP84" s="13">
        <v>0.0</v>
      </c>
      <c r="DQ84" s="13">
        <v>0.0</v>
      </c>
      <c r="DR84" s="13">
        <v>0.0</v>
      </c>
      <c r="DS84" s="13">
        <v>0.0</v>
      </c>
      <c r="DT84" s="13"/>
      <c r="DU84" s="13">
        <v>0.0</v>
      </c>
      <c r="DV84" s="13">
        <v>0.0</v>
      </c>
      <c r="DW84" s="13">
        <v>0.0</v>
      </c>
      <c r="DX84" s="13"/>
      <c r="DY84" s="13">
        <v>0.0</v>
      </c>
      <c r="DZ84" s="13">
        <v>0.0</v>
      </c>
      <c r="EA84" s="13">
        <v>0.0</v>
      </c>
      <c r="EB84" s="13">
        <v>0.0</v>
      </c>
      <c r="EC84" s="13">
        <v>0.0</v>
      </c>
      <c r="ED84" s="13">
        <v>0.0</v>
      </c>
      <c r="EE84" s="13">
        <v>0.0</v>
      </c>
      <c r="EF84" s="13">
        <v>0.0</v>
      </c>
      <c r="EG84" s="13">
        <v>0.0</v>
      </c>
      <c r="EH84" s="13">
        <v>0.0</v>
      </c>
      <c r="EI84" s="13">
        <v>0.0</v>
      </c>
      <c r="EJ84" s="13">
        <v>0.0</v>
      </c>
    </row>
    <row r="85" ht="15.75" customHeight="1">
      <c r="A85" s="9" t="s">
        <v>243</v>
      </c>
      <c r="B85" s="13"/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/>
      <c r="I85" s="16">
        <f>iferror(vlookup(A85,'Inst Lending numbers'!A:D,4,false)," ")</f>
        <v>0.0747</v>
      </c>
      <c r="J85" s="13"/>
      <c r="K85" s="13"/>
      <c r="L85" s="13"/>
      <c r="M85" s="13"/>
      <c r="N85" s="13"/>
      <c r="O85" s="13">
        <f t="shared" si="18"/>
        <v>0.03932233526</v>
      </c>
      <c r="P85" s="13">
        <f t="shared" si="2"/>
        <v>0</v>
      </c>
      <c r="Q85" s="13"/>
      <c r="R85" s="13"/>
      <c r="S85" s="13"/>
      <c r="T85" s="13"/>
      <c r="U85" s="13"/>
      <c r="V85" s="13"/>
      <c r="W85" s="13"/>
      <c r="X85" s="13"/>
      <c r="Y85" s="13">
        <f t="shared" si="3"/>
        <v>0</v>
      </c>
      <c r="Z85" s="13"/>
      <c r="AA85" s="13">
        <v>0.0</v>
      </c>
      <c r="AB85" s="13">
        <f t="shared" si="17"/>
        <v>0.1957867833</v>
      </c>
      <c r="AC85" s="13"/>
      <c r="AD85" s="13"/>
      <c r="AE85" s="13">
        <f>iferror(sumif('Weekly Rates'!D:D,A85,'Weekly Rates'!F:F)/countif('Weekly Rates'!D:D,A85),0)</f>
        <v>0</v>
      </c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 t="str">
        <f>iferror(VLOOKUP($A85,EAM!A$2:E$14,2,FALSE))</f>
        <v/>
      </c>
      <c r="AT85" s="13"/>
      <c r="AU85" s="13">
        <f>sumif('Weekly Rates'!A:A,A85,'Weekly Rates'!B:B)</f>
        <v>0</v>
      </c>
      <c r="AV85" s="13">
        <v>0.0</v>
      </c>
      <c r="AW85" s="13">
        <v>0.0</v>
      </c>
      <c r="AX85" s="13">
        <v>0.0</v>
      </c>
      <c r="AY85" s="13">
        <v>0.0</v>
      </c>
      <c r="AZ85" s="13">
        <v>0.0</v>
      </c>
      <c r="BA85" s="13">
        <v>0.0</v>
      </c>
      <c r="BB85" s="13">
        <v>0.0</v>
      </c>
      <c r="BC85" s="13">
        <v>0.0</v>
      </c>
      <c r="BD85" s="13">
        <v>0.0</v>
      </c>
      <c r="BE85" s="13">
        <v>0.0</v>
      </c>
      <c r="BF85" s="13">
        <v>0.0</v>
      </c>
      <c r="BG85" s="13">
        <v>0.0</v>
      </c>
      <c r="BH85" s="13">
        <v>0.0</v>
      </c>
      <c r="BI85" s="13">
        <v>0.0</v>
      </c>
      <c r="BJ85" s="13">
        <v>0.0</v>
      </c>
      <c r="BK85" s="13">
        <v>0.0</v>
      </c>
      <c r="BL85" s="13">
        <v>0.0</v>
      </c>
      <c r="BM85" s="13">
        <v>0.0</v>
      </c>
      <c r="BN85" s="13">
        <v>0.0</v>
      </c>
      <c r="BO85" s="13">
        <v>0.0</v>
      </c>
      <c r="BP85" s="13">
        <v>0.0</v>
      </c>
      <c r="BQ85" s="13">
        <v>0.0</v>
      </c>
      <c r="BR85" s="13">
        <v>0.0</v>
      </c>
      <c r="BS85" s="13">
        <v>0.0</v>
      </c>
      <c r="BT85" s="13">
        <v>0.0</v>
      </c>
      <c r="BU85" s="13">
        <v>0.0</v>
      </c>
      <c r="BV85" s="13">
        <v>0.0</v>
      </c>
      <c r="BW85" s="13">
        <v>0.0</v>
      </c>
      <c r="BX85" s="13">
        <v>0.0</v>
      </c>
      <c r="BY85" s="13">
        <v>0.0</v>
      </c>
      <c r="BZ85" s="13">
        <v>0.0</v>
      </c>
      <c r="CA85" s="13">
        <v>0.0</v>
      </c>
      <c r="CB85" s="13">
        <v>0.0</v>
      </c>
      <c r="CC85" s="13">
        <v>0.0</v>
      </c>
      <c r="CD85" s="13">
        <v>0.0</v>
      </c>
      <c r="CE85" s="13">
        <v>0.0</v>
      </c>
      <c r="CF85" s="13">
        <v>0.0</v>
      </c>
      <c r="CG85" s="13">
        <v>0.0</v>
      </c>
      <c r="CH85" s="13">
        <v>0.0</v>
      </c>
      <c r="CI85" s="13">
        <v>0.0</v>
      </c>
      <c r="CJ85" s="13">
        <v>0.0</v>
      </c>
      <c r="CK85" s="13">
        <v>0.0</v>
      </c>
      <c r="CL85" s="13">
        <v>0.0</v>
      </c>
      <c r="CM85" s="13">
        <v>0.0</v>
      </c>
      <c r="CN85" s="13">
        <v>0.0</v>
      </c>
      <c r="CO85" s="13">
        <v>0.0</v>
      </c>
      <c r="CP85" s="13">
        <v>0.0</v>
      </c>
      <c r="CQ85" s="13">
        <v>0.0</v>
      </c>
      <c r="CR85" s="13">
        <v>0.0</v>
      </c>
      <c r="CS85" s="13">
        <v>0.0</v>
      </c>
      <c r="CT85" s="13">
        <v>0.0</v>
      </c>
      <c r="CU85" s="13">
        <v>0.0</v>
      </c>
      <c r="CV85" s="13">
        <v>0.0</v>
      </c>
      <c r="CW85" s="13">
        <v>0.0</v>
      </c>
      <c r="CX85" s="13">
        <v>0.0</v>
      </c>
      <c r="CY85" s="13">
        <v>0.0</v>
      </c>
      <c r="CZ85" s="13">
        <v>0.0</v>
      </c>
      <c r="DA85" s="13">
        <v>0.0</v>
      </c>
      <c r="DB85" s="13">
        <v>0.0</v>
      </c>
      <c r="DC85" s="13">
        <v>0.0</v>
      </c>
      <c r="DD85" s="13">
        <v>0.0</v>
      </c>
      <c r="DE85" s="13">
        <v>0.0</v>
      </c>
      <c r="DF85" s="13">
        <v>0.0</v>
      </c>
      <c r="DG85" s="13">
        <v>0.0</v>
      </c>
      <c r="DH85" s="13">
        <v>0.0</v>
      </c>
      <c r="DI85" s="13">
        <v>0.0</v>
      </c>
      <c r="DJ85" s="13">
        <v>0.0</v>
      </c>
      <c r="DK85" s="13">
        <v>0.0</v>
      </c>
      <c r="DL85" s="13">
        <v>0.0</v>
      </c>
      <c r="DM85" s="13">
        <v>0.0</v>
      </c>
      <c r="DN85" s="13">
        <v>0.0</v>
      </c>
      <c r="DO85" s="13">
        <v>0.0</v>
      </c>
      <c r="DP85" s="13">
        <v>0.0</v>
      </c>
      <c r="DQ85" s="13">
        <v>0.0</v>
      </c>
      <c r="DR85" s="13">
        <v>0.0</v>
      </c>
      <c r="DS85" s="13">
        <v>0.0</v>
      </c>
      <c r="DT85" s="13"/>
      <c r="DU85" s="13">
        <v>0.0</v>
      </c>
      <c r="DV85" s="13">
        <v>0.0</v>
      </c>
      <c r="DW85" s="13">
        <v>0.0</v>
      </c>
      <c r="DX85" s="13"/>
      <c r="DY85" s="13">
        <v>0.0</v>
      </c>
      <c r="DZ85" s="13">
        <v>0.0</v>
      </c>
      <c r="EA85" s="13">
        <v>0.0</v>
      </c>
      <c r="EB85" s="13">
        <v>0.0</v>
      </c>
      <c r="EC85" s="13">
        <v>0.0</v>
      </c>
      <c r="ED85" s="13">
        <v>0.0</v>
      </c>
      <c r="EE85" s="13">
        <v>0.0</v>
      </c>
      <c r="EF85" s="13">
        <v>0.0</v>
      </c>
      <c r="EG85" s="13">
        <v>0.0</v>
      </c>
      <c r="EH85" s="13">
        <v>0.0</v>
      </c>
      <c r="EI85" s="13">
        <v>0.0</v>
      </c>
      <c r="EJ85" s="13">
        <v>0.0</v>
      </c>
    </row>
    <row r="86" ht="15.75" customHeight="1">
      <c r="A86" s="9" t="s">
        <v>244</v>
      </c>
      <c r="B86" s="13"/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/>
      <c r="I86" s="16">
        <f>iferror(vlookup(A86,'Inst Lending numbers'!A:D,4,false)," ")</f>
        <v>0.0739</v>
      </c>
      <c r="J86" s="13">
        <v>0.0</v>
      </c>
      <c r="K86" s="13"/>
      <c r="L86" s="13"/>
      <c r="M86" s="13"/>
      <c r="N86" s="13"/>
      <c r="O86" s="13">
        <f t="shared" si="18"/>
        <v>0.03932233526</v>
      </c>
      <c r="P86" s="13">
        <f t="shared" si="2"/>
        <v>0</v>
      </c>
      <c r="Q86" s="13"/>
      <c r="R86" s="13"/>
      <c r="S86" s="13"/>
      <c r="T86" s="13"/>
      <c r="U86" s="13"/>
      <c r="V86" s="13"/>
      <c r="W86" s="13"/>
      <c r="X86" s="13"/>
      <c r="Y86" s="13">
        <f t="shared" si="3"/>
        <v>0</v>
      </c>
      <c r="Z86" s="13"/>
      <c r="AA86" s="13">
        <v>0.0</v>
      </c>
      <c r="AB86" s="13">
        <f t="shared" si="17"/>
        <v>0.1957867833</v>
      </c>
      <c r="AC86" s="13"/>
      <c r="AD86" s="13"/>
      <c r="AE86" s="13">
        <f>iferror(sumif('Weekly Rates'!D:D,A86,'Weekly Rates'!F:F)/countif('Weekly Rates'!D:D,A86),0)</f>
        <v>0</v>
      </c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 t="str">
        <f>iferror(VLOOKUP($A86,EAM!A$2:E$14,2,FALSE))</f>
        <v/>
      </c>
      <c r="AT86" s="13"/>
      <c r="AU86" s="13">
        <f>sumif('Weekly Rates'!A:A,A86,'Weekly Rates'!B:B)</f>
        <v>0.0406</v>
      </c>
      <c r="AV86" s="13">
        <v>0.0</v>
      </c>
      <c r="AW86" s="13">
        <v>0.0</v>
      </c>
      <c r="AX86" s="13">
        <v>0.0</v>
      </c>
      <c r="AY86" s="13">
        <v>0.0</v>
      </c>
      <c r="AZ86" s="13">
        <v>0.0</v>
      </c>
      <c r="BA86" s="13">
        <v>0.0</v>
      </c>
      <c r="BB86" s="13">
        <v>0.0</v>
      </c>
      <c r="BC86" s="13">
        <v>4.0E-4</v>
      </c>
      <c r="BD86" s="13">
        <v>0.0066</v>
      </c>
      <c r="BE86" s="13">
        <v>0.0</v>
      </c>
      <c r="BF86" s="13">
        <v>0.0</v>
      </c>
      <c r="BG86" s="13">
        <v>0.0</v>
      </c>
      <c r="BH86" s="13">
        <v>0.0</v>
      </c>
      <c r="BI86" s="13">
        <v>0.0066</v>
      </c>
      <c r="BJ86" s="13">
        <v>0.0</v>
      </c>
      <c r="BK86" s="13">
        <v>0.0</v>
      </c>
      <c r="BL86" s="13">
        <v>0.0</v>
      </c>
      <c r="BM86" s="13">
        <v>0.0</v>
      </c>
      <c r="BN86" s="13">
        <v>0.0</v>
      </c>
      <c r="BO86" s="13">
        <v>0.0</v>
      </c>
      <c r="BP86" s="13">
        <v>0.0</v>
      </c>
      <c r="BQ86" s="13">
        <v>0.0</v>
      </c>
      <c r="BR86" s="13">
        <v>0.0</v>
      </c>
      <c r="BS86" s="13">
        <v>0.0</v>
      </c>
      <c r="BT86" s="13">
        <v>0.0</v>
      </c>
      <c r="BU86" s="13">
        <v>0.0</v>
      </c>
      <c r="BV86" s="13">
        <v>0.0</v>
      </c>
      <c r="BW86" s="13">
        <v>0.0</v>
      </c>
      <c r="BX86" s="13">
        <v>0.0</v>
      </c>
      <c r="BY86" s="13">
        <v>0.0</v>
      </c>
      <c r="BZ86" s="13">
        <v>0.0</v>
      </c>
      <c r="CA86" s="13">
        <v>0.0</v>
      </c>
      <c r="CB86" s="13">
        <v>0.0</v>
      </c>
      <c r="CC86" s="13">
        <v>0.0</v>
      </c>
      <c r="CD86" s="13">
        <v>0.0</v>
      </c>
      <c r="CE86" s="13">
        <v>0.0</v>
      </c>
      <c r="CF86" s="13">
        <v>0.0</v>
      </c>
      <c r="CG86" s="13">
        <v>0.0</v>
      </c>
      <c r="CH86" s="13">
        <v>0.0</v>
      </c>
      <c r="CI86" s="13">
        <v>0.0</v>
      </c>
      <c r="CJ86" s="13">
        <v>0.0</v>
      </c>
      <c r="CK86" s="13">
        <v>0.0</v>
      </c>
      <c r="CL86" s="13">
        <v>0.0</v>
      </c>
      <c r="CM86" s="13">
        <v>0.0</v>
      </c>
      <c r="CN86" s="13">
        <v>0.0</v>
      </c>
      <c r="CO86" s="13">
        <v>0.0</v>
      </c>
      <c r="CP86" s="13">
        <v>0.0</v>
      </c>
      <c r="CQ86" s="13">
        <v>0.0</v>
      </c>
      <c r="CR86" s="13">
        <v>0.0</v>
      </c>
      <c r="CS86" s="13">
        <v>0.0</v>
      </c>
      <c r="CT86" s="13">
        <v>0.0</v>
      </c>
      <c r="CU86" s="13">
        <v>0.0</v>
      </c>
      <c r="CV86" s="13">
        <v>0.0</v>
      </c>
      <c r="CW86" s="13">
        <v>0.0</v>
      </c>
      <c r="CX86" s="13">
        <v>0.0</v>
      </c>
      <c r="CY86" s="13">
        <v>0.0</v>
      </c>
      <c r="CZ86" s="13">
        <v>0.0</v>
      </c>
      <c r="DA86" s="13">
        <v>0.0</v>
      </c>
      <c r="DB86" s="13">
        <v>0.0</v>
      </c>
      <c r="DC86" s="13">
        <v>0.0</v>
      </c>
      <c r="DD86" s="13">
        <v>0.0</v>
      </c>
      <c r="DE86" s="13">
        <v>0.0</v>
      </c>
      <c r="DF86" s="13">
        <v>0.0</v>
      </c>
      <c r="DG86" s="13">
        <v>0.0</v>
      </c>
      <c r="DH86" s="13">
        <v>0.0</v>
      </c>
      <c r="DI86" s="13">
        <v>0.0</v>
      </c>
      <c r="DJ86" s="13">
        <v>0.0</v>
      </c>
      <c r="DK86" s="13">
        <v>0.0</v>
      </c>
      <c r="DL86" s="13">
        <v>0.0</v>
      </c>
      <c r="DM86" s="13">
        <v>0.0</v>
      </c>
      <c r="DN86" s="13">
        <v>0.0</v>
      </c>
      <c r="DO86" s="13">
        <v>0.0</v>
      </c>
      <c r="DP86" s="13">
        <v>0.0</v>
      </c>
      <c r="DQ86" s="13">
        <v>0.0</v>
      </c>
      <c r="DR86" s="13">
        <v>0.0</v>
      </c>
      <c r="DS86" s="13">
        <v>0.0</v>
      </c>
      <c r="DT86" s="13"/>
      <c r="DU86" s="13">
        <v>0.0</v>
      </c>
      <c r="DV86" s="13">
        <v>0.0</v>
      </c>
      <c r="DW86" s="13">
        <v>0.0</v>
      </c>
      <c r="DX86" s="13"/>
      <c r="DY86" s="13">
        <v>0.0</v>
      </c>
      <c r="DZ86" s="13">
        <v>0.0</v>
      </c>
      <c r="EA86" s="13">
        <v>0.0</v>
      </c>
      <c r="EB86" s="13">
        <v>0.0</v>
      </c>
      <c r="EC86" s="13">
        <v>0.0</v>
      </c>
      <c r="ED86" s="13">
        <v>0.0</v>
      </c>
      <c r="EE86" s="13">
        <v>0.0</v>
      </c>
      <c r="EF86" s="13">
        <v>0.0</v>
      </c>
      <c r="EG86" s="13">
        <v>0.0</v>
      </c>
      <c r="EH86" s="13">
        <v>0.0</v>
      </c>
      <c r="EI86" s="13">
        <v>0.0</v>
      </c>
      <c r="EJ86" s="13">
        <v>0.0</v>
      </c>
    </row>
    <row r="87" ht="15.75" customHeight="1">
      <c r="A87" s="9" t="s">
        <v>245</v>
      </c>
      <c r="B87" s="13"/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/>
      <c r="I87" s="16">
        <f>iferror(vlookup(A87,'Inst Lending numbers'!A:D,4,false)," ")</f>
        <v>0.0985</v>
      </c>
      <c r="J87" s="13"/>
      <c r="K87" s="13"/>
      <c r="L87" s="13">
        <v>0.034</v>
      </c>
      <c r="M87" s="13"/>
      <c r="N87" s="13"/>
      <c r="O87" s="13">
        <f t="shared" si="18"/>
        <v>0.03932233526</v>
      </c>
      <c r="P87" s="13">
        <f t="shared" si="2"/>
        <v>0</v>
      </c>
      <c r="Q87" s="13"/>
      <c r="R87" s="13"/>
      <c r="S87" s="13"/>
      <c r="T87" s="13"/>
      <c r="U87" s="13"/>
      <c r="V87" s="13"/>
      <c r="W87" s="13"/>
      <c r="X87" s="13"/>
      <c r="Y87" s="13">
        <f t="shared" si="3"/>
        <v>0</v>
      </c>
      <c r="Z87" s="13"/>
      <c r="AA87" s="13">
        <v>0.0</v>
      </c>
      <c r="AB87" s="13">
        <f t="shared" si="17"/>
        <v>0.1957867833</v>
      </c>
      <c r="AC87" s="13"/>
      <c r="AD87" s="13"/>
      <c r="AE87" s="13">
        <f>iferror(sumif('Weekly Rates'!D:D,A87,'Weekly Rates'!F:F)/countif('Weekly Rates'!D:D,A87),0)</f>
        <v>0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>
        <v>0.3</v>
      </c>
      <c r="AS87" s="13" t="str">
        <f>iferror(VLOOKUP($A87,EAM!A$2:E$14,2,FALSE))</f>
        <v/>
      </c>
      <c r="AT87" s="13"/>
      <c r="AU87" s="13">
        <f>sumif('Weekly Rates'!A:A,A87,'Weekly Rates'!B:B)</f>
        <v>0.0659</v>
      </c>
      <c r="AV87" s="13">
        <v>0.0</v>
      </c>
      <c r="AW87" s="13">
        <v>0.0</v>
      </c>
      <c r="AX87" s="13">
        <v>0.0</v>
      </c>
      <c r="AY87" s="13">
        <v>0.0</v>
      </c>
      <c r="AZ87" s="13">
        <v>0.0</v>
      </c>
      <c r="BA87" s="13">
        <v>0.0</v>
      </c>
      <c r="BB87" s="13">
        <v>0.0</v>
      </c>
      <c r="BC87" s="13">
        <v>0.0</v>
      </c>
      <c r="BD87" s="13">
        <v>0.0</v>
      </c>
      <c r="BE87" s="13">
        <v>0.0</v>
      </c>
      <c r="BF87" s="13">
        <v>0.0</v>
      </c>
      <c r="BG87" s="13">
        <v>0.0</v>
      </c>
      <c r="BH87" s="13">
        <v>0.0</v>
      </c>
      <c r="BI87" s="13">
        <v>0.0</v>
      </c>
      <c r="BJ87" s="13">
        <v>0.0</v>
      </c>
      <c r="BK87" s="13">
        <v>0.0</v>
      </c>
      <c r="BL87" s="13">
        <v>0.0</v>
      </c>
      <c r="BM87" s="13">
        <v>0.0</v>
      </c>
      <c r="BN87" s="13">
        <v>0.0</v>
      </c>
      <c r="BO87" s="13">
        <v>0.0</v>
      </c>
      <c r="BP87" s="13">
        <v>0.0</v>
      </c>
      <c r="BQ87" s="13">
        <v>0.0</v>
      </c>
      <c r="BR87" s="13">
        <v>0.0</v>
      </c>
      <c r="BS87" s="13">
        <v>0.0</v>
      </c>
      <c r="BT87" s="13">
        <v>0.0</v>
      </c>
      <c r="BU87" s="13">
        <v>0.0</v>
      </c>
      <c r="BV87" s="13">
        <v>0.0</v>
      </c>
      <c r="BW87" s="13">
        <v>0.0</v>
      </c>
      <c r="BX87" s="13">
        <v>0.0</v>
      </c>
      <c r="BY87" s="13">
        <v>0.0</v>
      </c>
      <c r="BZ87" s="13">
        <v>0.0</v>
      </c>
      <c r="CA87" s="13">
        <v>0.0</v>
      </c>
      <c r="CB87" s="13">
        <v>0.0</v>
      </c>
      <c r="CC87" s="13">
        <v>0.0</v>
      </c>
      <c r="CD87" s="13">
        <v>0.0</v>
      </c>
      <c r="CE87" s="13">
        <v>0.0</v>
      </c>
      <c r="CF87" s="13">
        <v>0.0</v>
      </c>
      <c r="CG87" s="13">
        <v>0.0</v>
      </c>
      <c r="CH87" s="13">
        <v>0.0</v>
      </c>
      <c r="CI87" s="13">
        <v>0.0</v>
      </c>
      <c r="CJ87" s="13">
        <v>0.0</v>
      </c>
      <c r="CK87" s="13">
        <v>0.0</v>
      </c>
      <c r="CL87" s="13">
        <v>0.0</v>
      </c>
      <c r="CM87" s="13">
        <v>0.0</v>
      </c>
      <c r="CN87" s="13">
        <v>0.0</v>
      </c>
      <c r="CO87" s="13">
        <v>0.0</v>
      </c>
      <c r="CP87" s="13">
        <v>0.0</v>
      </c>
      <c r="CQ87" s="13">
        <v>0.0</v>
      </c>
      <c r="CR87" s="13">
        <v>0.0</v>
      </c>
      <c r="CS87" s="13">
        <v>0.0</v>
      </c>
      <c r="CT87" s="13">
        <v>0.0</v>
      </c>
      <c r="CU87" s="13">
        <v>0.0</v>
      </c>
      <c r="CV87" s="13">
        <v>0.0</v>
      </c>
      <c r="CW87" s="13">
        <v>0.0</v>
      </c>
      <c r="CX87" s="13">
        <v>0.0</v>
      </c>
      <c r="CY87" s="13">
        <v>0.0</v>
      </c>
      <c r="CZ87" s="13">
        <v>0.0</v>
      </c>
      <c r="DA87" s="13">
        <v>0.0</v>
      </c>
      <c r="DB87" s="13">
        <v>0.0</v>
      </c>
      <c r="DC87" s="13">
        <v>0.0</v>
      </c>
      <c r="DD87" s="13">
        <v>0.0</v>
      </c>
      <c r="DE87" s="13">
        <v>0.0</v>
      </c>
      <c r="DF87" s="13">
        <v>0.0</v>
      </c>
      <c r="DG87" s="13">
        <v>0.0</v>
      </c>
      <c r="DH87" s="13">
        <v>0.0</v>
      </c>
      <c r="DI87" s="13">
        <v>0.0</v>
      </c>
      <c r="DJ87" s="13">
        <v>0.0</v>
      </c>
      <c r="DK87" s="13">
        <v>0.0</v>
      </c>
      <c r="DL87" s="13">
        <v>0.0</v>
      </c>
      <c r="DM87" s="13">
        <v>0.0</v>
      </c>
      <c r="DN87" s="13">
        <v>0.0</v>
      </c>
      <c r="DO87" s="13">
        <v>0.0</v>
      </c>
      <c r="DP87" s="13">
        <v>0.0</v>
      </c>
      <c r="DQ87" s="13">
        <v>0.0</v>
      </c>
      <c r="DR87" s="13">
        <v>0.0</v>
      </c>
      <c r="DS87" s="13">
        <v>0.0</v>
      </c>
      <c r="DT87" s="13"/>
      <c r="DU87" s="13">
        <v>0.0</v>
      </c>
      <c r="DV87" s="13">
        <v>0.0</v>
      </c>
      <c r="DW87" s="13">
        <v>0.0</v>
      </c>
      <c r="DX87" s="13"/>
      <c r="DY87" s="13">
        <v>0.0</v>
      </c>
      <c r="DZ87" s="13">
        <v>0.0</v>
      </c>
      <c r="EA87" s="13">
        <v>0.0</v>
      </c>
      <c r="EB87" s="13">
        <v>0.0</v>
      </c>
      <c r="EC87" s="13">
        <v>0.0</v>
      </c>
      <c r="ED87" s="13">
        <v>0.0</v>
      </c>
      <c r="EE87" s="13">
        <v>0.0</v>
      </c>
      <c r="EF87" s="13">
        <v>0.0</v>
      </c>
      <c r="EG87" s="13">
        <v>0.0</v>
      </c>
      <c r="EH87" s="13">
        <v>0.0</v>
      </c>
      <c r="EI87" s="13">
        <v>0.0</v>
      </c>
      <c r="EJ87" s="13">
        <v>0.0</v>
      </c>
    </row>
    <row r="88" ht="15.75" customHeight="1">
      <c r="A88" s="9" t="s">
        <v>246</v>
      </c>
      <c r="B88" s="13"/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/>
      <c r="I88" s="16">
        <f>iferror(vlookup(A88,'Inst Lending numbers'!A:D,4,false)," ")</f>
        <v>0.0934</v>
      </c>
      <c r="J88" s="13"/>
      <c r="K88" s="13"/>
      <c r="L88" s="13">
        <v>0.034</v>
      </c>
      <c r="M88" s="13"/>
      <c r="N88" s="13"/>
      <c r="O88" s="13">
        <f t="shared" si="18"/>
        <v>0.03932233526</v>
      </c>
      <c r="P88" s="13">
        <f t="shared" si="2"/>
        <v>0</v>
      </c>
      <c r="Q88" s="13"/>
      <c r="R88" s="13"/>
      <c r="S88" s="13"/>
      <c r="T88" s="13"/>
      <c r="U88" s="13"/>
      <c r="V88" s="13"/>
      <c r="W88" s="13"/>
      <c r="X88" s="13"/>
      <c r="Y88" s="13">
        <f t="shared" si="3"/>
        <v>0</v>
      </c>
      <c r="Z88" s="13"/>
      <c r="AA88" s="13">
        <v>0.0</v>
      </c>
      <c r="AB88" s="13">
        <f t="shared" si="17"/>
        <v>0.1957867833</v>
      </c>
      <c r="AC88" s="13"/>
      <c r="AD88" s="13"/>
      <c r="AE88" s="13">
        <f>iferror(sumif('Weekly Rates'!D:D,A88,'Weekly Rates'!F:F)/countif('Weekly Rates'!D:D,A88),0)</f>
        <v>0</v>
      </c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>
        <f>iferror(VLOOKUP($A88,EAM!A$2:E$14,2,FALSE))</f>
        <v>0.135863239</v>
      </c>
      <c r="AT88" s="13"/>
      <c r="AU88" s="13">
        <f>sumif('Weekly Rates'!A:A,A88,'Weekly Rates'!B:B)</f>
        <v>0</v>
      </c>
      <c r="AV88" s="13">
        <v>0.0</v>
      </c>
      <c r="AW88" s="13">
        <v>0.0</v>
      </c>
      <c r="AX88" s="13">
        <v>0.0</v>
      </c>
      <c r="AY88" s="13">
        <v>0.0</v>
      </c>
      <c r="AZ88" s="13">
        <v>0.0</v>
      </c>
      <c r="BA88" s="13">
        <v>0.0</v>
      </c>
      <c r="BB88" s="13">
        <v>0.0</v>
      </c>
      <c r="BC88" s="13">
        <v>0.0</v>
      </c>
      <c r="BD88" s="13">
        <v>0.0</v>
      </c>
      <c r="BE88" s="13">
        <v>0.0</v>
      </c>
      <c r="BF88" s="13">
        <v>0.0</v>
      </c>
      <c r="BG88" s="13">
        <v>0.0</v>
      </c>
      <c r="BH88" s="13">
        <v>0.0</v>
      </c>
      <c r="BI88" s="13">
        <v>0.0</v>
      </c>
      <c r="BJ88" s="13">
        <v>0.0</v>
      </c>
      <c r="BK88" s="13">
        <v>0.0</v>
      </c>
      <c r="BL88" s="13">
        <v>0.0</v>
      </c>
      <c r="BM88" s="13">
        <v>0.0</v>
      </c>
      <c r="BN88" s="13">
        <v>0.0</v>
      </c>
      <c r="BO88" s="13">
        <v>0.0</v>
      </c>
      <c r="BP88" s="13">
        <v>0.0</v>
      </c>
      <c r="BQ88" s="13">
        <v>0.0</v>
      </c>
      <c r="BR88" s="13">
        <v>0.0</v>
      </c>
      <c r="BS88" s="13">
        <v>0.0</v>
      </c>
      <c r="BT88" s="13">
        <v>0.0</v>
      </c>
      <c r="BU88" s="13">
        <v>0.0</v>
      </c>
      <c r="BV88" s="13">
        <v>0.0</v>
      </c>
      <c r="BW88" s="13">
        <v>0.0</v>
      </c>
      <c r="BX88" s="13">
        <v>0.0</v>
      </c>
      <c r="BY88" s="13">
        <v>0.0945</v>
      </c>
      <c r="BZ88" s="13">
        <v>0.0905</v>
      </c>
      <c r="CA88" s="13">
        <v>0.0</v>
      </c>
      <c r="CB88" s="13">
        <v>0.0</v>
      </c>
      <c r="CC88" s="13">
        <v>0.0</v>
      </c>
      <c r="CD88" s="13">
        <v>0.0</v>
      </c>
      <c r="CE88" s="13">
        <v>0.0</v>
      </c>
      <c r="CF88" s="13">
        <v>0.0</v>
      </c>
      <c r="CG88" s="13">
        <v>0.0</v>
      </c>
      <c r="CH88" s="13">
        <v>0.0</v>
      </c>
      <c r="CI88" s="13">
        <v>0.0</v>
      </c>
      <c r="CJ88" s="13">
        <v>0.0</v>
      </c>
      <c r="CK88" s="13">
        <v>0.0</v>
      </c>
      <c r="CL88" s="13">
        <v>0.0</v>
      </c>
      <c r="CM88" s="13">
        <v>0.0</v>
      </c>
      <c r="CN88" s="13">
        <v>0.0</v>
      </c>
      <c r="CO88" s="13">
        <v>0.0</v>
      </c>
      <c r="CP88" s="13">
        <v>0.0</v>
      </c>
      <c r="CQ88" s="13">
        <v>0.0</v>
      </c>
      <c r="CR88" s="13">
        <v>0.0</v>
      </c>
      <c r="CS88" s="13">
        <v>0.0</v>
      </c>
      <c r="CT88" s="13">
        <v>0.0</v>
      </c>
      <c r="CU88" s="13">
        <v>0.0</v>
      </c>
      <c r="CV88" s="13">
        <v>0.0</v>
      </c>
      <c r="CW88" s="13">
        <v>0.0</v>
      </c>
      <c r="CX88" s="13">
        <v>0.0</v>
      </c>
      <c r="CY88" s="13">
        <v>0.0</v>
      </c>
      <c r="CZ88" s="13">
        <v>0.0</v>
      </c>
      <c r="DA88" s="13">
        <v>0.0</v>
      </c>
      <c r="DB88" s="13">
        <v>0.0</v>
      </c>
      <c r="DC88" s="13">
        <v>0.0</v>
      </c>
      <c r="DD88" s="13">
        <v>0.2773</v>
      </c>
      <c r="DE88" s="13">
        <v>0.0</v>
      </c>
      <c r="DF88" s="13">
        <v>0.0</v>
      </c>
      <c r="DG88" s="13">
        <v>0.0</v>
      </c>
      <c r="DH88" s="13">
        <v>0.0</v>
      </c>
      <c r="DI88" s="13">
        <v>0.0</v>
      </c>
      <c r="DJ88" s="13">
        <v>0.0</v>
      </c>
      <c r="DK88" s="13">
        <v>0.0</v>
      </c>
      <c r="DL88" s="13">
        <v>0.0</v>
      </c>
      <c r="DM88" s="13">
        <v>0.0</v>
      </c>
      <c r="DN88" s="13">
        <v>0.0</v>
      </c>
      <c r="DO88" s="13">
        <v>0.0</v>
      </c>
      <c r="DP88" s="13">
        <v>0.0</v>
      </c>
      <c r="DQ88" s="13">
        <v>0.0</v>
      </c>
      <c r="DR88" s="13">
        <v>0.0</v>
      </c>
      <c r="DS88" s="13">
        <v>0.0</v>
      </c>
      <c r="DT88" s="13"/>
      <c r="DU88" s="13">
        <v>0.0</v>
      </c>
      <c r="DV88" s="13">
        <v>0.0</v>
      </c>
      <c r="DW88" s="13">
        <v>0.0</v>
      </c>
      <c r="DX88" s="13"/>
      <c r="DY88" s="13">
        <v>0.0</v>
      </c>
      <c r="DZ88" s="13">
        <v>0.0</v>
      </c>
      <c r="EA88" s="13">
        <v>0.0</v>
      </c>
      <c r="EB88" s="13">
        <v>0.0</v>
      </c>
      <c r="EC88" s="13">
        <v>0.0</v>
      </c>
      <c r="ED88" s="13">
        <v>0.0</v>
      </c>
      <c r="EE88" s="13">
        <v>0.0</v>
      </c>
      <c r="EF88" s="13">
        <v>0.0</v>
      </c>
      <c r="EG88" s="13">
        <v>0.0</v>
      </c>
      <c r="EH88" s="13">
        <v>0.0</v>
      </c>
      <c r="EI88" s="13">
        <v>0.0</v>
      </c>
      <c r="EJ88" s="13">
        <v>0.0</v>
      </c>
    </row>
    <row r="89" ht="15.75" customHeight="1">
      <c r="A89" s="9" t="s">
        <v>247</v>
      </c>
      <c r="B89" s="13"/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/>
      <c r="I89" s="16">
        <f>iferror(vlookup(A89,'Inst Lending numbers'!A:D,4,false)," ")</f>
        <v>0.0908</v>
      </c>
      <c r="J89" s="13"/>
      <c r="K89" s="13"/>
      <c r="L89" s="13">
        <v>0.034</v>
      </c>
      <c r="M89" s="13"/>
      <c r="N89" s="13"/>
      <c r="O89" s="13">
        <f t="shared" si="18"/>
        <v>0.03932233526</v>
      </c>
      <c r="P89" s="13">
        <f t="shared" si="2"/>
        <v>0</v>
      </c>
      <c r="Q89" s="13"/>
      <c r="R89" s="13"/>
      <c r="S89" s="13"/>
      <c r="T89" s="13"/>
      <c r="U89" s="13"/>
      <c r="V89" s="13"/>
      <c r="W89" s="13"/>
      <c r="X89" s="13"/>
      <c r="Y89" s="13">
        <f t="shared" si="3"/>
        <v>0</v>
      </c>
      <c r="Z89" s="13"/>
      <c r="AA89" s="13">
        <v>0.0</v>
      </c>
      <c r="AB89" s="13">
        <f t="shared" si="17"/>
        <v>0.1957867833</v>
      </c>
      <c r="AC89" s="13"/>
      <c r="AD89" s="13"/>
      <c r="AE89" s="13">
        <f>iferror(sumif('Weekly Rates'!D:D,A89,'Weekly Rates'!F:F)/countif('Weekly Rates'!D:D,A89),0)</f>
        <v>0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 t="str">
        <f>iferror(VLOOKUP($A89,EAM!A$2:E$14,2,FALSE))</f>
        <v/>
      </c>
      <c r="AT89" s="13"/>
      <c r="AU89" s="13">
        <f>sumif('Weekly Rates'!A:A,A89,'Weekly Rates'!B:B)</f>
        <v>0.2455</v>
      </c>
      <c r="AV89" s="13">
        <v>0.0</v>
      </c>
      <c r="AW89" s="13">
        <v>0.0</v>
      </c>
      <c r="AX89" s="13">
        <v>0.0</v>
      </c>
      <c r="AY89" s="13">
        <v>0.0</v>
      </c>
      <c r="AZ89" s="13">
        <v>0.0</v>
      </c>
      <c r="BA89" s="13">
        <v>0.0</v>
      </c>
      <c r="BB89" s="13">
        <v>0.0</v>
      </c>
      <c r="BC89" s="13">
        <v>0.0</v>
      </c>
      <c r="BD89" s="13">
        <v>0.0</v>
      </c>
      <c r="BE89" s="13">
        <v>0.0</v>
      </c>
      <c r="BF89" s="13">
        <v>0.0</v>
      </c>
      <c r="BG89" s="13">
        <v>0.0</v>
      </c>
      <c r="BH89" s="13">
        <v>0.0</v>
      </c>
      <c r="BI89" s="13">
        <v>0.0</v>
      </c>
      <c r="BJ89" s="13">
        <v>0.0</v>
      </c>
      <c r="BK89" s="13">
        <v>0.0</v>
      </c>
      <c r="BL89" s="13">
        <v>0.0</v>
      </c>
      <c r="BM89" s="13">
        <v>0.0</v>
      </c>
      <c r="BN89" s="13">
        <v>0.0</v>
      </c>
      <c r="BO89" s="13">
        <v>0.0</v>
      </c>
      <c r="BP89" s="13">
        <v>0.0</v>
      </c>
      <c r="BQ89" s="13">
        <v>0.0</v>
      </c>
      <c r="BR89" s="13">
        <v>0.0</v>
      </c>
      <c r="BS89" s="13">
        <v>0.0</v>
      </c>
      <c r="BT89" s="13">
        <v>0.0</v>
      </c>
      <c r="BU89" s="13">
        <v>0.0805</v>
      </c>
      <c r="BV89" s="13">
        <v>0.0</v>
      </c>
      <c r="BW89" s="13">
        <v>0.0</v>
      </c>
      <c r="BX89" s="13">
        <v>0.0</v>
      </c>
      <c r="BY89" s="13">
        <v>0.0945</v>
      </c>
      <c r="BZ89" s="13">
        <v>0.0</v>
      </c>
      <c r="CA89" s="13">
        <v>0.0</v>
      </c>
      <c r="CB89" s="13">
        <v>0.0</v>
      </c>
      <c r="CC89" s="13">
        <v>0.0</v>
      </c>
      <c r="CD89" s="13">
        <v>0.0</v>
      </c>
      <c r="CE89" s="13">
        <v>0.0</v>
      </c>
      <c r="CF89" s="13">
        <v>0.0</v>
      </c>
      <c r="CG89" s="13">
        <v>0.0</v>
      </c>
      <c r="CH89" s="13">
        <v>0.0</v>
      </c>
      <c r="CI89" s="13">
        <v>0.0</v>
      </c>
      <c r="CJ89" s="13">
        <v>0.0</v>
      </c>
      <c r="CK89" s="13">
        <v>0.0</v>
      </c>
      <c r="CL89" s="13">
        <v>0.0</v>
      </c>
      <c r="CM89" s="13">
        <v>0.0</v>
      </c>
      <c r="CN89" s="13">
        <v>0.0</v>
      </c>
      <c r="CO89" s="13">
        <v>0.0</v>
      </c>
      <c r="CP89" s="13">
        <v>0.0</v>
      </c>
      <c r="CQ89" s="13">
        <v>0.0</v>
      </c>
      <c r="CR89" s="13">
        <v>0.0</v>
      </c>
      <c r="CS89" s="13">
        <v>0.0</v>
      </c>
      <c r="CT89" s="13">
        <v>0.0</v>
      </c>
      <c r="CU89" s="13">
        <v>0.0</v>
      </c>
      <c r="CV89" s="13">
        <v>0.0</v>
      </c>
      <c r="CW89" s="13">
        <v>0.0</v>
      </c>
      <c r="CX89" s="13">
        <v>0.0</v>
      </c>
      <c r="CY89" s="13">
        <v>0.0</v>
      </c>
      <c r="CZ89" s="13">
        <v>0.0</v>
      </c>
      <c r="DA89" s="13">
        <v>0.0</v>
      </c>
      <c r="DB89" s="13">
        <v>0.0</v>
      </c>
      <c r="DC89" s="13">
        <v>0.0</v>
      </c>
      <c r="DD89" s="13">
        <v>0.0</v>
      </c>
      <c r="DE89" s="13">
        <v>0.0</v>
      </c>
      <c r="DF89" s="13">
        <v>0.0</v>
      </c>
      <c r="DG89" s="13">
        <v>0.0</v>
      </c>
      <c r="DH89" s="13">
        <v>0.0</v>
      </c>
      <c r="DI89" s="13">
        <v>0.0</v>
      </c>
      <c r="DJ89" s="13">
        <v>0.0</v>
      </c>
      <c r="DK89" s="13">
        <v>0.0</v>
      </c>
      <c r="DL89" s="13">
        <v>0.0</v>
      </c>
      <c r="DM89" s="13">
        <v>0.0</v>
      </c>
      <c r="DN89" s="13">
        <v>0.0</v>
      </c>
      <c r="DO89" s="13">
        <v>0.0</v>
      </c>
      <c r="DP89" s="13">
        <v>0.0</v>
      </c>
      <c r="DQ89" s="13">
        <v>0.0</v>
      </c>
      <c r="DR89" s="13">
        <v>0.0</v>
      </c>
      <c r="DS89" s="13">
        <v>0.0</v>
      </c>
      <c r="DT89" s="13"/>
      <c r="DU89" s="13">
        <v>0.0</v>
      </c>
      <c r="DV89" s="13">
        <v>0.0</v>
      </c>
      <c r="DW89" s="13">
        <v>0.0</v>
      </c>
      <c r="DX89" s="13"/>
      <c r="DY89" s="13">
        <v>0.0</v>
      </c>
      <c r="DZ89" s="13">
        <v>0.0</v>
      </c>
      <c r="EA89" s="13">
        <v>0.0</v>
      </c>
      <c r="EB89" s="13">
        <v>0.0</v>
      </c>
      <c r="EC89" s="13">
        <v>0.0</v>
      </c>
      <c r="ED89" s="13">
        <v>0.0</v>
      </c>
      <c r="EE89" s="13">
        <v>0.0</v>
      </c>
      <c r="EF89" s="13">
        <v>0.0</v>
      </c>
      <c r="EG89" s="13">
        <v>0.0</v>
      </c>
      <c r="EH89" s="13">
        <v>0.0</v>
      </c>
      <c r="EI89" s="13">
        <v>0.0</v>
      </c>
      <c r="EJ89" s="13">
        <v>0.0</v>
      </c>
    </row>
    <row r="90" ht="15.75" customHeight="1">
      <c r="A90" s="9" t="s">
        <v>248</v>
      </c>
      <c r="B90" s="13"/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/>
      <c r="I90" s="16" t="str">
        <f>iferror(vlookup(A90,'Inst Lending numbers'!A:D,4,false)," ")</f>
        <v> </v>
      </c>
      <c r="J90" s="13"/>
      <c r="K90" s="13"/>
      <c r="L90" s="13"/>
      <c r="M90" s="13"/>
      <c r="N90" s="13"/>
      <c r="O90" s="13">
        <f t="shared" si="18"/>
        <v>0.03932233526</v>
      </c>
      <c r="P90" s="13">
        <f t="shared" si="2"/>
        <v>0</v>
      </c>
      <c r="Q90" s="13"/>
      <c r="R90" s="13"/>
      <c r="S90" s="13"/>
      <c r="T90" s="13"/>
      <c r="U90" s="13"/>
      <c r="V90" s="13"/>
      <c r="W90" s="13"/>
      <c r="X90" s="13"/>
      <c r="Y90" s="13">
        <f t="shared" si="3"/>
        <v>0</v>
      </c>
      <c r="Z90" s="13"/>
      <c r="AA90" s="13">
        <v>0.0</v>
      </c>
      <c r="AB90" s="13">
        <f t="shared" si="17"/>
        <v>0.1957867833</v>
      </c>
      <c r="AC90" s="13"/>
      <c r="AD90" s="13"/>
      <c r="AE90" s="13">
        <f>iferror(sumif('Weekly Rates'!D:D,A90,'Weekly Rates'!F:F)/countif('Weekly Rates'!D:D,A90),0)</f>
        <v>0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 t="str">
        <f>iferror(VLOOKUP($A90,EAM!A$2:E$14,2,FALSE))</f>
        <v/>
      </c>
      <c r="AT90" s="13"/>
      <c r="AU90" s="13">
        <f>sumif('Weekly Rates'!A:A,A90,'Weekly Rates'!B:B)</f>
        <v>0</v>
      </c>
      <c r="AV90" s="13">
        <v>0.0</v>
      </c>
      <c r="AW90" s="13">
        <v>0.0</v>
      </c>
      <c r="AX90" s="13">
        <v>0.0</v>
      </c>
      <c r="AY90" s="13">
        <v>0.0</v>
      </c>
      <c r="AZ90" s="13">
        <v>0.0</v>
      </c>
      <c r="BA90" s="13">
        <v>0.0</v>
      </c>
      <c r="BB90" s="13">
        <v>0.0</v>
      </c>
      <c r="BC90" s="13">
        <v>0.0</v>
      </c>
      <c r="BD90" s="13">
        <v>0.0</v>
      </c>
      <c r="BE90" s="13">
        <v>0.0</v>
      </c>
      <c r="BF90" s="13">
        <v>0.0</v>
      </c>
      <c r="BG90" s="13">
        <v>0.0</v>
      </c>
      <c r="BH90" s="13">
        <v>0.0</v>
      </c>
      <c r="BI90" s="13">
        <v>0.0</v>
      </c>
      <c r="BJ90" s="13">
        <v>0.0</v>
      </c>
      <c r="BK90" s="13">
        <v>0.0</v>
      </c>
      <c r="BL90" s="13">
        <v>0.0</v>
      </c>
      <c r="BM90" s="13">
        <v>0.0</v>
      </c>
      <c r="BN90" s="13">
        <v>0.0</v>
      </c>
      <c r="BO90" s="13">
        <v>0.0</v>
      </c>
      <c r="BP90" s="13">
        <v>0.0</v>
      </c>
      <c r="BQ90" s="13">
        <v>0.0</v>
      </c>
      <c r="BR90" s="13">
        <v>0.0</v>
      </c>
      <c r="BS90" s="13">
        <v>0.0</v>
      </c>
      <c r="BT90" s="13">
        <v>0.0</v>
      </c>
      <c r="BU90" s="13">
        <v>0.0</v>
      </c>
      <c r="BV90" s="13">
        <v>0.0</v>
      </c>
      <c r="BW90" s="13">
        <v>0.0</v>
      </c>
      <c r="BX90" s="13">
        <v>0.0</v>
      </c>
      <c r="BY90" s="13">
        <v>0.0</v>
      </c>
      <c r="BZ90" s="13">
        <v>0.0</v>
      </c>
      <c r="CA90" s="13">
        <v>0.0</v>
      </c>
      <c r="CB90" s="13">
        <v>0.0</v>
      </c>
      <c r="CC90" s="13">
        <v>0.0</v>
      </c>
      <c r="CD90" s="13">
        <v>0.0</v>
      </c>
      <c r="CE90" s="13">
        <v>0.0</v>
      </c>
      <c r="CF90" s="13">
        <v>0.0</v>
      </c>
      <c r="CG90" s="13">
        <v>0.0</v>
      </c>
      <c r="CH90" s="13">
        <v>0.0</v>
      </c>
      <c r="CI90" s="13">
        <v>0.0</v>
      </c>
      <c r="CJ90" s="13">
        <v>0.0</v>
      </c>
      <c r="CK90" s="13">
        <v>0.0</v>
      </c>
      <c r="CL90" s="13">
        <v>0.0</v>
      </c>
      <c r="CM90" s="13">
        <v>0.0</v>
      </c>
      <c r="CN90" s="13">
        <v>0.0</v>
      </c>
      <c r="CO90" s="13">
        <v>0.0</v>
      </c>
      <c r="CP90" s="13">
        <v>0.0</v>
      </c>
      <c r="CQ90" s="13">
        <v>0.0</v>
      </c>
      <c r="CR90" s="13">
        <v>0.0</v>
      </c>
      <c r="CS90" s="13">
        <v>0.0</v>
      </c>
      <c r="CT90" s="13">
        <v>0.0</v>
      </c>
      <c r="CU90" s="13">
        <v>0.0</v>
      </c>
      <c r="CV90" s="13">
        <v>0.0</v>
      </c>
      <c r="CW90" s="13">
        <v>0.0</v>
      </c>
      <c r="CX90" s="13">
        <v>0.0</v>
      </c>
      <c r="CY90" s="13">
        <v>0.0</v>
      </c>
      <c r="CZ90" s="13">
        <v>0.0</v>
      </c>
      <c r="DA90" s="13">
        <v>0.0</v>
      </c>
      <c r="DB90" s="13">
        <v>0.0</v>
      </c>
      <c r="DC90" s="13">
        <v>0.0</v>
      </c>
      <c r="DD90" s="13">
        <v>0.0</v>
      </c>
      <c r="DE90" s="13">
        <v>0.0</v>
      </c>
      <c r="DF90" s="13">
        <v>0.0</v>
      </c>
      <c r="DG90" s="13">
        <v>0.0</v>
      </c>
      <c r="DH90" s="13">
        <v>0.0</v>
      </c>
      <c r="DI90" s="13">
        <v>0.0</v>
      </c>
      <c r="DJ90" s="13">
        <v>0.0</v>
      </c>
      <c r="DK90" s="13">
        <v>0.0</v>
      </c>
      <c r="DL90" s="13">
        <v>0.0</v>
      </c>
      <c r="DM90" s="13">
        <v>0.0</v>
      </c>
      <c r="DN90" s="13">
        <v>0.0</v>
      </c>
      <c r="DO90" s="13">
        <v>0.0</v>
      </c>
      <c r="DP90" s="13">
        <v>0.0</v>
      </c>
      <c r="DQ90" s="13">
        <v>0.0</v>
      </c>
      <c r="DR90" s="13">
        <v>0.0</v>
      </c>
      <c r="DS90" s="13">
        <v>0.0</v>
      </c>
      <c r="DT90" s="13"/>
      <c r="DU90" s="13">
        <v>0.0</v>
      </c>
      <c r="DV90" s="13">
        <v>0.0</v>
      </c>
      <c r="DW90" s="13">
        <v>0.0</v>
      </c>
      <c r="DX90" s="13"/>
      <c r="DY90" s="13">
        <v>0.0</v>
      </c>
      <c r="DZ90" s="13">
        <v>0.0</v>
      </c>
      <c r="EA90" s="13">
        <v>0.0</v>
      </c>
      <c r="EB90" s="13">
        <v>0.0</v>
      </c>
      <c r="EC90" s="13">
        <v>0.0</v>
      </c>
      <c r="ED90" s="13">
        <v>0.0</v>
      </c>
      <c r="EE90" s="13">
        <v>0.0</v>
      </c>
      <c r="EF90" s="13">
        <v>0.0</v>
      </c>
      <c r="EG90" s="13">
        <v>0.0</v>
      </c>
      <c r="EH90" s="13">
        <v>0.0</v>
      </c>
      <c r="EI90" s="13">
        <v>0.0</v>
      </c>
      <c r="EJ90" s="13">
        <v>0.0</v>
      </c>
    </row>
    <row r="91" ht="15.75" customHeight="1">
      <c r="A91" s="9" t="s">
        <v>249</v>
      </c>
      <c r="B91" s="13"/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/>
      <c r="I91" s="16" t="str">
        <f>iferror(vlookup(A91,'Inst Lending numbers'!A:D,4,false)," ")</f>
        <v> </v>
      </c>
      <c r="J91" s="13"/>
      <c r="K91" s="13"/>
      <c r="L91" s="13"/>
      <c r="M91" s="13"/>
      <c r="N91" s="13"/>
      <c r="O91" s="13">
        <f t="shared" si="18"/>
        <v>0.03932233526</v>
      </c>
      <c r="P91" s="13">
        <f t="shared" si="2"/>
        <v>0</v>
      </c>
      <c r="Q91" s="13"/>
      <c r="R91" s="13"/>
      <c r="S91" s="13"/>
      <c r="T91" s="13"/>
      <c r="U91" s="13"/>
      <c r="V91" s="13"/>
      <c r="W91" s="13"/>
      <c r="X91" s="13"/>
      <c r="Y91" s="13">
        <f t="shared" si="3"/>
        <v>0</v>
      </c>
      <c r="Z91" s="13"/>
      <c r="AA91" s="13">
        <v>0.0</v>
      </c>
      <c r="AB91" s="13">
        <f t="shared" si="17"/>
        <v>0.1957867833</v>
      </c>
      <c r="AC91" s="13"/>
      <c r="AD91" s="13"/>
      <c r="AE91" s="13">
        <f>iferror(sumif('Weekly Rates'!D:D,A91,'Weekly Rates'!F:F)/countif('Weekly Rates'!D:D,A91),0)</f>
        <v>0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 t="str">
        <f>iferror(VLOOKUP($A91,EAM!A$2:E$14,2,FALSE))</f>
        <v/>
      </c>
      <c r="AT91" s="13"/>
      <c r="AU91" s="13">
        <f>sumif('Weekly Rates'!A:A,A91,'Weekly Rates'!B:B)</f>
        <v>0</v>
      </c>
      <c r="AV91" s="13">
        <v>0.0</v>
      </c>
      <c r="AW91" s="13">
        <v>0.0</v>
      </c>
      <c r="AX91" s="13">
        <v>0.0</v>
      </c>
      <c r="AY91" s="13">
        <v>0.0</v>
      </c>
      <c r="AZ91" s="13">
        <v>0.0</v>
      </c>
      <c r="BA91" s="13">
        <v>0.0</v>
      </c>
      <c r="BB91" s="13">
        <v>0.0</v>
      </c>
      <c r="BC91" s="13">
        <v>0.0</v>
      </c>
      <c r="BD91" s="13">
        <v>0.0</v>
      </c>
      <c r="BE91" s="13">
        <v>0.0</v>
      </c>
      <c r="BF91" s="13">
        <v>0.0</v>
      </c>
      <c r="BG91" s="13">
        <v>0.0</v>
      </c>
      <c r="BH91" s="13">
        <v>0.0</v>
      </c>
      <c r="BI91" s="13">
        <v>0.0</v>
      </c>
      <c r="BJ91" s="13">
        <v>0.0</v>
      </c>
      <c r="BK91" s="13">
        <v>0.0</v>
      </c>
      <c r="BL91" s="13">
        <v>0.0</v>
      </c>
      <c r="BM91" s="13">
        <v>0.0</v>
      </c>
      <c r="BN91" s="13">
        <v>0.0</v>
      </c>
      <c r="BO91" s="13">
        <v>0.0</v>
      </c>
      <c r="BP91" s="13">
        <v>0.0</v>
      </c>
      <c r="BQ91" s="13">
        <v>0.0</v>
      </c>
      <c r="BR91" s="13">
        <v>0.0</v>
      </c>
      <c r="BS91" s="13">
        <v>0.0</v>
      </c>
      <c r="BT91" s="13">
        <v>0.0</v>
      </c>
      <c r="BU91" s="13">
        <v>0.0</v>
      </c>
      <c r="BV91" s="13">
        <v>0.0</v>
      </c>
      <c r="BW91" s="13">
        <v>0.0</v>
      </c>
      <c r="BX91" s="13">
        <v>0.0</v>
      </c>
      <c r="BY91" s="13">
        <v>0.0</v>
      </c>
      <c r="BZ91" s="13">
        <v>0.0</v>
      </c>
      <c r="CA91" s="13">
        <v>0.0</v>
      </c>
      <c r="CB91" s="13">
        <v>0.0</v>
      </c>
      <c r="CC91" s="13">
        <v>0.0</v>
      </c>
      <c r="CD91" s="13">
        <v>0.0</v>
      </c>
      <c r="CE91" s="13">
        <v>0.0</v>
      </c>
      <c r="CF91" s="13">
        <v>0.0</v>
      </c>
      <c r="CG91" s="13">
        <v>0.0</v>
      </c>
      <c r="CH91" s="13">
        <v>0.0</v>
      </c>
      <c r="CI91" s="13">
        <v>0.0</v>
      </c>
      <c r="CJ91" s="13">
        <v>0.0</v>
      </c>
      <c r="CK91" s="13">
        <v>0.0</v>
      </c>
      <c r="CL91" s="13">
        <v>0.0</v>
      </c>
      <c r="CM91" s="13">
        <v>0.0</v>
      </c>
      <c r="CN91" s="13">
        <v>0.0</v>
      </c>
      <c r="CO91" s="13">
        <v>0.0</v>
      </c>
      <c r="CP91" s="13">
        <v>0.0</v>
      </c>
      <c r="CQ91" s="13">
        <v>0.0</v>
      </c>
      <c r="CR91" s="13">
        <v>0.0</v>
      </c>
      <c r="CS91" s="13">
        <v>0.0</v>
      </c>
      <c r="CT91" s="13">
        <v>0.0</v>
      </c>
      <c r="CU91" s="13">
        <v>0.0</v>
      </c>
      <c r="CV91" s="13">
        <v>0.0</v>
      </c>
      <c r="CW91" s="13">
        <v>0.0</v>
      </c>
      <c r="CX91" s="13">
        <v>0.0</v>
      </c>
      <c r="CY91" s="13">
        <v>0.0</v>
      </c>
      <c r="CZ91" s="13">
        <v>0.0</v>
      </c>
      <c r="DA91" s="13">
        <v>0.0</v>
      </c>
      <c r="DB91" s="13">
        <v>0.0</v>
      </c>
      <c r="DC91" s="13">
        <v>0.0</v>
      </c>
      <c r="DD91" s="13">
        <v>0.0</v>
      </c>
      <c r="DE91" s="13">
        <v>0.0</v>
      </c>
      <c r="DF91" s="13">
        <v>0.0</v>
      </c>
      <c r="DG91" s="13">
        <v>0.0</v>
      </c>
      <c r="DH91" s="13">
        <v>0.0</v>
      </c>
      <c r="DI91" s="13">
        <v>0.0</v>
      </c>
      <c r="DJ91" s="13">
        <v>0.0</v>
      </c>
      <c r="DK91" s="13">
        <v>0.0</v>
      </c>
      <c r="DL91" s="13">
        <v>0.0</v>
      </c>
      <c r="DM91" s="13">
        <v>0.0</v>
      </c>
      <c r="DN91" s="13">
        <v>0.0</v>
      </c>
      <c r="DO91" s="13">
        <v>0.0</v>
      </c>
      <c r="DP91" s="13">
        <v>0.0</v>
      </c>
      <c r="DQ91" s="13">
        <v>0.0</v>
      </c>
      <c r="DR91" s="13">
        <v>0.0</v>
      </c>
      <c r="DS91" s="13">
        <v>0.0</v>
      </c>
      <c r="DT91" s="13"/>
      <c r="DU91" s="13">
        <v>0.0</v>
      </c>
      <c r="DV91" s="13">
        <v>0.0</v>
      </c>
      <c r="DW91" s="13">
        <v>0.0</v>
      </c>
      <c r="DX91" s="13"/>
      <c r="DY91" s="13">
        <v>0.0</v>
      </c>
      <c r="DZ91" s="13">
        <v>0.0</v>
      </c>
      <c r="EA91" s="13">
        <v>0.0</v>
      </c>
      <c r="EB91" s="13">
        <v>0.0</v>
      </c>
      <c r="EC91" s="13">
        <v>0.0</v>
      </c>
      <c r="ED91" s="13">
        <v>0.0</v>
      </c>
      <c r="EE91" s="13">
        <v>0.0</v>
      </c>
      <c r="EF91" s="13">
        <v>0.0</v>
      </c>
      <c r="EG91" s="13">
        <v>0.0</v>
      </c>
      <c r="EH91" s="13">
        <v>0.0</v>
      </c>
      <c r="EI91" s="13">
        <v>0.0</v>
      </c>
      <c r="EJ91" s="13">
        <v>0.0</v>
      </c>
    </row>
    <row r="92" ht="15.75" customHeight="1">
      <c r="A92" s="9" t="s">
        <v>250</v>
      </c>
      <c r="B92" s="13"/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/>
      <c r="I92" s="16" t="str">
        <f>iferror(vlookup(A92,'Inst Lending numbers'!A:D,4,false)," ")</f>
        <v> </v>
      </c>
      <c r="J92" s="13"/>
      <c r="K92" s="13"/>
      <c r="L92" s="13"/>
      <c r="M92" s="13"/>
      <c r="N92" s="13"/>
      <c r="O92" s="13">
        <f t="shared" si="18"/>
        <v>0.03932233526</v>
      </c>
      <c r="P92" s="13">
        <f t="shared" si="2"/>
        <v>0</v>
      </c>
      <c r="Q92" s="13"/>
      <c r="R92" s="13"/>
      <c r="S92" s="13"/>
      <c r="T92" s="13"/>
      <c r="U92" s="13"/>
      <c r="V92" s="13"/>
      <c r="W92" s="13"/>
      <c r="X92" s="13"/>
      <c r="Y92" s="13">
        <f t="shared" si="3"/>
        <v>0</v>
      </c>
      <c r="Z92" s="13"/>
      <c r="AA92" s="13">
        <v>0.0</v>
      </c>
      <c r="AB92" s="13">
        <f t="shared" si="17"/>
        <v>0.1957867833</v>
      </c>
      <c r="AC92" s="13"/>
      <c r="AD92" s="13"/>
      <c r="AE92" s="13">
        <f>iferror(sumif('Weekly Rates'!D:D,A92,'Weekly Rates'!F:F)/countif('Weekly Rates'!D:D,A92),0)</f>
        <v>0.00876</v>
      </c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 t="str">
        <f>iferror(VLOOKUP($A92,EAM!A$2:E$14,2,FALSE))</f>
        <v/>
      </c>
      <c r="AT92" s="13"/>
      <c r="AU92" s="13">
        <f>sumif('Weekly Rates'!A:A,A92,'Weekly Rates'!B:B)</f>
        <v>0</v>
      </c>
      <c r="AV92" s="13">
        <v>0.0</v>
      </c>
      <c r="AW92" s="13">
        <v>0.0</v>
      </c>
      <c r="AX92" s="13">
        <v>0.0</v>
      </c>
      <c r="AY92" s="13">
        <v>0.0</v>
      </c>
      <c r="AZ92" s="13">
        <v>0.0</v>
      </c>
      <c r="BA92" s="13">
        <v>0.0</v>
      </c>
      <c r="BB92" s="13">
        <v>0.0</v>
      </c>
      <c r="BC92" s="13">
        <v>0.0</v>
      </c>
      <c r="BD92" s="13">
        <v>0.0</v>
      </c>
      <c r="BE92" s="13">
        <v>0.0</v>
      </c>
      <c r="BF92" s="13">
        <v>0.0</v>
      </c>
      <c r="BG92" s="13">
        <v>0.0</v>
      </c>
      <c r="BH92" s="13">
        <v>0.0</v>
      </c>
      <c r="BI92" s="13">
        <v>0.0</v>
      </c>
      <c r="BJ92" s="13">
        <v>0.0</v>
      </c>
      <c r="BK92" s="13">
        <v>0.0</v>
      </c>
      <c r="BL92" s="13">
        <v>0.0</v>
      </c>
      <c r="BM92" s="13">
        <v>0.0</v>
      </c>
      <c r="BN92" s="13">
        <v>0.0</v>
      </c>
      <c r="BO92" s="13">
        <v>0.0</v>
      </c>
      <c r="BP92" s="13">
        <v>0.0</v>
      </c>
      <c r="BQ92" s="13">
        <v>0.0</v>
      </c>
      <c r="BR92" s="13">
        <v>0.0</v>
      </c>
      <c r="BS92" s="13">
        <v>0.0</v>
      </c>
      <c r="BT92" s="13">
        <v>0.0</v>
      </c>
      <c r="BU92" s="13">
        <v>0.0</v>
      </c>
      <c r="BV92" s="13">
        <v>0.0</v>
      </c>
      <c r="BW92" s="13">
        <v>0.0</v>
      </c>
      <c r="BX92" s="13">
        <v>0.0</v>
      </c>
      <c r="BY92" s="13">
        <v>0.0</v>
      </c>
      <c r="BZ92" s="13">
        <v>0.0</v>
      </c>
      <c r="CA92" s="13">
        <v>0.0</v>
      </c>
      <c r="CB92" s="13">
        <v>0.0</v>
      </c>
      <c r="CC92" s="13">
        <v>0.0</v>
      </c>
      <c r="CD92" s="13">
        <v>0.0</v>
      </c>
      <c r="CE92" s="13">
        <v>0.0</v>
      </c>
      <c r="CF92" s="13">
        <v>0.0</v>
      </c>
      <c r="CG92" s="13">
        <v>0.0</v>
      </c>
      <c r="CH92" s="13">
        <v>0.0</v>
      </c>
      <c r="CI92" s="13">
        <v>0.0</v>
      </c>
      <c r="CJ92" s="13">
        <v>0.0</v>
      </c>
      <c r="CK92" s="13">
        <v>0.0</v>
      </c>
      <c r="CL92" s="13">
        <v>0.0</v>
      </c>
      <c r="CM92" s="13">
        <v>0.0</v>
      </c>
      <c r="CN92" s="13">
        <v>0.0</v>
      </c>
      <c r="CO92" s="13">
        <v>0.0</v>
      </c>
      <c r="CP92" s="13">
        <v>0.0</v>
      </c>
      <c r="CQ92" s="13">
        <v>0.0</v>
      </c>
      <c r="CR92" s="13">
        <v>0.0</v>
      </c>
      <c r="CS92" s="13">
        <v>0.0</v>
      </c>
      <c r="CT92" s="13">
        <v>0.0</v>
      </c>
      <c r="CU92" s="13">
        <v>0.0</v>
      </c>
      <c r="CV92" s="13">
        <v>0.0</v>
      </c>
      <c r="CW92" s="13">
        <v>0.0</v>
      </c>
      <c r="CX92" s="13">
        <v>0.0</v>
      </c>
      <c r="CY92" s="13">
        <v>0.0</v>
      </c>
      <c r="CZ92" s="13">
        <v>0.0</v>
      </c>
      <c r="DA92" s="13">
        <v>0.0</v>
      </c>
      <c r="DB92" s="13">
        <v>0.0</v>
      </c>
      <c r="DC92" s="13">
        <v>0.0</v>
      </c>
      <c r="DD92" s="13">
        <v>0.0</v>
      </c>
      <c r="DE92" s="13">
        <v>0.0</v>
      </c>
      <c r="DF92" s="13">
        <v>0.0</v>
      </c>
      <c r="DG92" s="13">
        <v>0.0</v>
      </c>
      <c r="DH92" s="13">
        <v>0.0</v>
      </c>
      <c r="DI92" s="13">
        <v>0.0</v>
      </c>
      <c r="DJ92" s="13">
        <v>0.0</v>
      </c>
      <c r="DK92" s="13">
        <v>0.0</v>
      </c>
      <c r="DL92" s="13">
        <v>0.0</v>
      </c>
      <c r="DM92" s="13">
        <v>0.0</v>
      </c>
      <c r="DN92" s="13">
        <v>0.0</v>
      </c>
      <c r="DO92" s="13">
        <v>0.0</v>
      </c>
      <c r="DP92" s="13">
        <v>0.0</v>
      </c>
      <c r="DQ92" s="13">
        <v>0.0</v>
      </c>
      <c r="DR92" s="13">
        <v>0.0</v>
      </c>
      <c r="DS92" s="13">
        <v>0.0</v>
      </c>
      <c r="DT92" s="13"/>
      <c r="DU92" s="13">
        <v>0.0</v>
      </c>
      <c r="DV92" s="13">
        <v>0.0</v>
      </c>
      <c r="DW92" s="13">
        <v>0.0</v>
      </c>
      <c r="DX92" s="13"/>
      <c r="DY92" s="13">
        <v>0.0</v>
      </c>
      <c r="DZ92" s="13">
        <v>0.0</v>
      </c>
      <c r="EA92" s="13">
        <v>0.0</v>
      </c>
      <c r="EB92" s="13">
        <v>0.0</v>
      </c>
      <c r="EC92" s="13">
        <v>0.0</v>
      </c>
      <c r="ED92" s="13">
        <v>0.0</v>
      </c>
      <c r="EE92" s="13">
        <v>0.0</v>
      </c>
      <c r="EF92" s="13">
        <v>0.0</v>
      </c>
      <c r="EG92" s="13">
        <v>0.0</v>
      </c>
      <c r="EH92" s="13">
        <v>0.0</v>
      </c>
      <c r="EI92" s="13">
        <v>0.0</v>
      </c>
      <c r="EJ92" s="13">
        <v>0.0</v>
      </c>
    </row>
    <row r="93" ht="15.75" customHeight="1">
      <c r="A93" s="9" t="s">
        <v>251</v>
      </c>
      <c r="B93" s="13"/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/>
      <c r="I93" s="16">
        <f>iferror(vlookup(A93,'Inst Lending numbers'!A:D,4,false)," ")</f>
        <v>0.0458</v>
      </c>
      <c r="J93" s="13"/>
      <c r="K93" s="13"/>
      <c r="L93" s="13"/>
      <c r="M93" s="13"/>
      <c r="N93" s="13"/>
      <c r="O93" s="13">
        <f t="shared" si="18"/>
        <v>0.03932233526</v>
      </c>
      <c r="P93" s="13">
        <f t="shared" si="2"/>
        <v>0</v>
      </c>
      <c r="Q93" s="13"/>
      <c r="R93" s="13"/>
      <c r="S93" s="13"/>
      <c r="T93" s="13"/>
      <c r="U93" s="13"/>
      <c r="V93" s="13"/>
      <c r="W93" s="13"/>
      <c r="X93" s="13"/>
      <c r="Y93" s="13">
        <f t="shared" si="3"/>
        <v>0</v>
      </c>
      <c r="Z93" s="13"/>
      <c r="AA93" s="13">
        <v>0.0</v>
      </c>
      <c r="AB93" s="13">
        <f t="shared" si="17"/>
        <v>0.1957867833</v>
      </c>
      <c r="AC93" s="13"/>
      <c r="AD93" s="13"/>
      <c r="AE93" s="13">
        <f>iferror(sumif('Weekly Rates'!D:D,A93,'Weekly Rates'!F:F)/countif('Weekly Rates'!D:D,A93),0)</f>
        <v>0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 t="str">
        <f>iferror(VLOOKUP($A93,EAM!A$2:E$14,2,FALSE))</f>
        <v/>
      </c>
      <c r="AT93" s="13"/>
      <c r="AU93" s="13">
        <f>sumif('Weekly Rates'!A:A,A93,'Weekly Rates'!B:B)</f>
        <v>0.0508</v>
      </c>
      <c r="AV93" s="13">
        <v>0.0</v>
      </c>
      <c r="AW93" s="13">
        <v>0.0</v>
      </c>
      <c r="AX93" s="13">
        <v>0.0</v>
      </c>
      <c r="AY93" s="13">
        <v>0.0</v>
      </c>
      <c r="AZ93" s="13">
        <v>0.0</v>
      </c>
      <c r="BA93" s="13">
        <v>0.0</v>
      </c>
      <c r="BB93" s="13">
        <v>0.0</v>
      </c>
      <c r="BC93" s="13">
        <v>0.0</v>
      </c>
      <c r="BD93" s="13">
        <v>0.0</v>
      </c>
      <c r="BE93" s="13">
        <v>0.0</v>
      </c>
      <c r="BF93" s="13">
        <v>0.0</v>
      </c>
      <c r="BG93" s="13">
        <v>0.0</v>
      </c>
      <c r="BH93" s="13">
        <v>0.0</v>
      </c>
      <c r="BI93" s="13">
        <v>0.0</v>
      </c>
      <c r="BJ93" s="13">
        <v>0.0</v>
      </c>
      <c r="BK93" s="13">
        <v>0.0</v>
      </c>
      <c r="BL93" s="13">
        <v>0.0</v>
      </c>
      <c r="BM93" s="13">
        <v>0.0</v>
      </c>
      <c r="BN93" s="13">
        <v>0.0</v>
      </c>
      <c r="BO93" s="13">
        <v>0.0</v>
      </c>
      <c r="BP93" s="13">
        <v>0.0</v>
      </c>
      <c r="BQ93" s="13">
        <v>0.0</v>
      </c>
      <c r="BR93" s="13">
        <v>0.0</v>
      </c>
      <c r="BS93" s="13">
        <v>0.0</v>
      </c>
      <c r="BT93" s="13">
        <v>0.0</v>
      </c>
      <c r="BU93" s="13">
        <v>0.0</v>
      </c>
      <c r="BV93" s="13">
        <v>0.0</v>
      </c>
      <c r="BW93" s="13">
        <v>0.0</v>
      </c>
      <c r="BX93" s="13">
        <v>0.0</v>
      </c>
      <c r="BY93" s="13">
        <v>0.0</v>
      </c>
      <c r="BZ93" s="13">
        <v>0.0</v>
      </c>
      <c r="CA93" s="13">
        <v>0.0</v>
      </c>
      <c r="CB93" s="13">
        <v>0.0</v>
      </c>
      <c r="CC93" s="13">
        <v>0.0</v>
      </c>
      <c r="CD93" s="13">
        <v>0.0</v>
      </c>
      <c r="CE93" s="13">
        <v>0.0</v>
      </c>
      <c r="CF93" s="13">
        <v>0.0</v>
      </c>
      <c r="CG93" s="13">
        <v>0.0</v>
      </c>
      <c r="CH93" s="13">
        <v>0.0</v>
      </c>
      <c r="CI93" s="13">
        <v>0.0</v>
      </c>
      <c r="CJ93" s="13">
        <v>0.0</v>
      </c>
      <c r="CK93" s="13">
        <v>0.0</v>
      </c>
      <c r="CL93" s="13">
        <v>0.0</v>
      </c>
      <c r="CM93" s="13">
        <v>0.0</v>
      </c>
      <c r="CN93" s="13">
        <v>0.0</v>
      </c>
      <c r="CO93" s="13">
        <v>0.0</v>
      </c>
      <c r="CP93" s="13">
        <v>0.0</v>
      </c>
      <c r="CQ93" s="13">
        <v>0.0</v>
      </c>
      <c r="CR93" s="13">
        <v>0.0</v>
      </c>
      <c r="CS93" s="13">
        <v>0.0</v>
      </c>
      <c r="CT93" s="13">
        <v>0.0</v>
      </c>
      <c r="CU93" s="13">
        <v>0.0</v>
      </c>
      <c r="CV93" s="13">
        <v>0.0</v>
      </c>
      <c r="CW93" s="13">
        <v>0.0</v>
      </c>
      <c r="CX93" s="13">
        <v>0.0</v>
      </c>
      <c r="CY93" s="13">
        <v>0.0</v>
      </c>
      <c r="CZ93" s="13">
        <v>0.0</v>
      </c>
      <c r="DA93" s="13">
        <v>0.0</v>
      </c>
      <c r="DB93" s="13">
        <v>0.0</v>
      </c>
      <c r="DC93" s="13">
        <v>0.0</v>
      </c>
      <c r="DD93" s="13">
        <v>0.0</v>
      </c>
      <c r="DE93" s="13">
        <v>0.0</v>
      </c>
      <c r="DF93" s="13">
        <v>0.0</v>
      </c>
      <c r="DG93" s="13">
        <v>0.0</v>
      </c>
      <c r="DH93" s="13">
        <v>0.0</v>
      </c>
      <c r="DI93" s="13">
        <v>0.0</v>
      </c>
      <c r="DJ93" s="13">
        <v>0.0</v>
      </c>
      <c r="DK93" s="13">
        <v>0.0</v>
      </c>
      <c r="DL93" s="13">
        <v>0.0</v>
      </c>
      <c r="DM93" s="13">
        <v>0.0</v>
      </c>
      <c r="DN93" s="13">
        <v>0.0</v>
      </c>
      <c r="DO93" s="13">
        <v>0.0</v>
      </c>
      <c r="DP93" s="13">
        <v>0.0</v>
      </c>
      <c r="DQ93" s="13">
        <v>0.0</v>
      </c>
      <c r="DR93" s="13">
        <v>0.0</v>
      </c>
      <c r="DS93" s="13">
        <v>0.0</v>
      </c>
      <c r="DT93" s="13"/>
      <c r="DU93" s="13">
        <v>0.0</v>
      </c>
      <c r="DV93" s="13">
        <v>0.0</v>
      </c>
      <c r="DW93" s="13">
        <v>0.0</v>
      </c>
      <c r="DX93" s="13"/>
      <c r="DY93" s="13">
        <v>0.0</v>
      </c>
      <c r="DZ93" s="13">
        <v>0.0</v>
      </c>
      <c r="EA93" s="13">
        <v>0.0</v>
      </c>
      <c r="EB93" s="13">
        <v>0.0</v>
      </c>
      <c r="EC93" s="13">
        <v>0.0</v>
      </c>
      <c r="ED93" s="13">
        <v>0.0</v>
      </c>
      <c r="EE93" s="13">
        <v>0.0</v>
      </c>
      <c r="EF93" s="13">
        <v>0.0</v>
      </c>
      <c r="EG93" s="13">
        <v>0.0</v>
      </c>
      <c r="EH93" s="13">
        <v>0.0</v>
      </c>
      <c r="EI93" s="13">
        <v>0.0</v>
      </c>
      <c r="EJ93" s="13">
        <v>0.0</v>
      </c>
    </row>
    <row r="94" ht="15.75" customHeight="1">
      <c r="A94" s="9" t="s">
        <v>252</v>
      </c>
      <c r="B94" s="13"/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/>
      <c r="I94" s="16">
        <f>iferror(vlookup(A94,'Inst Lending numbers'!A:D,4,false)," ")</f>
        <v>0.0462</v>
      </c>
      <c r="J94" s="13">
        <v>0.0</v>
      </c>
      <c r="K94" s="13"/>
      <c r="L94" s="13"/>
      <c r="M94" s="13"/>
      <c r="N94" s="13"/>
      <c r="O94" s="13">
        <f t="shared" si="18"/>
        <v>0.03932233526</v>
      </c>
      <c r="P94" s="13">
        <f t="shared" si="2"/>
        <v>0</v>
      </c>
      <c r="Q94" s="13"/>
      <c r="R94" s="13"/>
      <c r="S94" s="13"/>
      <c r="T94" s="13"/>
      <c r="U94" s="13"/>
      <c r="V94" s="13"/>
      <c r="W94" s="13"/>
      <c r="X94" s="13"/>
      <c r="Y94" s="13">
        <f t="shared" si="3"/>
        <v>0</v>
      </c>
      <c r="Z94" s="13"/>
      <c r="AA94" s="13">
        <v>0.0</v>
      </c>
      <c r="AB94" s="13">
        <f t="shared" si="17"/>
        <v>0.1957867833</v>
      </c>
      <c r="AC94" s="13"/>
      <c r="AD94" s="13"/>
      <c r="AE94" s="13">
        <f>iferror(sumif('Weekly Rates'!D:D,A94,'Weekly Rates'!F:F)/countif('Weekly Rates'!D:D,A94),0)</f>
        <v>0</v>
      </c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 t="str">
        <f>iferror(VLOOKUP($A94,EAM!A$2:E$14,2,FALSE))</f>
        <v/>
      </c>
      <c r="AT94" s="13"/>
      <c r="AU94" s="13">
        <f>sumif('Weekly Rates'!A:A,A94,'Weekly Rates'!B:B)</f>
        <v>0.0066</v>
      </c>
      <c r="AV94" s="13">
        <v>0.0</v>
      </c>
      <c r="AW94" s="13">
        <v>0.0</v>
      </c>
      <c r="AX94" s="13">
        <v>0.0</v>
      </c>
      <c r="AY94" s="13">
        <v>0.0</v>
      </c>
      <c r="AZ94" s="13">
        <v>0.0</v>
      </c>
      <c r="BA94" s="13">
        <v>0.0</v>
      </c>
      <c r="BB94" s="13">
        <v>0.0</v>
      </c>
      <c r="BC94" s="13">
        <v>0.0</v>
      </c>
      <c r="BD94" s="13">
        <v>0.0</v>
      </c>
      <c r="BE94" s="13">
        <v>0.0</v>
      </c>
      <c r="BF94" s="13">
        <v>0.0</v>
      </c>
      <c r="BG94" s="13">
        <v>0.0</v>
      </c>
      <c r="BH94" s="13">
        <v>0.0</v>
      </c>
      <c r="BI94" s="13">
        <v>0.0</v>
      </c>
      <c r="BJ94" s="13">
        <v>0.0</v>
      </c>
      <c r="BK94" s="13">
        <v>0.0</v>
      </c>
      <c r="BL94" s="13">
        <v>0.0</v>
      </c>
      <c r="BM94" s="13">
        <v>0.0</v>
      </c>
      <c r="BN94" s="13">
        <v>0.0</v>
      </c>
      <c r="BO94" s="13">
        <v>0.0</v>
      </c>
      <c r="BP94" s="13">
        <v>0.0</v>
      </c>
      <c r="BQ94" s="13">
        <v>0.0</v>
      </c>
      <c r="BR94" s="13">
        <v>0.0</v>
      </c>
      <c r="BS94" s="13">
        <v>0.0</v>
      </c>
      <c r="BT94" s="13">
        <v>0.0</v>
      </c>
      <c r="BU94" s="13">
        <v>0.0</v>
      </c>
      <c r="BV94" s="13">
        <v>0.0</v>
      </c>
      <c r="BW94" s="13">
        <v>0.0</v>
      </c>
      <c r="BX94" s="13">
        <v>0.0</v>
      </c>
      <c r="BY94" s="13">
        <v>0.0</v>
      </c>
      <c r="BZ94" s="13">
        <v>0.0</v>
      </c>
      <c r="CA94" s="13">
        <v>0.0</v>
      </c>
      <c r="CB94" s="13">
        <v>0.0</v>
      </c>
      <c r="CC94" s="13">
        <v>0.0</v>
      </c>
      <c r="CD94" s="13">
        <v>0.0</v>
      </c>
      <c r="CE94" s="13">
        <v>0.0</v>
      </c>
      <c r="CF94" s="13">
        <v>0.0</v>
      </c>
      <c r="CG94" s="13">
        <v>0.0</v>
      </c>
      <c r="CH94" s="13">
        <v>0.0</v>
      </c>
      <c r="CI94" s="13">
        <v>0.0</v>
      </c>
      <c r="CJ94" s="13">
        <v>0.0</v>
      </c>
      <c r="CK94" s="13">
        <v>0.0</v>
      </c>
      <c r="CL94" s="13">
        <v>0.0</v>
      </c>
      <c r="CM94" s="13">
        <v>0.0</v>
      </c>
      <c r="CN94" s="13">
        <v>0.0</v>
      </c>
      <c r="CO94" s="13">
        <v>0.0</v>
      </c>
      <c r="CP94" s="13">
        <v>0.0</v>
      </c>
      <c r="CQ94" s="13">
        <v>0.0</v>
      </c>
      <c r="CR94" s="13">
        <v>0.0</v>
      </c>
      <c r="CS94" s="13">
        <v>0.0</v>
      </c>
      <c r="CT94" s="13">
        <v>0.0</v>
      </c>
      <c r="CU94" s="13">
        <v>0.0</v>
      </c>
      <c r="CV94" s="13">
        <v>0.0</v>
      </c>
      <c r="CW94" s="13">
        <v>0.0</v>
      </c>
      <c r="CX94" s="13">
        <v>0.0</v>
      </c>
      <c r="CY94" s="13">
        <v>0.0</v>
      </c>
      <c r="CZ94" s="13">
        <v>0.0</v>
      </c>
      <c r="DA94" s="13">
        <v>0.0</v>
      </c>
      <c r="DB94" s="13">
        <v>0.0</v>
      </c>
      <c r="DC94" s="13">
        <v>0.0</v>
      </c>
      <c r="DD94" s="13">
        <v>0.0</v>
      </c>
      <c r="DE94" s="13">
        <v>0.0</v>
      </c>
      <c r="DF94" s="13">
        <v>0.0</v>
      </c>
      <c r="DG94" s="13">
        <v>0.0</v>
      </c>
      <c r="DH94" s="13">
        <v>0.0</v>
      </c>
      <c r="DI94" s="13">
        <v>0.0</v>
      </c>
      <c r="DJ94" s="13">
        <v>0.0</v>
      </c>
      <c r="DK94" s="13">
        <v>0.0</v>
      </c>
      <c r="DL94" s="13">
        <v>0.0</v>
      </c>
      <c r="DM94" s="13">
        <v>0.0</v>
      </c>
      <c r="DN94" s="13">
        <v>0.0</v>
      </c>
      <c r="DO94" s="13">
        <v>0.0</v>
      </c>
      <c r="DP94" s="13">
        <v>0.0</v>
      </c>
      <c r="DQ94" s="13">
        <v>0.0</v>
      </c>
      <c r="DR94" s="13">
        <v>0.0</v>
      </c>
      <c r="DS94" s="13">
        <v>0.0</v>
      </c>
      <c r="DT94" s="13"/>
      <c r="DU94" s="13">
        <v>0.0</v>
      </c>
      <c r="DV94" s="13">
        <v>0.0</v>
      </c>
      <c r="DW94" s="13">
        <v>0.0</v>
      </c>
      <c r="DX94" s="13"/>
      <c r="DY94" s="13">
        <v>0.0</v>
      </c>
      <c r="DZ94" s="13">
        <v>0.0</v>
      </c>
      <c r="EA94" s="13">
        <v>0.0</v>
      </c>
      <c r="EB94" s="13">
        <v>0.0</v>
      </c>
      <c r="EC94" s="13">
        <v>0.0</v>
      </c>
      <c r="ED94" s="13">
        <v>0.0</v>
      </c>
      <c r="EE94" s="13">
        <v>0.0</v>
      </c>
      <c r="EF94" s="13">
        <v>0.0</v>
      </c>
      <c r="EG94" s="13">
        <v>0.0</v>
      </c>
      <c r="EH94" s="13">
        <v>0.0</v>
      </c>
      <c r="EI94" s="13">
        <v>0.0</v>
      </c>
      <c r="EJ94" s="13">
        <v>0.0</v>
      </c>
    </row>
    <row r="95" ht="15.75" customHeight="1">
      <c r="A95" s="9" t="s">
        <v>253</v>
      </c>
      <c r="B95" s="13"/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/>
      <c r="I95" s="16">
        <f>iferror(vlookup(A95,'Inst Lending numbers'!A:D,4,false)," ")</f>
        <v>0.0831</v>
      </c>
      <c r="J95" s="13"/>
      <c r="K95" s="13"/>
      <c r="L95" s="13"/>
      <c r="M95" s="13"/>
      <c r="N95" s="13"/>
      <c r="O95" s="13">
        <f t="shared" si="18"/>
        <v>0.03932233526</v>
      </c>
      <c r="P95" s="13">
        <f t="shared" si="2"/>
        <v>0</v>
      </c>
      <c r="Q95" s="13"/>
      <c r="R95" s="13"/>
      <c r="S95" s="13"/>
      <c r="T95" s="13"/>
      <c r="U95" s="13"/>
      <c r="V95" s="13"/>
      <c r="W95" s="13"/>
      <c r="X95" s="13"/>
      <c r="Y95" s="13">
        <f t="shared" si="3"/>
        <v>0</v>
      </c>
      <c r="Z95" s="13"/>
      <c r="AA95" s="13">
        <v>0.0</v>
      </c>
      <c r="AB95" s="13">
        <f t="shared" si="17"/>
        <v>0.1957867833</v>
      </c>
      <c r="AC95" s="13"/>
      <c r="AD95" s="13"/>
      <c r="AE95" s="13">
        <f>iferror(sumif('Weekly Rates'!D:D,A95,'Weekly Rates'!F:F)/countif('Weekly Rates'!D:D,A95),0)</f>
        <v>0.120012</v>
      </c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 t="str">
        <f>iferror(VLOOKUP($A95,EAM!A$2:E$14,2,FALSE))</f>
        <v/>
      </c>
      <c r="AT95" s="13"/>
      <c r="AU95" s="13">
        <f>sumif('Weekly Rates'!A:A,A95,'Weekly Rates'!B:B)</f>
        <v>0.226</v>
      </c>
      <c r="AV95" s="13">
        <v>0.0</v>
      </c>
      <c r="AW95" s="13">
        <v>0.0</v>
      </c>
      <c r="AX95" s="13">
        <v>0.0</v>
      </c>
      <c r="AY95" s="13">
        <v>0.0</v>
      </c>
      <c r="AZ95" s="13">
        <v>0.0</v>
      </c>
      <c r="BA95" s="13">
        <v>0.0</v>
      </c>
      <c r="BB95" s="13">
        <v>0.0</v>
      </c>
      <c r="BC95" s="13">
        <v>0.0</v>
      </c>
      <c r="BD95" s="13">
        <v>0.0</v>
      </c>
      <c r="BE95" s="13">
        <v>0.0</v>
      </c>
      <c r="BF95" s="13">
        <v>0.0</v>
      </c>
      <c r="BG95" s="13">
        <v>0.0</v>
      </c>
      <c r="BH95" s="13">
        <v>0.0</v>
      </c>
      <c r="BI95" s="13">
        <v>0.0</v>
      </c>
      <c r="BJ95" s="13">
        <v>0.0</v>
      </c>
      <c r="BK95" s="13">
        <v>0.0</v>
      </c>
      <c r="BL95" s="13">
        <v>0.0</v>
      </c>
      <c r="BM95" s="13">
        <v>0.0</v>
      </c>
      <c r="BN95" s="13">
        <v>0.0</v>
      </c>
      <c r="BO95" s="13">
        <v>0.0</v>
      </c>
      <c r="BP95" s="13">
        <v>0.0</v>
      </c>
      <c r="BQ95" s="13">
        <v>0.0</v>
      </c>
      <c r="BR95" s="13">
        <v>0.0</v>
      </c>
      <c r="BS95" s="13">
        <v>0.0</v>
      </c>
      <c r="BT95" s="13">
        <v>0.0</v>
      </c>
      <c r="BU95" s="13">
        <v>0.0</v>
      </c>
      <c r="BV95" s="13">
        <v>0.0</v>
      </c>
      <c r="BW95" s="13">
        <v>0.0</v>
      </c>
      <c r="BX95" s="13">
        <v>0.0</v>
      </c>
      <c r="BY95" s="13">
        <v>0.0</v>
      </c>
      <c r="BZ95" s="13">
        <v>0.0</v>
      </c>
      <c r="CA95" s="13">
        <v>0.0</v>
      </c>
      <c r="CB95" s="13">
        <v>0.0</v>
      </c>
      <c r="CC95" s="13">
        <v>0.0</v>
      </c>
      <c r="CD95" s="13">
        <v>0.0</v>
      </c>
      <c r="CE95" s="13">
        <v>0.0</v>
      </c>
      <c r="CF95" s="13">
        <v>0.0</v>
      </c>
      <c r="CG95" s="13">
        <v>0.0</v>
      </c>
      <c r="CH95" s="13">
        <v>0.0</v>
      </c>
      <c r="CI95" s="13">
        <v>0.0</v>
      </c>
      <c r="CJ95" s="13">
        <v>0.0</v>
      </c>
      <c r="CK95" s="13">
        <v>0.0</v>
      </c>
      <c r="CL95" s="13">
        <v>0.0</v>
      </c>
      <c r="CM95" s="13">
        <v>0.0</v>
      </c>
      <c r="CN95" s="13">
        <v>0.0</v>
      </c>
      <c r="CO95" s="13">
        <v>0.0</v>
      </c>
      <c r="CP95" s="13">
        <v>0.0</v>
      </c>
      <c r="CQ95" s="13">
        <v>0.0</v>
      </c>
      <c r="CR95" s="13">
        <v>0.0</v>
      </c>
      <c r="CS95" s="13">
        <v>0.0</v>
      </c>
      <c r="CT95" s="13">
        <v>0.0</v>
      </c>
      <c r="CU95" s="13">
        <v>0.0</v>
      </c>
      <c r="CV95" s="13">
        <v>0.0</v>
      </c>
      <c r="CW95" s="13">
        <v>0.0</v>
      </c>
      <c r="CX95" s="13">
        <v>0.0</v>
      </c>
      <c r="CY95" s="13">
        <v>0.0</v>
      </c>
      <c r="CZ95" s="13">
        <v>0.0</v>
      </c>
      <c r="DA95" s="13">
        <v>0.0</v>
      </c>
      <c r="DB95" s="13">
        <v>0.0</v>
      </c>
      <c r="DC95" s="13">
        <v>0.0</v>
      </c>
      <c r="DD95" s="13">
        <v>0.0</v>
      </c>
      <c r="DE95" s="13">
        <v>0.0</v>
      </c>
      <c r="DF95" s="13">
        <v>0.0</v>
      </c>
      <c r="DG95" s="13">
        <v>0.0</v>
      </c>
      <c r="DH95" s="13">
        <v>0.0</v>
      </c>
      <c r="DI95" s="13">
        <v>0.0</v>
      </c>
      <c r="DJ95" s="13">
        <v>0.0</v>
      </c>
      <c r="DK95" s="13">
        <v>0.0</v>
      </c>
      <c r="DL95" s="13">
        <v>0.0</v>
      </c>
      <c r="DM95" s="13">
        <v>0.0</v>
      </c>
      <c r="DN95" s="13">
        <v>0.0</v>
      </c>
      <c r="DO95" s="13">
        <v>0.0</v>
      </c>
      <c r="DP95" s="13">
        <v>0.0</v>
      </c>
      <c r="DQ95" s="13">
        <v>0.0</v>
      </c>
      <c r="DR95" s="13">
        <v>0.0</v>
      </c>
      <c r="DS95" s="13">
        <v>0.0</v>
      </c>
      <c r="DT95" s="13"/>
      <c r="DU95" s="13">
        <v>0.0</v>
      </c>
      <c r="DV95" s="13">
        <v>0.0</v>
      </c>
      <c r="DW95" s="13">
        <v>0.0</v>
      </c>
      <c r="DX95" s="13"/>
      <c r="DY95" s="13">
        <v>0.0</v>
      </c>
      <c r="DZ95" s="13">
        <v>0.0</v>
      </c>
      <c r="EA95" s="13">
        <v>0.0</v>
      </c>
      <c r="EB95" s="13">
        <v>0.0</v>
      </c>
      <c r="EC95" s="13">
        <v>0.0</v>
      </c>
      <c r="ED95" s="13">
        <v>0.0</v>
      </c>
      <c r="EE95" s="13">
        <v>0.0</v>
      </c>
      <c r="EF95" s="13">
        <v>0.0</v>
      </c>
      <c r="EG95" s="13">
        <v>0.0</v>
      </c>
      <c r="EH95" s="13">
        <v>0.0</v>
      </c>
      <c r="EI95" s="13">
        <v>0.0</v>
      </c>
      <c r="EJ95" s="13">
        <v>0.0</v>
      </c>
    </row>
    <row r="96" ht="15.75" customHeight="1">
      <c r="A96" s="7" t="s">
        <v>74</v>
      </c>
      <c r="B96" s="13"/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/>
      <c r="I96" s="16"/>
      <c r="J96" s="13"/>
      <c r="K96" s="13"/>
      <c r="L96" s="13"/>
      <c r="M96" s="13"/>
      <c r="N96" s="13"/>
      <c r="O96" s="13"/>
      <c r="P96" s="13">
        <f t="shared" si="2"/>
        <v>0</v>
      </c>
      <c r="Q96" s="13"/>
      <c r="R96" s="13"/>
      <c r="S96" s="13"/>
      <c r="T96" s="13"/>
      <c r="U96" s="13"/>
      <c r="V96" s="13"/>
      <c r="W96" s="13"/>
      <c r="X96" s="13"/>
      <c r="Y96" s="13">
        <f t="shared" si="3"/>
        <v>0</v>
      </c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 t="str">
        <f>iferror(VLOOKUP($A96,EAM!A$2:E$14,2,FALSE))</f>
        <v/>
      </c>
      <c r="AT96" s="13"/>
      <c r="AU96" s="13"/>
      <c r="AV96" s="13"/>
      <c r="AW96" s="13"/>
      <c r="AX96" s="13"/>
      <c r="AY96" s="13">
        <v>0.0</v>
      </c>
      <c r="AZ96" s="13">
        <v>0.0</v>
      </c>
      <c r="BA96" s="13">
        <v>0.0</v>
      </c>
      <c r="BB96" s="13">
        <v>0.0</v>
      </c>
      <c r="BC96" s="13">
        <v>0.0</v>
      </c>
      <c r="BD96" s="13">
        <v>0.0</v>
      </c>
      <c r="BE96" s="13">
        <v>0.0</v>
      </c>
      <c r="BF96" s="13">
        <v>0.0</v>
      </c>
      <c r="BG96" s="13">
        <v>0.0</v>
      </c>
      <c r="BH96" s="13">
        <v>0.0</v>
      </c>
      <c r="BI96" s="13">
        <v>0.0</v>
      </c>
      <c r="BJ96" s="13">
        <v>0.0</v>
      </c>
      <c r="BK96" s="13">
        <v>0.0</v>
      </c>
      <c r="BL96" s="13">
        <v>0.0</v>
      </c>
      <c r="BM96" s="13">
        <v>0.0</v>
      </c>
      <c r="BN96" s="13">
        <v>0.0</v>
      </c>
      <c r="BO96" s="13">
        <v>0.0</v>
      </c>
      <c r="BP96" s="13">
        <v>0.0</v>
      </c>
      <c r="BQ96" s="13">
        <v>0.0</v>
      </c>
      <c r="BR96" s="13">
        <v>0.0</v>
      </c>
      <c r="BS96" s="13">
        <v>0.0</v>
      </c>
      <c r="BT96" s="13">
        <v>0.0</v>
      </c>
      <c r="BU96" s="13">
        <v>0.0</v>
      </c>
      <c r="BV96" s="13">
        <v>0.0</v>
      </c>
      <c r="BW96" s="13">
        <v>0.0</v>
      </c>
      <c r="BX96" s="13">
        <v>0.0</v>
      </c>
      <c r="BY96" s="13">
        <v>0.0</v>
      </c>
      <c r="BZ96" s="13">
        <v>0.0</v>
      </c>
      <c r="CA96" s="13">
        <v>0.0</v>
      </c>
      <c r="CB96" s="13">
        <v>0.0</v>
      </c>
      <c r="CC96" s="13">
        <v>0.0</v>
      </c>
      <c r="CD96" s="13">
        <v>0.0</v>
      </c>
      <c r="CE96" s="13">
        <v>0.0</v>
      </c>
      <c r="CF96" s="13">
        <v>0.0</v>
      </c>
      <c r="CG96" s="13">
        <v>0.0</v>
      </c>
      <c r="CH96" s="13">
        <v>0.0</v>
      </c>
      <c r="CI96" s="13">
        <v>0.0</v>
      </c>
      <c r="CJ96" s="13">
        <v>0.0</v>
      </c>
      <c r="CK96" s="13">
        <v>0.0</v>
      </c>
      <c r="CL96" s="13">
        <v>0.0</v>
      </c>
      <c r="CM96" s="13">
        <v>0.0</v>
      </c>
      <c r="CN96" s="13">
        <v>0.0</v>
      </c>
      <c r="CO96" s="13">
        <v>0.0</v>
      </c>
      <c r="CP96" s="13">
        <v>0.0</v>
      </c>
      <c r="CQ96" s="13">
        <v>0.0</v>
      </c>
      <c r="CR96" s="13">
        <v>0.0</v>
      </c>
      <c r="CS96" s="13">
        <v>0.0</v>
      </c>
      <c r="CT96" s="13">
        <v>0.0</v>
      </c>
      <c r="CU96" s="13">
        <v>0.0</v>
      </c>
      <c r="CV96" s="13">
        <v>0.0</v>
      </c>
      <c r="CW96" s="13">
        <v>0.0</v>
      </c>
      <c r="CX96" s="13">
        <v>0.0</v>
      </c>
      <c r="CY96" s="13">
        <v>0.0</v>
      </c>
      <c r="CZ96" s="13">
        <v>0.0</v>
      </c>
      <c r="DA96" s="13">
        <v>0.0</v>
      </c>
      <c r="DB96" s="13">
        <v>0.0</v>
      </c>
      <c r="DC96" s="13">
        <v>0.0</v>
      </c>
      <c r="DD96" s="13">
        <v>0.0</v>
      </c>
      <c r="DE96" s="13">
        <v>0.0</v>
      </c>
      <c r="DF96" s="13">
        <v>0.0</v>
      </c>
      <c r="DG96" s="13">
        <v>0.0</v>
      </c>
      <c r="DH96" s="13">
        <v>0.0</v>
      </c>
      <c r="DI96" s="13">
        <v>0.0</v>
      </c>
      <c r="DJ96" s="13">
        <v>0.0</v>
      </c>
      <c r="DK96" s="13">
        <v>0.0</v>
      </c>
      <c r="DL96" s="13">
        <v>0.0</v>
      </c>
      <c r="DM96" s="13">
        <v>0.0</v>
      </c>
      <c r="DN96" s="13">
        <v>0.0</v>
      </c>
      <c r="DO96" s="13">
        <v>0.0</v>
      </c>
      <c r="DP96" s="13">
        <v>0.0</v>
      </c>
      <c r="DQ96" s="13">
        <v>0.0</v>
      </c>
      <c r="DR96" s="13">
        <v>0.0</v>
      </c>
      <c r="DS96" s="13">
        <v>0.0</v>
      </c>
      <c r="DT96" s="13"/>
      <c r="DU96" s="13">
        <v>0.0</v>
      </c>
      <c r="DV96" s="13">
        <v>0.0</v>
      </c>
      <c r="DW96" s="13">
        <v>0.0</v>
      </c>
      <c r="DX96" s="13"/>
      <c r="DY96" s="13">
        <v>0.0</v>
      </c>
      <c r="DZ96" s="13">
        <v>0.0</v>
      </c>
      <c r="EA96" s="13">
        <v>0.0</v>
      </c>
      <c r="EB96" s="13">
        <v>0.0</v>
      </c>
      <c r="EC96" s="13">
        <v>0.0</v>
      </c>
      <c r="ED96" s="13">
        <v>0.0</v>
      </c>
      <c r="EE96" s="13">
        <v>0.0</v>
      </c>
      <c r="EF96" s="13">
        <v>0.0</v>
      </c>
      <c r="EG96" s="13">
        <v>0.0</v>
      </c>
      <c r="EH96" s="13">
        <v>0.0</v>
      </c>
      <c r="EI96" s="13">
        <v>0.0</v>
      </c>
      <c r="EJ96" s="13">
        <v>0.0</v>
      </c>
    </row>
    <row r="97" ht="15.75" customHeight="1">
      <c r="A97" s="9" t="s">
        <v>254</v>
      </c>
      <c r="B97" s="13"/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/>
      <c r="I97" s="16">
        <f>iferror(vlookup(A97,'Inst Lending numbers'!A:D,4,false)," ")</f>
        <v>0.0348</v>
      </c>
      <c r="J97" s="13"/>
      <c r="K97" s="13"/>
      <c r="L97" s="13"/>
      <c r="M97" s="13"/>
      <c r="N97" s="13"/>
      <c r="O97" s="13">
        <f t="shared" ref="O97:O99" si="19">$O$4</f>
        <v>0.03932233526</v>
      </c>
      <c r="P97" s="13">
        <f t="shared" si="2"/>
        <v>0</v>
      </c>
      <c r="Q97" s="13"/>
      <c r="R97" s="13"/>
      <c r="S97" s="13"/>
      <c r="T97" s="13"/>
      <c r="U97" s="13"/>
      <c r="V97" s="13"/>
      <c r="W97" s="13"/>
      <c r="X97" s="13"/>
      <c r="Y97" s="13">
        <f t="shared" si="3"/>
        <v>0</v>
      </c>
      <c r="Z97" s="13"/>
      <c r="AA97" s="13">
        <v>0.0</v>
      </c>
      <c r="AB97" s="13">
        <f t="shared" ref="AB97:AB99" si="20">$AB$4</f>
        <v>0.1957867833</v>
      </c>
      <c r="AC97" s="13"/>
      <c r="AD97" s="13"/>
      <c r="AE97" s="13">
        <f>iferror(sumif('Weekly Rates'!D:D,A97,'Weekly Rates'!F:F)/countif('Weekly Rates'!D:D,A97),0)</f>
        <v>0</v>
      </c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 t="str">
        <f>iferror(VLOOKUP($A97,EAM!A$2:E$14,2,FALSE))</f>
        <v/>
      </c>
      <c r="AT97" s="13"/>
      <c r="AU97" s="13">
        <f>sumif('Weekly Rates'!A:A,A97,'Weekly Rates'!B:B)</f>
        <v>0</v>
      </c>
      <c r="AV97" s="13">
        <v>0.0</v>
      </c>
      <c r="AW97" s="13">
        <v>0.0</v>
      </c>
      <c r="AX97" s="13">
        <v>0.0</v>
      </c>
      <c r="AY97" s="13">
        <v>0.0</v>
      </c>
      <c r="AZ97" s="13">
        <v>0.0</v>
      </c>
      <c r="BA97" s="13">
        <v>0.0</v>
      </c>
      <c r="BB97" s="13">
        <v>0.0</v>
      </c>
      <c r="BC97" s="13">
        <v>0.0</v>
      </c>
      <c r="BD97" s="13">
        <v>0.0</v>
      </c>
      <c r="BE97" s="13">
        <v>0.0</v>
      </c>
      <c r="BF97" s="13">
        <v>0.0</v>
      </c>
      <c r="BG97" s="13">
        <v>0.0</v>
      </c>
      <c r="BH97" s="13">
        <v>0.0</v>
      </c>
      <c r="BI97" s="13">
        <v>0.0</v>
      </c>
      <c r="BJ97" s="13">
        <v>0.0</v>
      </c>
      <c r="BK97" s="13">
        <v>0.0</v>
      </c>
      <c r="BL97" s="13">
        <v>0.0</v>
      </c>
      <c r="BM97" s="13">
        <v>0.0</v>
      </c>
      <c r="BN97" s="13">
        <v>0.0</v>
      </c>
      <c r="BO97" s="13">
        <v>0.0</v>
      </c>
      <c r="BP97" s="13">
        <v>0.0</v>
      </c>
      <c r="BQ97" s="13">
        <v>0.0</v>
      </c>
      <c r="BR97" s="13">
        <v>0.0</v>
      </c>
      <c r="BS97" s="13">
        <v>0.0</v>
      </c>
      <c r="BT97" s="13">
        <v>0.0</v>
      </c>
      <c r="BU97" s="13">
        <v>0.0</v>
      </c>
      <c r="BV97" s="13">
        <v>0.0</v>
      </c>
      <c r="BW97" s="13">
        <v>0.0</v>
      </c>
      <c r="BX97" s="13">
        <v>0.0</v>
      </c>
      <c r="BY97" s="13">
        <v>0.0</v>
      </c>
      <c r="BZ97" s="13">
        <v>0.0</v>
      </c>
      <c r="CA97" s="13">
        <v>0.0</v>
      </c>
      <c r="CB97" s="13">
        <v>0.0</v>
      </c>
      <c r="CC97" s="13">
        <v>0.0</v>
      </c>
      <c r="CD97" s="13">
        <v>0.0</v>
      </c>
      <c r="CE97" s="13">
        <v>0.0</v>
      </c>
      <c r="CF97" s="13">
        <v>0.0</v>
      </c>
      <c r="CG97" s="13">
        <v>0.0</v>
      </c>
      <c r="CH97" s="13">
        <v>0.0</v>
      </c>
      <c r="CI97" s="13">
        <v>0.0</v>
      </c>
      <c r="CJ97" s="13">
        <v>0.0</v>
      </c>
      <c r="CK97" s="13">
        <v>0.0</v>
      </c>
      <c r="CL97" s="13">
        <v>0.0</v>
      </c>
      <c r="CM97" s="13">
        <v>0.0</v>
      </c>
      <c r="CN97" s="13">
        <v>0.0</v>
      </c>
      <c r="CO97" s="13">
        <v>0.0</v>
      </c>
      <c r="CP97" s="13">
        <v>0.0</v>
      </c>
      <c r="CQ97" s="13">
        <v>0.0</v>
      </c>
      <c r="CR97" s="13">
        <v>0.0</v>
      </c>
      <c r="CS97" s="13">
        <v>0.0</v>
      </c>
      <c r="CT97" s="13">
        <v>0.0</v>
      </c>
      <c r="CU97" s="13">
        <v>0.0</v>
      </c>
      <c r="CV97" s="13">
        <v>0.0</v>
      </c>
      <c r="CW97" s="13">
        <v>0.0</v>
      </c>
      <c r="CX97" s="13">
        <v>0.0</v>
      </c>
      <c r="CY97" s="13">
        <v>0.0</v>
      </c>
      <c r="CZ97" s="13">
        <v>0.0</v>
      </c>
      <c r="DA97" s="13">
        <v>0.0</v>
      </c>
      <c r="DB97" s="13">
        <v>0.0</v>
      </c>
      <c r="DC97" s="13">
        <v>0.0</v>
      </c>
      <c r="DD97" s="13">
        <v>0.0</v>
      </c>
      <c r="DE97" s="13">
        <v>0.0</v>
      </c>
      <c r="DF97" s="13">
        <v>0.0</v>
      </c>
      <c r="DG97" s="13">
        <v>0.0</v>
      </c>
      <c r="DH97" s="13">
        <v>0.0</v>
      </c>
      <c r="DI97" s="13">
        <v>0.0</v>
      </c>
      <c r="DJ97" s="13">
        <v>0.0</v>
      </c>
      <c r="DK97" s="13">
        <v>0.0</v>
      </c>
      <c r="DL97" s="13">
        <v>0.0</v>
      </c>
      <c r="DM97" s="13">
        <v>0.0</v>
      </c>
      <c r="DN97" s="13">
        <v>0.0</v>
      </c>
      <c r="DO97" s="13">
        <v>0.0</v>
      </c>
      <c r="DP97" s="13">
        <v>0.0</v>
      </c>
      <c r="DQ97" s="13">
        <v>0.0</v>
      </c>
      <c r="DR97" s="13">
        <v>0.0</v>
      </c>
      <c r="DS97" s="13">
        <v>0.0</v>
      </c>
      <c r="DT97" s="13"/>
      <c r="DU97" s="13">
        <v>0.0</v>
      </c>
      <c r="DV97" s="13">
        <v>0.0</v>
      </c>
      <c r="DW97" s="13">
        <v>0.0</v>
      </c>
      <c r="DX97" s="13"/>
      <c r="DY97" s="13">
        <v>0.0</v>
      </c>
      <c r="DZ97" s="13">
        <v>0.0</v>
      </c>
      <c r="EA97" s="13">
        <v>0.0</v>
      </c>
      <c r="EB97" s="13">
        <v>0.0</v>
      </c>
      <c r="EC97" s="13">
        <v>0.0</v>
      </c>
      <c r="ED97" s="13">
        <v>0.0</v>
      </c>
      <c r="EE97" s="13">
        <v>0.0</v>
      </c>
      <c r="EF97" s="13">
        <v>0.0</v>
      </c>
      <c r="EG97" s="13">
        <v>0.0</v>
      </c>
      <c r="EH97" s="13">
        <v>0.0</v>
      </c>
      <c r="EI97" s="13">
        <v>0.0</v>
      </c>
      <c r="EJ97" s="13">
        <v>0.0</v>
      </c>
    </row>
    <row r="98" ht="15.75" customHeight="1">
      <c r="A98" s="9" t="s">
        <v>255</v>
      </c>
      <c r="B98" s="13"/>
      <c r="C98" s="13">
        <v>0.0</v>
      </c>
      <c r="D98" s="13">
        <v>0.0</v>
      </c>
      <c r="E98" s="13">
        <v>0.0</v>
      </c>
      <c r="F98" s="13">
        <v>0.0</v>
      </c>
      <c r="G98" s="13">
        <v>0.0</v>
      </c>
      <c r="H98" s="13"/>
      <c r="I98" s="16">
        <f>iferror(vlookup(A98,'Inst Lending numbers'!A:D,4,false)," ")</f>
        <v>0.0557</v>
      </c>
      <c r="J98" s="13"/>
      <c r="K98" s="13"/>
      <c r="L98" s="13"/>
      <c r="M98" s="13"/>
      <c r="N98" s="13"/>
      <c r="O98" s="13">
        <f t="shared" si="19"/>
        <v>0.03932233526</v>
      </c>
      <c r="P98" s="13">
        <f t="shared" si="2"/>
        <v>0</v>
      </c>
      <c r="Q98" s="13"/>
      <c r="R98" s="13"/>
      <c r="S98" s="13"/>
      <c r="T98" s="13"/>
      <c r="U98" s="13"/>
      <c r="V98" s="13"/>
      <c r="W98" s="13"/>
      <c r="X98" s="13"/>
      <c r="Y98" s="13">
        <f t="shared" si="3"/>
        <v>0</v>
      </c>
      <c r="Z98" s="13"/>
      <c r="AA98" s="13">
        <v>0.0</v>
      </c>
      <c r="AB98" s="13">
        <f t="shared" si="20"/>
        <v>0.1957867833</v>
      </c>
      <c r="AC98" s="13"/>
      <c r="AD98" s="13"/>
      <c r="AE98" s="13">
        <f>iferror(sumif('Weekly Rates'!D:D,A98,'Weekly Rates'!F:F)/countif('Weekly Rates'!D:D,A98),0)</f>
        <v>0</v>
      </c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 t="str">
        <f>iferror(VLOOKUP($A98,EAM!A$2:E$14,2,FALSE))</f>
        <v/>
      </c>
      <c r="AT98" s="13"/>
      <c r="AU98" s="13">
        <f>sumif('Weekly Rates'!A:A,A98,'Weekly Rates'!B:B)</f>
        <v>0.0486</v>
      </c>
      <c r="AV98" s="13">
        <v>0.0</v>
      </c>
      <c r="AW98" s="13">
        <v>0.0</v>
      </c>
      <c r="AX98" s="13">
        <v>0.0</v>
      </c>
      <c r="AY98" s="13">
        <v>0.0</v>
      </c>
      <c r="AZ98" s="13">
        <v>0.0</v>
      </c>
      <c r="BA98" s="13">
        <v>0.0</v>
      </c>
      <c r="BB98" s="13">
        <v>0.0</v>
      </c>
      <c r="BC98" s="13">
        <v>0.02</v>
      </c>
      <c r="BD98" s="13">
        <v>0.0221</v>
      </c>
      <c r="BE98" s="13">
        <v>0.0</v>
      </c>
      <c r="BF98" s="13">
        <v>0.0</v>
      </c>
      <c r="BG98" s="13">
        <v>0.0</v>
      </c>
      <c r="BH98" s="13">
        <v>0.0</v>
      </c>
      <c r="BI98" s="13">
        <v>0.0</v>
      </c>
      <c r="BJ98" s="13">
        <v>0.0</v>
      </c>
      <c r="BK98" s="13">
        <v>0.0</v>
      </c>
      <c r="BL98" s="13">
        <v>0.0</v>
      </c>
      <c r="BM98" s="13">
        <v>0.0</v>
      </c>
      <c r="BN98" s="13">
        <v>0.0</v>
      </c>
      <c r="BO98" s="13">
        <v>0.0</v>
      </c>
      <c r="BP98" s="13">
        <v>0.0</v>
      </c>
      <c r="BQ98" s="13">
        <v>0.0</v>
      </c>
      <c r="BR98" s="13">
        <v>0.0</v>
      </c>
      <c r="BS98" s="13">
        <v>0.0</v>
      </c>
      <c r="BT98" s="13">
        <v>0.0</v>
      </c>
      <c r="BU98" s="13">
        <v>0.0</v>
      </c>
      <c r="BV98" s="13">
        <v>0.0</v>
      </c>
      <c r="BW98" s="13">
        <v>0.0</v>
      </c>
      <c r="BX98" s="13">
        <v>0.0</v>
      </c>
      <c r="BY98" s="13">
        <v>0.0</v>
      </c>
      <c r="BZ98" s="13">
        <v>0.0</v>
      </c>
      <c r="CA98" s="13">
        <v>0.0</v>
      </c>
      <c r="CB98" s="13">
        <v>0.0</v>
      </c>
      <c r="CC98" s="13">
        <v>0.0</v>
      </c>
      <c r="CD98" s="13">
        <v>0.0</v>
      </c>
      <c r="CE98" s="13">
        <v>0.0</v>
      </c>
      <c r="CF98" s="13">
        <v>0.0</v>
      </c>
      <c r="CG98" s="13">
        <v>0.0</v>
      </c>
      <c r="CH98" s="13">
        <v>0.0</v>
      </c>
      <c r="CI98" s="13">
        <v>0.0</v>
      </c>
      <c r="CJ98" s="13">
        <v>0.0</v>
      </c>
      <c r="CK98" s="13">
        <v>0.0</v>
      </c>
      <c r="CL98" s="13">
        <v>0.0</v>
      </c>
      <c r="CM98" s="13">
        <v>0.0</v>
      </c>
      <c r="CN98" s="13">
        <v>0.0</v>
      </c>
      <c r="CO98" s="13">
        <v>0.0</v>
      </c>
      <c r="CP98" s="13">
        <v>0.0</v>
      </c>
      <c r="CQ98" s="13">
        <v>0.0</v>
      </c>
      <c r="CR98" s="13">
        <v>0.0</v>
      </c>
      <c r="CS98" s="13">
        <v>0.0</v>
      </c>
      <c r="CT98" s="13">
        <v>0.0</v>
      </c>
      <c r="CU98" s="13">
        <v>0.0</v>
      </c>
      <c r="CV98" s="13">
        <v>0.0</v>
      </c>
      <c r="CW98" s="13">
        <v>0.0</v>
      </c>
      <c r="CX98" s="13">
        <v>0.0</v>
      </c>
      <c r="CY98" s="13">
        <v>0.0</v>
      </c>
      <c r="CZ98" s="13">
        <v>0.0</v>
      </c>
      <c r="DA98" s="13">
        <v>0.0</v>
      </c>
      <c r="DB98" s="13">
        <v>0.0</v>
      </c>
      <c r="DC98" s="13">
        <v>0.0</v>
      </c>
      <c r="DD98" s="13">
        <v>0.0</v>
      </c>
      <c r="DE98" s="13">
        <v>0.0</v>
      </c>
      <c r="DF98" s="13">
        <v>0.0</v>
      </c>
      <c r="DG98" s="13">
        <v>0.0</v>
      </c>
      <c r="DH98" s="13">
        <v>0.0</v>
      </c>
      <c r="DI98" s="13">
        <v>0.0</v>
      </c>
      <c r="DJ98" s="13">
        <v>0.0</v>
      </c>
      <c r="DK98" s="13">
        <v>0.0</v>
      </c>
      <c r="DL98" s="13">
        <v>0.0</v>
      </c>
      <c r="DM98" s="13">
        <v>0.0</v>
      </c>
      <c r="DN98" s="13">
        <v>0.0</v>
      </c>
      <c r="DO98" s="13">
        <v>0.0</v>
      </c>
      <c r="DP98" s="13">
        <v>0.0</v>
      </c>
      <c r="DQ98" s="13">
        <v>0.0</v>
      </c>
      <c r="DR98" s="13">
        <v>0.0</v>
      </c>
      <c r="DS98" s="13">
        <v>0.0</v>
      </c>
      <c r="DT98" s="13"/>
      <c r="DU98" s="13">
        <v>0.0</v>
      </c>
      <c r="DV98" s="13">
        <v>0.0</v>
      </c>
      <c r="DW98" s="13">
        <v>0.0</v>
      </c>
      <c r="DX98" s="13"/>
      <c r="DY98" s="13">
        <v>0.0</v>
      </c>
      <c r="DZ98" s="13">
        <v>0.0</v>
      </c>
      <c r="EA98" s="13">
        <v>0.0</v>
      </c>
      <c r="EB98" s="13">
        <v>0.0</v>
      </c>
      <c r="EC98" s="13">
        <v>0.0</v>
      </c>
      <c r="ED98" s="13">
        <v>0.0</v>
      </c>
      <c r="EE98" s="13">
        <v>0.0</v>
      </c>
      <c r="EF98" s="13">
        <v>0.0</v>
      </c>
      <c r="EG98" s="13">
        <v>0.0</v>
      </c>
      <c r="EH98" s="13">
        <v>0.0</v>
      </c>
      <c r="EI98" s="13">
        <v>0.0</v>
      </c>
      <c r="EJ98" s="13">
        <v>0.0</v>
      </c>
    </row>
    <row r="99" ht="15.75" customHeight="1">
      <c r="A99" s="9" t="s">
        <v>256</v>
      </c>
      <c r="B99" s="13"/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/>
      <c r="I99" s="16" t="str">
        <f>iferror(vlookup(A99,'Inst Lending numbers'!A:D,4,false)," ")</f>
        <v> </v>
      </c>
      <c r="J99" s="13"/>
      <c r="K99" s="13"/>
      <c r="L99" s="13">
        <v>0.034</v>
      </c>
      <c r="M99" s="13"/>
      <c r="N99" s="13"/>
      <c r="O99" s="13">
        <f t="shared" si="19"/>
        <v>0.03932233526</v>
      </c>
      <c r="P99" s="13">
        <f t="shared" si="2"/>
        <v>0</v>
      </c>
      <c r="Q99" s="13"/>
      <c r="R99" s="13"/>
      <c r="S99" s="13"/>
      <c r="T99" s="13"/>
      <c r="U99" s="13"/>
      <c r="V99" s="13"/>
      <c r="W99" s="13"/>
      <c r="X99" s="13"/>
      <c r="Y99" s="13">
        <f t="shared" si="3"/>
        <v>0</v>
      </c>
      <c r="Z99" s="13"/>
      <c r="AA99" s="13">
        <v>0.0</v>
      </c>
      <c r="AB99" s="13">
        <f t="shared" si="20"/>
        <v>0.1957867833</v>
      </c>
      <c r="AC99" s="13"/>
      <c r="AD99" s="13"/>
      <c r="AE99" s="13">
        <f>iferror(sumif('Weekly Rates'!D:D,A99,'Weekly Rates'!F:F)/countif('Weekly Rates'!D:D,A99),0)</f>
        <v>0</v>
      </c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 t="str">
        <f>iferror(VLOOKUP($A99,EAM!A$2:E$14,2,FALSE))</f>
        <v/>
      </c>
      <c r="AT99" s="13"/>
      <c r="AU99" s="13">
        <f>sumif('Weekly Rates'!A:A,A99,'Weekly Rates'!B:B)</f>
        <v>0</v>
      </c>
      <c r="AV99" s="13">
        <v>0.0</v>
      </c>
      <c r="AW99" s="13">
        <v>0.0</v>
      </c>
      <c r="AX99" s="13">
        <v>0.0</v>
      </c>
      <c r="AY99" s="13">
        <v>0.0</v>
      </c>
      <c r="AZ99" s="13">
        <v>0.0</v>
      </c>
      <c r="BA99" s="13">
        <v>0.0</v>
      </c>
      <c r="BB99" s="13">
        <v>0.0</v>
      </c>
      <c r="BC99" s="13">
        <v>0.0</v>
      </c>
      <c r="BD99" s="13">
        <v>0.0</v>
      </c>
      <c r="BE99" s="13">
        <v>0.0</v>
      </c>
      <c r="BF99" s="13">
        <v>0.0</v>
      </c>
      <c r="BG99" s="13">
        <v>0.0</v>
      </c>
      <c r="BH99" s="13">
        <v>0.0</v>
      </c>
      <c r="BI99" s="13">
        <v>0.0</v>
      </c>
      <c r="BJ99" s="13">
        <v>0.0</v>
      </c>
      <c r="BK99" s="13">
        <v>0.0</v>
      </c>
      <c r="BL99" s="13">
        <v>0.0</v>
      </c>
      <c r="BM99" s="13">
        <v>0.0</v>
      </c>
      <c r="BN99" s="13">
        <v>0.0</v>
      </c>
      <c r="BO99" s="13">
        <v>0.0</v>
      </c>
      <c r="BP99" s="13">
        <v>0.0</v>
      </c>
      <c r="BQ99" s="13">
        <v>0.0</v>
      </c>
      <c r="BR99" s="13">
        <v>0.0</v>
      </c>
      <c r="BS99" s="13">
        <v>0.0</v>
      </c>
      <c r="BT99" s="13">
        <v>0.0</v>
      </c>
      <c r="BU99" s="13">
        <v>0.0</v>
      </c>
      <c r="BV99" s="13">
        <v>0.0</v>
      </c>
      <c r="BW99" s="13">
        <v>0.0</v>
      </c>
      <c r="BX99" s="13">
        <v>0.0</v>
      </c>
      <c r="BY99" s="13">
        <v>0.0</v>
      </c>
      <c r="BZ99" s="13">
        <v>0.0</v>
      </c>
      <c r="CA99" s="13">
        <v>0.0</v>
      </c>
      <c r="CB99" s="13">
        <v>0.0</v>
      </c>
      <c r="CC99" s="13">
        <v>0.0</v>
      </c>
      <c r="CD99" s="13">
        <v>0.0</v>
      </c>
      <c r="CE99" s="13">
        <v>0.0</v>
      </c>
      <c r="CF99" s="13">
        <v>0.0</v>
      </c>
      <c r="CG99" s="13">
        <v>0.0</v>
      </c>
      <c r="CH99" s="13">
        <v>0.0</v>
      </c>
      <c r="CI99" s="13">
        <v>0.0</v>
      </c>
      <c r="CJ99" s="13">
        <v>0.0</v>
      </c>
      <c r="CK99" s="13">
        <v>0.0</v>
      </c>
      <c r="CL99" s="13">
        <v>0.0</v>
      </c>
      <c r="CM99" s="13">
        <v>0.0</v>
      </c>
      <c r="CN99" s="13">
        <v>0.0</v>
      </c>
      <c r="CO99" s="13">
        <v>0.0</v>
      </c>
      <c r="CP99" s="13">
        <v>0.0</v>
      </c>
      <c r="CQ99" s="13">
        <v>0.0</v>
      </c>
      <c r="CR99" s="13">
        <v>0.0</v>
      </c>
      <c r="CS99" s="13">
        <v>0.0</v>
      </c>
      <c r="CT99" s="13">
        <v>0.0</v>
      </c>
      <c r="CU99" s="13">
        <v>0.0</v>
      </c>
      <c r="CV99" s="13">
        <v>0.0</v>
      </c>
      <c r="CW99" s="13">
        <v>0.0</v>
      </c>
      <c r="CX99" s="13">
        <v>0.0</v>
      </c>
      <c r="CY99" s="13">
        <v>0.0</v>
      </c>
      <c r="CZ99" s="13">
        <v>0.0</v>
      </c>
      <c r="DA99" s="13">
        <v>0.0</v>
      </c>
      <c r="DB99" s="13">
        <v>0.0</v>
      </c>
      <c r="DC99" s="13">
        <v>0.0</v>
      </c>
      <c r="DD99" s="13">
        <v>0.0</v>
      </c>
      <c r="DE99" s="13">
        <v>0.0</v>
      </c>
      <c r="DF99" s="13">
        <v>0.0</v>
      </c>
      <c r="DG99" s="13">
        <v>0.0</v>
      </c>
      <c r="DH99" s="13">
        <v>0.0</v>
      </c>
      <c r="DI99" s="13">
        <v>0.0</v>
      </c>
      <c r="DJ99" s="13">
        <v>0.0</v>
      </c>
      <c r="DK99" s="13">
        <v>0.0</v>
      </c>
      <c r="DL99" s="13">
        <v>0.0</v>
      </c>
      <c r="DM99" s="13">
        <v>0.0</v>
      </c>
      <c r="DN99" s="13">
        <v>0.0</v>
      </c>
      <c r="DO99" s="13">
        <v>0.0</v>
      </c>
      <c r="DP99" s="13">
        <v>0.0</v>
      </c>
      <c r="DQ99" s="13">
        <v>0.0</v>
      </c>
      <c r="DR99" s="13">
        <v>0.0</v>
      </c>
      <c r="DS99" s="13">
        <v>0.0</v>
      </c>
      <c r="DT99" s="13"/>
      <c r="DU99" s="13">
        <v>0.0</v>
      </c>
      <c r="DV99" s="13">
        <v>0.0</v>
      </c>
      <c r="DW99" s="13">
        <v>0.0</v>
      </c>
      <c r="DX99" s="13"/>
      <c r="DY99" s="13">
        <v>0.0</v>
      </c>
      <c r="DZ99" s="13">
        <v>0.0</v>
      </c>
      <c r="EA99" s="13">
        <v>0.0</v>
      </c>
      <c r="EB99" s="13">
        <v>0.0</v>
      </c>
      <c r="EC99" s="13">
        <v>0.0</v>
      </c>
      <c r="ED99" s="13">
        <v>0.0</v>
      </c>
      <c r="EE99" s="13">
        <v>0.0</v>
      </c>
      <c r="EF99" s="13">
        <v>0.0</v>
      </c>
      <c r="EG99" s="13">
        <v>0.0</v>
      </c>
      <c r="EH99" s="13">
        <v>0.0</v>
      </c>
      <c r="EI99" s="13">
        <v>0.0</v>
      </c>
      <c r="EJ99" s="13">
        <v>0.0</v>
      </c>
    </row>
    <row r="100" ht="15.75" customHeight="1">
      <c r="Y100" s="13">
        <f t="shared" si="3"/>
        <v>0</v>
      </c>
      <c r="AE100" s="13"/>
      <c r="AS100" s="13" t="str">
        <f>iferror(VLOOKUP($A100,EAM!H$2:I$14,2,FALSE))</f>
        <v/>
      </c>
      <c r="AU100" s="13">
        <f>sumif('Weekly Rates'!A:A,A100,'Weekly Rates'!B:B)</f>
        <v>0</v>
      </c>
      <c r="AW100" s="13">
        <v>0.0</v>
      </c>
      <c r="AY100" s="13">
        <v>0.0</v>
      </c>
      <c r="AZ100" s="13">
        <v>0.0</v>
      </c>
      <c r="BA100" s="13">
        <v>0.0</v>
      </c>
      <c r="BB100" s="13">
        <v>0.0</v>
      </c>
      <c r="BC100" s="13">
        <v>0.0</v>
      </c>
      <c r="BD100" s="13">
        <v>0.0</v>
      </c>
      <c r="BE100" s="13">
        <v>0.0</v>
      </c>
      <c r="BF100" s="13">
        <v>0.0</v>
      </c>
      <c r="BG100" s="13">
        <v>0.0</v>
      </c>
      <c r="BH100" s="13">
        <v>0.0</v>
      </c>
      <c r="BI100" s="13">
        <v>0.0</v>
      </c>
      <c r="BJ100" s="13">
        <v>0.0</v>
      </c>
      <c r="BK100" s="13">
        <v>0.0</v>
      </c>
      <c r="BL100" s="13">
        <v>0.0</v>
      </c>
      <c r="BM100" s="13">
        <v>0.0</v>
      </c>
      <c r="BN100" s="13">
        <v>0.0</v>
      </c>
      <c r="BO100" s="13">
        <v>0.0</v>
      </c>
      <c r="BP100" s="13">
        <v>0.0</v>
      </c>
      <c r="BQ100" s="13">
        <v>0.0</v>
      </c>
      <c r="BR100" s="13">
        <v>0.0</v>
      </c>
      <c r="BS100" s="13">
        <v>0.0</v>
      </c>
      <c r="BT100" s="13">
        <v>0.0</v>
      </c>
      <c r="BU100" s="13">
        <v>0.0</v>
      </c>
      <c r="BV100" s="13">
        <v>0.0</v>
      </c>
      <c r="BW100" s="13">
        <v>0.0</v>
      </c>
      <c r="BX100" s="13">
        <v>0.0</v>
      </c>
      <c r="BY100" s="13">
        <v>0.0</v>
      </c>
      <c r="BZ100" s="13">
        <v>0.0</v>
      </c>
      <c r="CA100" s="13">
        <v>0.0</v>
      </c>
      <c r="CB100" s="13">
        <v>0.0</v>
      </c>
      <c r="CC100" s="13">
        <v>0.0</v>
      </c>
      <c r="CD100" s="13">
        <v>0.0</v>
      </c>
      <c r="CE100" s="13">
        <v>0.0</v>
      </c>
      <c r="CF100" s="13">
        <v>0.0</v>
      </c>
      <c r="CG100" s="13">
        <v>0.0</v>
      </c>
      <c r="CH100" s="13">
        <v>0.0</v>
      </c>
      <c r="CI100" s="13">
        <v>0.0</v>
      </c>
      <c r="CJ100" s="13">
        <v>0.0</v>
      </c>
      <c r="CK100" s="13">
        <v>0.0</v>
      </c>
      <c r="CL100" s="13">
        <v>0.0</v>
      </c>
      <c r="CM100" s="13">
        <v>0.0</v>
      </c>
      <c r="CN100" s="13">
        <v>0.0</v>
      </c>
      <c r="CO100" s="13">
        <v>0.0</v>
      </c>
      <c r="CP100" s="13">
        <v>0.0</v>
      </c>
      <c r="CQ100" s="13">
        <v>0.0</v>
      </c>
      <c r="CR100" s="13">
        <v>0.0</v>
      </c>
      <c r="CS100" s="13">
        <v>0.0</v>
      </c>
      <c r="CT100" s="13">
        <v>0.0</v>
      </c>
      <c r="CU100" s="13">
        <v>0.0</v>
      </c>
      <c r="CV100" s="13">
        <v>0.0</v>
      </c>
      <c r="CW100" s="13">
        <v>0.0</v>
      </c>
      <c r="CX100" s="13">
        <v>0.0</v>
      </c>
      <c r="CY100" s="13">
        <v>0.0</v>
      </c>
      <c r="CZ100" s="13">
        <v>0.0</v>
      </c>
      <c r="DA100" s="13">
        <v>0.0</v>
      </c>
      <c r="DB100" s="13">
        <v>0.0</v>
      </c>
      <c r="DC100" s="13">
        <v>0.0</v>
      </c>
      <c r="DD100" s="13">
        <v>0.0</v>
      </c>
      <c r="DE100" s="13">
        <v>0.0</v>
      </c>
      <c r="DF100" s="13">
        <v>0.0</v>
      </c>
      <c r="DG100" s="13">
        <v>0.0</v>
      </c>
      <c r="DH100" s="13">
        <v>0.0</v>
      </c>
      <c r="DI100" s="13">
        <v>0.0</v>
      </c>
      <c r="DJ100" s="13">
        <v>0.0</v>
      </c>
      <c r="DK100" s="13">
        <v>0.0</v>
      </c>
      <c r="DL100" s="13">
        <v>0.0</v>
      </c>
      <c r="DM100" s="13">
        <v>0.0</v>
      </c>
      <c r="DN100" s="13">
        <v>0.0</v>
      </c>
      <c r="DO100" s="13">
        <v>0.0</v>
      </c>
      <c r="DP100" s="13">
        <v>0.0</v>
      </c>
      <c r="DQ100" s="13">
        <v>0.0</v>
      </c>
      <c r="DR100" s="13">
        <v>0.0</v>
      </c>
      <c r="DS100" s="13">
        <v>0.0</v>
      </c>
      <c r="DU100" s="13">
        <v>0.0</v>
      </c>
      <c r="DV100" s="13">
        <v>0.0</v>
      </c>
      <c r="DW100" s="13">
        <v>0.0</v>
      </c>
      <c r="DY100" s="13">
        <v>0.0</v>
      </c>
      <c r="DZ100" s="13">
        <v>0.0</v>
      </c>
      <c r="EA100" s="13">
        <v>0.0</v>
      </c>
      <c r="EB100" s="13">
        <v>0.0</v>
      </c>
      <c r="EC100" s="13">
        <v>0.0</v>
      </c>
      <c r="ED100" s="13">
        <v>0.0</v>
      </c>
      <c r="EE100" s="13">
        <v>0.0</v>
      </c>
      <c r="EF100" s="13">
        <v>0.0</v>
      </c>
      <c r="EG100" s="13">
        <v>0.0</v>
      </c>
      <c r="EH100" s="13">
        <v>0.0</v>
      </c>
      <c r="EI100" s="13">
        <v>0.0</v>
      </c>
      <c r="EJ100" s="13">
        <v>0.0</v>
      </c>
    </row>
    <row r="101" ht="15.75" customHeight="1">
      <c r="Y101" s="13">
        <f t="shared" si="3"/>
        <v>0</v>
      </c>
      <c r="AE101" s="13"/>
      <c r="AS101" s="13" t="str">
        <f>iferror(VLOOKUP($A101,EAM!H$2:I$14,2,FALSE))</f>
        <v/>
      </c>
      <c r="AU101" s="13">
        <f>sumif('Weekly Rates'!A:A,A101,'Weekly Rates'!B:B)</f>
        <v>0</v>
      </c>
      <c r="AW101" s="13">
        <v>0.0</v>
      </c>
      <c r="AY101" s="13">
        <v>0.0</v>
      </c>
      <c r="AZ101" s="13">
        <v>0.0</v>
      </c>
      <c r="BA101" s="13">
        <v>0.0</v>
      </c>
      <c r="BB101" s="13">
        <v>0.0</v>
      </c>
      <c r="BC101" s="13">
        <v>0.0</v>
      </c>
      <c r="BD101" s="13">
        <v>0.0</v>
      </c>
      <c r="BE101" s="13">
        <v>0.0</v>
      </c>
      <c r="BF101" s="13">
        <v>0.0</v>
      </c>
      <c r="BG101" s="13">
        <v>0.0</v>
      </c>
      <c r="BH101" s="13">
        <v>0.0</v>
      </c>
      <c r="BI101" s="13">
        <v>0.0</v>
      </c>
      <c r="BJ101" s="13">
        <v>0.0</v>
      </c>
      <c r="BK101" s="13">
        <v>0.0</v>
      </c>
      <c r="BL101" s="13">
        <v>0.0</v>
      </c>
      <c r="BM101" s="13">
        <v>0.0</v>
      </c>
      <c r="BN101" s="13">
        <v>0.0</v>
      </c>
      <c r="BO101" s="13">
        <v>0.0</v>
      </c>
      <c r="BP101" s="13">
        <v>0.0</v>
      </c>
      <c r="BQ101" s="13">
        <v>0.0</v>
      </c>
      <c r="BR101" s="13">
        <v>0.0</v>
      </c>
      <c r="BS101" s="13">
        <v>0.0</v>
      </c>
      <c r="BT101" s="13">
        <v>0.0</v>
      </c>
      <c r="BU101" s="13">
        <v>0.0</v>
      </c>
      <c r="BV101" s="13">
        <v>0.0</v>
      </c>
      <c r="BW101" s="13">
        <v>0.0</v>
      </c>
      <c r="BX101" s="13">
        <v>0.0</v>
      </c>
      <c r="BY101" s="13">
        <v>0.0</v>
      </c>
      <c r="BZ101" s="13">
        <v>0.0</v>
      </c>
      <c r="CA101" s="13">
        <v>0.0</v>
      </c>
      <c r="CB101" s="13">
        <v>0.0</v>
      </c>
      <c r="CC101" s="13">
        <v>0.0</v>
      </c>
      <c r="CD101" s="13">
        <v>0.0</v>
      </c>
      <c r="CE101" s="13">
        <v>0.0</v>
      </c>
      <c r="CF101" s="13">
        <v>0.0</v>
      </c>
      <c r="CG101" s="13">
        <v>0.0</v>
      </c>
      <c r="CH101" s="13">
        <v>0.0</v>
      </c>
      <c r="CI101" s="13">
        <v>0.0</v>
      </c>
      <c r="CJ101" s="13">
        <v>0.0</v>
      </c>
      <c r="CK101" s="13">
        <v>0.0</v>
      </c>
      <c r="CL101" s="13">
        <v>0.0</v>
      </c>
      <c r="CM101" s="13">
        <v>0.0</v>
      </c>
      <c r="CN101" s="13">
        <v>0.0</v>
      </c>
      <c r="CO101" s="13">
        <v>0.0</v>
      </c>
      <c r="CP101" s="13">
        <v>0.0</v>
      </c>
      <c r="CQ101" s="13">
        <v>0.0</v>
      </c>
      <c r="CR101" s="13">
        <v>0.0</v>
      </c>
      <c r="CS101" s="13">
        <v>0.0</v>
      </c>
      <c r="CT101" s="13">
        <v>0.0</v>
      </c>
      <c r="CU101" s="13">
        <v>0.0</v>
      </c>
      <c r="CV101" s="13">
        <v>0.0</v>
      </c>
      <c r="CW101" s="13">
        <v>0.0</v>
      </c>
      <c r="CX101" s="13">
        <v>0.0</v>
      </c>
      <c r="CY101" s="13">
        <v>0.0</v>
      </c>
      <c r="CZ101" s="13">
        <v>0.0</v>
      </c>
      <c r="DA101" s="13">
        <v>0.0</v>
      </c>
      <c r="DB101" s="13">
        <v>0.0</v>
      </c>
      <c r="DC101" s="13">
        <v>0.0</v>
      </c>
      <c r="DD101" s="13">
        <v>0.0</v>
      </c>
      <c r="DE101" s="13">
        <v>0.0</v>
      </c>
      <c r="DF101" s="13">
        <v>0.0</v>
      </c>
      <c r="DG101" s="13">
        <v>0.0</v>
      </c>
      <c r="DH101" s="13">
        <v>0.0</v>
      </c>
      <c r="DI101" s="13">
        <v>0.0</v>
      </c>
      <c r="DJ101" s="13">
        <v>0.0</v>
      </c>
      <c r="DK101" s="13">
        <v>0.0</v>
      </c>
      <c r="DL101" s="13">
        <v>0.0</v>
      </c>
      <c r="DM101" s="13">
        <v>0.0</v>
      </c>
      <c r="DN101" s="13">
        <v>0.0</v>
      </c>
      <c r="DO101" s="13">
        <v>0.0</v>
      </c>
      <c r="DP101" s="13">
        <v>0.0</v>
      </c>
      <c r="DQ101" s="13">
        <v>0.0</v>
      </c>
      <c r="DR101" s="13">
        <v>0.0</v>
      </c>
      <c r="DS101" s="13">
        <v>0.0</v>
      </c>
      <c r="DU101" s="13">
        <v>0.0</v>
      </c>
      <c r="DV101" s="13">
        <v>0.0</v>
      </c>
      <c r="DW101" s="13">
        <v>0.0</v>
      </c>
      <c r="DY101" s="13">
        <v>0.0</v>
      </c>
      <c r="DZ101" s="13">
        <v>0.0</v>
      </c>
      <c r="EA101" s="13">
        <v>0.0</v>
      </c>
      <c r="EB101" s="13">
        <v>0.0</v>
      </c>
      <c r="EC101" s="13">
        <v>0.0</v>
      </c>
      <c r="ED101" s="13">
        <v>0.0</v>
      </c>
      <c r="EE101" s="13">
        <v>0.0</v>
      </c>
      <c r="EF101" s="13">
        <v>0.0</v>
      </c>
      <c r="EG101" s="13">
        <v>0.0</v>
      </c>
      <c r="EH101" s="13">
        <v>0.0</v>
      </c>
      <c r="EI101" s="13">
        <v>0.0</v>
      </c>
      <c r="EJ101" s="13">
        <v>0.0</v>
      </c>
    </row>
    <row r="102" ht="15.75" customHeight="1">
      <c r="Y102" s="13">
        <f t="shared" si="3"/>
        <v>0</v>
      </c>
      <c r="AS102" s="13" t="str">
        <f>iferror(VLOOKUP($A102,EAM!H$2:I$14,2,FALSE))</f>
        <v/>
      </c>
      <c r="AU102" s="13">
        <f>sumif('Weekly Rates'!A:A,A102,'Weekly Rates'!B:B)</f>
        <v>0</v>
      </c>
      <c r="AW102" s="13">
        <v>0.0</v>
      </c>
      <c r="AY102" s="13">
        <v>0.0</v>
      </c>
      <c r="AZ102" s="13">
        <v>0.0</v>
      </c>
      <c r="BA102" s="13">
        <v>0.0</v>
      </c>
      <c r="BB102" s="13">
        <v>0.0</v>
      </c>
      <c r="BC102" s="13">
        <v>0.0</v>
      </c>
      <c r="BD102" s="13">
        <v>0.0</v>
      </c>
      <c r="BE102" s="13">
        <v>0.0</v>
      </c>
      <c r="BF102" s="13">
        <v>0.0</v>
      </c>
      <c r="BG102" s="13">
        <v>0.0</v>
      </c>
      <c r="BH102" s="13">
        <v>0.0</v>
      </c>
      <c r="BI102" s="13">
        <v>0.0</v>
      </c>
      <c r="BJ102" s="13">
        <v>0.0</v>
      </c>
      <c r="BK102" s="13">
        <v>0.0</v>
      </c>
      <c r="BL102" s="13">
        <v>0.0</v>
      </c>
      <c r="BM102" s="13">
        <v>0.0</v>
      </c>
      <c r="BN102" s="13">
        <v>0.0</v>
      </c>
      <c r="BO102" s="13">
        <v>0.0</v>
      </c>
      <c r="BP102" s="13">
        <v>0.0</v>
      </c>
      <c r="BQ102" s="13">
        <v>0.0</v>
      </c>
      <c r="BR102" s="13">
        <v>0.0</v>
      </c>
      <c r="BS102" s="13">
        <v>0.0</v>
      </c>
      <c r="BT102" s="13">
        <v>0.0</v>
      </c>
      <c r="BU102" s="13">
        <v>0.0</v>
      </c>
      <c r="BV102" s="13">
        <v>0.0</v>
      </c>
      <c r="BW102" s="13">
        <v>0.0</v>
      </c>
      <c r="BX102" s="13">
        <v>0.0</v>
      </c>
      <c r="BY102" s="13">
        <v>0.0</v>
      </c>
      <c r="BZ102" s="13">
        <v>0.0</v>
      </c>
      <c r="CA102" s="13">
        <v>0.0</v>
      </c>
      <c r="CB102" s="13">
        <v>0.0</v>
      </c>
      <c r="CC102" s="13">
        <v>0.0</v>
      </c>
      <c r="CD102" s="13">
        <v>0.0</v>
      </c>
      <c r="CE102" s="13">
        <v>0.0</v>
      </c>
      <c r="CF102" s="13">
        <v>0.0</v>
      </c>
      <c r="CG102" s="13">
        <v>0.0</v>
      </c>
      <c r="CH102" s="13">
        <v>0.0</v>
      </c>
      <c r="CI102" s="13">
        <v>0.0</v>
      </c>
      <c r="CJ102" s="13">
        <v>0.0</v>
      </c>
      <c r="CK102" s="13">
        <v>0.0</v>
      </c>
      <c r="CL102" s="13">
        <v>0.0</v>
      </c>
      <c r="CM102" s="13">
        <v>0.0</v>
      </c>
      <c r="CN102" s="13">
        <v>0.0</v>
      </c>
      <c r="CO102" s="13">
        <v>0.0</v>
      </c>
      <c r="CP102" s="13">
        <v>0.0</v>
      </c>
      <c r="CQ102" s="13">
        <v>0.0</v>
      </c>
      <c r="CR102" s="13">
        <v>0.0</v>
      </c>
      <c r="CS102" s="13">
        <v>0.0</v>
      </c>
      <c r="CT102" s="13">
        <v>0.0</v>
      </c>
      <c r="CU102" s="13">
        <v>0.0</v>
      </c>
      <c r="CV102" s="13">
        <v>0.0</v>
      </c>
      <c r="CW102" s="13">
        <v>0.0</v>
      </c>
      <c r="CX102" s="13">
        <v>0.0</v>
      </c>
      <c r="CY102" s="13">
        <v>0.0</v>
      </c>
      <c r="CZ102" s="13">
        <v>0.0</v>
      </c>
      <c r="DA102" s="13">
        <v>0.0</v>
      </c>
      <c r="DB102" s="13">
        <v>0.0</v>
      </c>
      <c r="DC102" s="13">
        <v>0.0</v>
      </c>
      <c r="DD102" s="13">
        <v>0.0</v>
      </c>
      <c r="DE102" s="13">
        <v>0.0</v>
      </c>
      <c r="DF102" s="13">
        <v>0.0</v>
      </c>
      <c r="DG102" s="13">
        <v>0.0</v>
      </c>
      <c r="DH102" s="13">
        <v>0.0</v>
      </c>
      <c r="DI102" s="13">
        <v>0.0</v>
      </c>
      <c r="DJ102" s="13">
        <v>0.0</v>
      </c>
      <c r="DK102" s="13">
        <v>0.0</v>
      </c>
      <c r="DL102" s="13">
        <v>0.0</v>
      </c>
      <c r="DM102" s="13">
        <v>0.0</v>
      </c>
      <c r="DN102" s="13">
        <v>0.0</v>
      </c>
      <c r="DO102" s="13">
        <v>0.0</v>
      </c>
      <c r="DP102" s="13">
        <v>0.0</v>
      </c>
      <c r="DQ102" s="13">
        <v>0.0</v>
      </c>
      <c r="DR102" s="13">
        <v>0.0</v>
      </c>
      <c r="DS102" s="13">
        <v>0.0</v>
      </c>
      <c r="DU102" s="13">
        <v>0.0</v>
      </c>
      <c r="DV102" s="13">
        <v>0.0</v>
      </c>
      <c r="DW102" s="13">
        <v>0.0</v>
      </c>
      <c r="DY102" s="13">
        <v>0.0</v>
      </c>
      <c r="DZ102" s="13">
        <v>0.0</v>
      </c>
      <c r="EA102" s="13">
        <v>0.0</v>
      </c>
      <c r="EB102" s="13">
        <v>0.0</v>
      </c>
      <c r="EC102" s="13">
        <v>0.0</v>
      </c>
      <c r="ED102" s="13">
        <v>0.0</v>
      </c>
      <c r="EE102" s="13">
        <v>0.0</v>
      </c>
      <c r="EF102" s="13">
        <v>0.0</v>
      </c>
      <c r="EG102" s="13">
        <v>0.0</v>
      </c>
      <c r="EH102" s="13">
        <v>0.0</v>
      </c>
      <c r="EI102" s="13">
        <v>0.0</v>
      </c>
      <c r="EJ102" s="13">
        <v>0.0</v>
      </c>
    </row>
    <row r="103" ht="15.75" customHeight="1">
      <c r="AS103" s="13" t="str">
        <f>iferror(VLOOKUP($A103,EAM!H$2:I$14,2,FALSE))</f>
        <v/>
      </c>
      <c r="AU103" s="13">
        <f>sumif('Weekly Rates'!A:A,A103,'Weekly Rates'!B:B)</f>
        <v>0</v>
      </c>
      <c r="AW103" s="13">
        <v>0.0</v>
      </c>
      <c r="AY103" s="13">
        <v>0.0</v>
      </c>
      <c r="AZ103" s="13">
        <v>0.0</v>
      </c>
      <c r="BA103" s="13">
        <v>0.0</v>
      </c>
      <c r="BB103" s="13">
        <v>0.0</v>
      </c>
      <c r="BC103" s="13">
        <v>0.0</v>
      </c>
      <c r="BD103" s="13">
        <v>0.0</v>
      </c>
      <c r="BE103" s="13">
        <v>0.0</v>
      </c>
      <c r="BF103" s="13">
        <v>0.0</v>
      </c>
      <c r="BG103" s="13">
        <v>0.0</v>
      </c>
      <c r="BH103" s="13">
        <v>0.0</v>
      </c>
      <c r="BI103" s="13">
        <v>0.0</v>
      </c>
      <c r="BJ103" s="13">
        <v>0.0</v>
      </c>
      <c r="BK103" s="13">
        <v>0.0</v>
      </c>
      <c r="BL103" s="13">
        <v>0.0</v>
      </c>
      <c r="BM103" s="13">
        <v>0.0</v>
      </c>
      <c r="BN103" s="13">
        <v>0.0</v>
      </c>
      <c r="BO103" s="13">
        <v>0.0</v>
      </c>
      <c r="BP103" s="13">
        <v>0.0</v>
      </c>
      <c r="BQ103" s="13">
        <v>0.0</v>
      </c>
      <c r="BR103" s="13">
        <v>0.0</v>
      </c>
      <c r="BS103" s="13">
        <v>0.0</v>
      </c>
      <c r="BT103" s="13">
        <v>0.0</v>
      </c>
      <c r="BU103" s="13">
        <v>0.0</v>
      </c>
      <c r="BV103" s="13">
        <v>0.0</v>
      </c>
      <c r="BW103" s="13">
        <v>0.0</v>
      </c>
      <c r="BX103" s="13">
        <v>0.0</v>
      </c>
      <c r="BY103" s="13">
        <v>0.0</v>
      </c>
      <c r="BZ103" s="13">
        <v>0.0</v>
      </c>
      <c r="CA103" s="13">
        <v>0.0</v>
      </c>
      <c r="CB103" s="13">
        <v>0.0</v>
      </c>
      <c r="CC103" s="13">
        <v>0.0</v>
      </c>
      <c r="CD103" s="13">
        <v>0.0</v>
      </c>
      <c r="CE103" s="13">
        <v>0.0</v>
      </c>
      <c r="CF103" s="13">
        <v>0.0</v>
      </c>
      <c r="CG103" s="13">
        <v>0.0</v>
      </c>
      <c r="CH103" s="13">
        <v>0.0</v>
      </c>
      <c r="CI103" s="13">
        <v>0.0</v>
      </c>
      <c r="CJ103" s="13">
        <v>0.0</v>
      </c>
      <c r="CK103" s="13">
        <v>0.0</v>
      </c>
      <c r="CL103" s="13">
        <v>0.0</v>
      </c>
      <c r="CM103" s="13">
        <v>0.0</v>
      </c>
      <c r="CN103" s="13">
        <v>0.0</v>
      </c>
      <c r="CO103" s="13">
        <v>0.0</v>
      </c>
      <c r="CP103" s="13">
        <v>0.0</v>
      </c>
      <c r="CQ103" s="13">
        <v>0.0</v>
      </c>
      <c r="CR103" s="13">
        <v>0.0</v>
      </c>
      <c r="CS103" s="13">
        <v>0.0</v>
      </c>
      <c r="CT103" s="13">
        <v>0.0</v>
      </c>
      <c r="CU103" s="13">
        <v>0.0</v>
      </c>
      <c r="CV103" s="13">
        <v>0.0</v>
      </c>
      <c r="CW103" s="13">
        <v>0.0</v>
      </c>
      <c r="CX103" s="13">
        <v>0.0</v>
      </c>
      <c r="CY103" s="13">
        <v>0.0</v>
      </c>
      <c r="CZ103" s="13">
        <v>0.0</v>
      </c>
      <c r="DA103" s="13">
        <v>0.0</v>
      </c>
      <c r="DB103" s="13">
        <v>0.0</v>
      </c>
      <c r="DC103" s="13">
        <v>0.0</v>
      </c>
      <c r="DD103" s="13">
        <v>0.0</v>
      </c>
      <c r="DE103" s="13">
        <v>0.0</v>
      </c>
      <c r="DF103" s="13">
        <v>0.0</v>
      </c>
      <c r="DG103" s="13">
        <v>0.0</v>
      </c>
      <c r="DH103" s="13">
        <v>0.0</v>
      </c>
      <c r="DI103" s="13">
        <v>0.0</v>
      </c>
      <c r="DJ103" s="13">
        <v>0.0</v>
      </c>
      <c r="DK103" s="13">
        <v>0.0</v>
      </c>
      <c r="DL103" s="13">
        <v>0.0</v>
      </c>
      <c r="DM103" s="13">
        <v>0.0</v>
      </c>
      <c r="DN103" s="13">
        <v>0.0</v>
      </c>
      <c r="DO103" s="13">
        <v>0.0</v>
      </c>
      <c r="DP103" s="13">
        <v>0.0</v>
      </c>
      <c r="DQ103" s="13">
        <v>0.0</v>
      </c>
      <c r="DR103" s="13">
        <v>0.0</v>
      </c>
      <c r="DS103" s="13">
        <v>0.0</v>
      </c>
      <c r="DT103" s="13">
        <v>0.0</v>
      </c>
      <c r="DU103" s="13">
        <v>0.0</v>
      </c>
      <c r="DV103" s="13">
        <v>0.0</v>
      </c>
      <c r="DW103" s="13">
        <v>0.0</v>
      </c>
      <c r="DX103" s="13">
        <v>0.0</v>
      </c>
      <c r="DY103" s="13">
        <v>0.0</v>
      </c>
      <c r="DZ103" s="13">
        <v>0.0</v>
      </c>
      <c r="EA103" s="13">
        <v>0.0</v>
      </c>
      <c r="EB103" s="13">
        <v>0.0</v>
      </c>
      <c r="EC103" s="13">
        <v>0.0</v>
      </c>
      <c r="ED103" s="13">
        <v>0.0</v>
      </c>
      <c r="EE103" s="13">
        <v>0.0</v>
      </c>
      <c r="EF103" s="13">
        <v>0.0</v>
      </c>
      <c r="EG103" s="13">
        <v>0.0</v>
      </c>
      <c r="EH103" s="13">
        <v>0.0</v>
      </c>
      <c r="EI103" s="13">
        <v>0.0</v>
      </c>
      <c r="EJ103" s="13">
        <v>0.0</v>
      </c>
    </row>
    <row r="104" ht="15.75" customHeight="1">
      <c r="A104" s="7" t="s">
        <v>257</v>
      </c>
      <c r="B104" s="9">
        <f t="shared" ref="B104:D104" si="21">COUNT(B6:B94)</f>
        <v>3</v>
      </c>
      <c r="C104" s="9">
        <f t="shared" si="21"/>
        <v>83</v>
      </c>
      <c r="D104" s="9">
        <f t="shared" si="21"/>
        <v>81</v>
      </c>
      <c r="F104" s="9">
        <f t="shared" ref="F104:O104" si="22">COUNT(F6:F94)</f>
        <v>81</v>
      </c>
      <c r="G104" s="9">
        <f t="shared" si="22"/>
        <v>81</v>
      </c>
      <c r="H104" s="9">
        <f t="shared" si="22"/>
        <v>5</v>
      </c>
      <c r="I104" s="9">
        <f t="shared" si="22"/>
        <v>39</v>
      </c>
      <c r="J104" s="9">
        <f t="shared" si="22"/>
        <v>9</v>
      </c>
      <c r="K104" s="9">
        <f t="shared" si="22"/>
        <v>6</v>
      </c>
      <c r="L104" s="9">
        <f t="shared" si="22"/>
        <v>10</v>
      </c>
      <c r="M104" s="9">
        <f t="shared" si="22"/>
        <v>7</v>
      </c>
      <c r="N104" s="9">
        <f t="shared" si="22"/>
        <v>6</v>
      </c>
      <c r="O104" s="9">
        <f t="shared" si="22"/>
        <v>80</v>
      </c>
      <c r="Z104" s="9">
        <f t="shared" ref="Z104:DB104" si="23">COUNT(Z6:Z94)</f>
        <v>4</v>
      </c>
      <c r="AA104" s="9">
        <f t="shared" si="23"/>
        <v>87</v>
      </c>
      <c r="AB104" s="9">
        <f t="shared" si="23"/>
        <v>84</v>
      </c>
      <c r="AC104" s="9">
        <f t="shared" si="23"/>
        <v>4</v>
      </c>
      <c r="AD104" s="9">
        <f t="shared" si="23"/>
        <v>4</v>
      </c>
      <c r="AE104" s="9">
        <f t="shared" si="23"/>
        <v>84</v>
      </c>
      <c r="AF104" s="9">
        <f t="shared" si="23"/>
        <v>4</v>
      </c>
      <c r="AG104" s="9">
        <f t="shared" si="23"/>
        <v>4</v>
      </c>
      <c r="AH104" s="9">
        <f t="shared" si="23"/>
        <v>4</v>
      </c>
      <c r="AI104" s="9">
        <f t="shared" si="23"/>
        <v>4</v>
      </c>
      <c r="AJ104" s="9">
        <f t="shared" si="23"/>
        <v>4</v>
      </c>
      <c r="AK104" s="9">
        <f t="shared" si="23"/>
        <v>4</v>
      </c>
      <c r="AL104" s="9">
        <f t="shared" si="23"/>
        <v>4</v>
      </c>
      <c r="AM104" s="9">
        <f t="shared" si="23"/>
        <v>4</v>
      </c>
      <c r="AN104" s="9">
        <f t="shared" si="23"/>
        <v>6</v>
      </c>
      <c r="AO104" s="9">
        <f t="shared" si="23"/>
        <v>4</v>
      </c>
      <c r="AP104" s="9">
        <f t="shared" si="23"/>
        <v>5</v>
      </c>
      <c r="AQ104" s="9">
        <f t="shared" si="23"/>
        <v>10</v>
      </c>
      <c r="AR104" s="9">
        <f t="shared" si="23"/>
        <v>6</v>
      </c>
      <c r="AS104" s="9">
        <f t="shared" si="23"/>
        <v>5</v>
      </c>
      <c r="AT104" s="9">
        <f t="shared" si="23"/>
        <v>4</v>
      </c>
      <c r="AU104" s="9">
        <f t="shared" si="23"/>
        <v>81</v>
      </c>
      <c r="AV104" s="9">
        <f t="shared" si="23"/>
        <v>81</v>
      </c>
      <c r="AW104" s="9">
        <f t="shared" si="23"/>
        <v>85</v>
      </c>
      <c r="AX104" s="9">
        <f t="shared" si="23"/>
        <v>81</v>
      </c>
      <c r="AY104" s="9">
        <f t="shared" si="23"/>
        <v>89</v>
      </c>
      <c r="AZ104" s="9">
        <f t="shared" si="23"/>
        <v>89</v>
      </c>
      <c r="BA104" s="9">
        <f t="shared" si="23"/>
        <v>89</v>
      </c>
      <c r="BB104" s="9">
        <f t="shared" si="23"/>
        <v>87</v>
      </c>
      <c r="BC104" s="9">
        <f t="shared" si="23"/>
        <v>89</v>
      </c>
      <c r="BD104" s="9">
        <f t="shared" si="23"/>
        <v>89</v>
      </c>
      <c r="BE104" s="9">
        <f t="shared" si="23"/>
        <v>89</v>
      </c>
      <c r="BF104" s="9">
        <f t="shared" si="23"/>
        <v>89</v>
      </c>
      <c r="BG104" s="9">
        <f t="shared" si="23"/>
        <v>89</v>
      </c>
      <c r="BH104" s="9">
        <f t="shared" si="23"/>
        <v>89</v>
      </c>
      <c r="BI104" s="9">
        <f t="shared" si="23"/>
        <v>89</v>
      </c>
      <c r="BJ104" s="9">
        <f t="shared" si="23"/>
        <v>89</v>
      </c>
      <c r="BK104" s="9">
        <f t="shared" si="23"/>
        <v>89</v>
      </c>
      <c r="BL104" s="9">
        <f t="shared" si="23"/>
        <v>89</v>
      </c>
      <c r="BM104" s="9">
        <f t="shared" si="23"/>
        <v>89</v>
      </c>
      <c r="BN104" s="9">
        <f t="shared" si="23"/>
        <v>89</v>
      </c>
      <c r="BO104" s="9">
        <f t="shared" si="23"/>
        <v>89</v>
      </c>
      <c r="BP104" s="9">
        <f t="shared" si="23"/>
        <v>89</v>
      </c>
      <c r="BQ104" s="9">
        <f t="shared" si="23"/>
        <v>89</v>
      </c>
      <c r="BR104" s="9">
        <f t="shared" si="23"/>
        <v>89</v>
      </c>
      <c r="BS104" s="9">
        <f t="shared" si="23"/>
        <v>89</v>
      </c>
      <c r="BT104" s="9">
        <f t="shared" si="23"/>
        <v>89</v>
      </c>
      <c r="BU104" s="9">
        <f t="shared" si="23"/>
        <v>89</v>
      </c>
      <c r="BV104" s="9">
        <f t="shared" si="23"/>
        <v>89</v>
      </c>
      <c r="BW104" s="9">
        <f t="shared" si="23"/>
        <v>89</v>
      </c>
      <c r="BX104" s="9">
        <f t="shared" si="23"/>
        <v>89</v>
      </c>
      <c r="BY104" s="9">
        <f t="shared" si="23"/>
        <v>89</v>
      </c>
      <c r="BZ104" s="9">
        <f t="shared" si="23"/>
        <v>89</v>
      </c>
      <c r="CA104" s="9">
        <f t="shared" si="23"/>
        <v>89</v>
      </c>
      <c r="CB104" s="9">
        <f t="shared" si="23"/>
        <v>89</v>
      </c>
      <c r="CC104" s="9">
        <f t="shared" si="23"/>
        <v>89</v>
      </c>
      <c r="CD104" s="9">
        <f t="shared" si="23"/>
        <v>89</v>
      </c>
      <c r="CE104" s="9">
        <f t="shared" si="23"/>
        <v>89</v>
      </c>
      <c r="CF104" s="9">
        <f t="shared" si="23"/>
        <v>89</v>
      </c>
      <c r="CG104" s="9">
        <f t="shared" si="23"/>
        <v>89</v>
      </c>
      <c r="CH104" s="9">
        <f t="shared" si="23"/>
        <v>89</v>
      </c>
      <c r="CI104" s="9">
        <f t="shared" si="23"/>
        <v>89</v>
      </c>
      <c r="CJ104" s="9">
        <f t="shared" si="23"/>
        <v>89</v>
      </c>
      <c r="CK104" s="9">
        <f t="shared" si="23"/>
        <v>89</v>
      </c>
      <c r="CL104" s="9">
        <f t="shared" si="23"/>
        <v>89</v>
      </c>
      <c r="CM104" s="9">
        <f t="shared" si="23"/>
        <v>89</v>
      </c>
      <c r="CN104" s="9">
        <f t="shared" si="23"/>
        <v>89</v>
      </c>
      <c r="CO104" s="9">
        <f t="shared" si="23"/>
        <v>89</v>
      </c>
      <c r="CP104" s="9">
        <f t="shared" si="23"/>
        <v>89</v>
      </c>
      <c r="CQ104" s="9">
        <f t="shared" si="23"/>
        <v>89</v>
      </c>
      <c r="CR104" s="9">
        <f t="shared" si="23"/>
        <v>89</v>
      </c>
      <c r="CS104" s="9">
        <f t="shared" si="23"/>
        <v>89</v>
      </c>
      <c r="CT104" s="9">
        <f t="shared" si="23"/>
        <v>89</v>
      </c>
      <c r="CU104" s="9">
        <f t="shared" si="23"/>
        <v>89</v>
      </c>
      <c r="CV104" s="9">
        <f t="shared" si="23"/>
        <v>89</v>
      </c>
      <c r="CW104" s="9">
        <f t="shared" si="23"/>
        <v>89</v>
      </c>
      <c r="CX104" s="9">
        <f t="shared" si="23"/>
        <v>89</v>
      </c>
      <c r="CY104" s="9">
        <f t="shared" si="23"/>
        <v>89</v>
      </c>
      <c r="CZ104" s="9">
        <f t="shared" si="23"/>
        <v>89</v>
      </c>
      <c r="DA104" s="9">
        <f t="shared" si="23"/>
        <v>89</v>
      </c>
      <c r="DB104" s="9">
        <f t="shared" si="23"/>
        <v>89</v>
      </c>
      <c r="DU104" s="7">
        <v>3.0</v>
      </c>
    </row>
    <row r="105" ht="15.75" customHeight="1">
      <c r="AS105" s="13" t="str">
        <f>iferror(VLOOKUP($A105,EAM!H$2:I$14,2,FALSE))</f>
        <v/>
      </c>
      <c r="AU105" s="19"/>
      <c r="AZ105" s="13" t="str">
        <f t="array" ref="AZ105">iferror(INDEX('Import from defimon'!$1:$100,MATCH(AZ$1,'Import from defimon'!$A:$A,0),MATCH($A105,'Import from defimon'!$1:$1,0)))</f>
        <v/>
      </c>
      <c r="BH105" s="13" t="str">
        <f t="array" ref="BH105">iferror(INDEX('Import from defimon'!$1:$100,MATCH(BH$1,'Import from defimon'!$A:$A,0),MATCH($A105,'Import from defimon'!$1:$1,0)))</f>
        <v/>
      </c>
      <c r="BJ105" s="13" t="str">
        <f t="array" ref="BJ105">iferror(INDEX('Import from defimon'!$1:$100,MATCH(BJ$1,'Import from defimon'!$A:$A,0),MATCH($A105,'Import from defimon'!$1:$1,0)))</f>
        <v/>
      </c>
      <c r="BK105" s="13" t="str">
        <f t="array" ref="BK105">iferror(INDEX('Import from defimon'!$1:$100,MATCH(BK$1,'Import from defimon'!$A:$A,0),MATCH($A105,'Import from defimon'!$1:$1,0)))</f>
        <v/>
      </c>
      <c r="BL105" s="13" t="str">
        <f t="array" ref="BL105">iferror(INDEX('Import from defimon'!$1:$100,MATCH(BL$1,'Import from defimon'!$A:$A,0),MATCH($A105,'Import from defimon'!$1:$1,0)))</f>
        <v/>
      </c>
      <c r="BN105" s="13" t="str">
        <f t="array" ref="BN105">iferror(INDEX('Import from defimon'!$1:$100,MATCH(BN$1,'Import from defimon'!$A:$A,0),MATCH($A105,'Import from defimon'!$1:$1,0)))</f>
        <v/>
      </c>
      <c r="BO105" s="13" t="str">
        <f t="array" ref="BO105">iferror(INDEX('Import from defimon'!$1:$100,MATCH(BO$1,'Import from defimon'!$A:$A,0),MATCH($A105,'Import from defimon'!$1:$1,0)))</f>
        <v/>
      </c>
      <c r="BP105" s="13" t="str">
        <f t="array" ref="BP105">iferror(INDEX('Import from defimon'!$1:$100,MATCH(BP$1,'Import from defimon'!$A:$A,0),MATCH($A105,'Import from defimon'!$1:$1,0)))</f>
        <v/>
      </c>
      <c r="BQ105" s="13" t="str">
        <f t="array" ref="BQ105">iferror(INDEX('Import from defimon'!$1:$100,MATCH(BQ$1,'Import from defimon'!$A:$A,0),MATCH($A105,'Import from defimon'!$1:$1,0)))</f>
        <v/>
      </c>
      <c r="BR105" s="13" t="str">
        <f t="array" ref="BR105">iferror(INDEX('Import from defimon'!$1:$100,MATCH(BR$1,'Import from defimon'!$A:$A,0),MATCH($A105,'Import from defimon'!$1:$1,0)))</f>
        <v/>
      </c>
      <c r="BS105" s="13" t="str">
        <f t="array" ref="BS105">iferror(INDEX('Import from defimon'!$1:$100,MATCH(BS$1,'Import from defimon'!$A:$A,0),MATCH($A105,'Import from defimon'!$1:$1,0)))</f>
        <v/>
      </c>
      <c r="BT105" s="13" t="str">
        <f t="array" ref="BT105">iferror(INDEX('Import from defimon'!$1:$100,MATCH(BT$1,'Import from defimon'!$A:$A,0),MATCH($A105,'Import from defimon'!$1:$1,0)))</f>
        <v/>
      </c>
      <c r="BV105" s="13" t="str">
        <f t="array" ref="BV105">iferror(INDEX('Import from defimon'!$1:$100,MATCH(BV$1,'Import from defimon'!$A:$A,0),MATCH($A105,'Import from defimon'!$1:$1,0)))</f>
        <v/>
      </c>
      <c r="BW105" s="13" t="str">
        <f t="array" ref="BW105">iferror(INDEX('Import from defimon'!$1:$100,MATCH(BW$1,'Import from defimon'!$A:$A,0),MATCH($A105,'Import from defimon'!$1:$1,0)))</f>
        <v/>
      </c>
      <c r="BX105" s="13" t="str">
        <f t="array" ref="BX105">iferror(INDEX('Import from defimon'!$1:$100,MATCH(BX$1,'Import from defimon'!$A:$A,0),MATCH($A105,'Import from defimon'!$1:$1,0)))</f>
        <v/>
      </c>
      <c r="CA105" s="13" t="str">
        <f t="array" ref="CA105">iferror(INDEX('Import from defimon'!$1:$100,MATCH(CA$1,'Import from defimon'!$A:$A,0),MATCH($A105,'Import from defimon'!$1:$1,0)))</f>
        <v/>
      </c>
      <c r="CB105" s="13" t="str">
        <f t="array" ref="CB105">iferror(INDEX('Import from defimon'!$1:$100,MATCH(CB$1,'Import from defimon'!$A:$A,0),MATCH($A105,'Import from defimon'!$1:$1,0)))</f>
        <v/>
      </c>
      <c r="CC105" s="13" t="str">
        <f t="array" ref="CC105">iferror(INDEX('Import from defimon'!$1:$100,MATCH(CC$1,'Import from defimon'!$A:$A,0),MATCH($A105,'Import from defimon'!$1:$1,0)))</f>
        <v/>
      </c>
      <c r="CD105" s="13" t="str">
        <f t="array" ref="CD105">iferror(INDEX('Import from defimon'!$1:$100,MATCH(CD$1,'Import from defimon'!$A:$A,0),MATCH($A105,'Import from defimon'!$1:$1,0)))</f>
        <v/>
      </c>
      <c r="CE105" s="13" t="str">
        <f t="array" ref="CE105">iferror(INDEX('Import from defimon'!$1:$100,MATCH(CE$1,'Import from defimon'!$A:$A,0),MATCH($A105,'Import from defimon'!$1:$1,0)))</f>
        <v/>
      </c>
      <c r="CF105" s="13" t="str">
        <f t="array" ref="CF105">iferror(INDEX('Import from defimon'!$1:$100,MATCH(CF$1,'Import from defimon'!$A:$A,0),MATCH($A105,'Import from defimon'!$1:$1,0)))</f>
        <v/>
      </c>
      <c r="CG105" s="13" t="str">
        <f t="array" ref="CG105">iferror(INDEX('Import from defimon'!$1:$100,MATCH(CG$1,'Import from defimon'!$A:$A,0),MATCH($A105,'Import from defimon'!$1:$1,0)))</f>
        <v/>
      </c>
      <c r="CH105" s="13" t="str">
        <f t="array" ref="CH105">iferror(INDEX('Import from defimon'!$1:$100,MATCH(CH$1,'Import from defimon'!$A:$A,0),MATCH($A105,'Import from defimon'!$1:$1,0)))</f>
        <v/>
      </c>
      <c r="CI105" s="13" t="str">
        <f t="array" ref="CI105">iferror(INDEX('Import from defimon'!$1:$100,MATCH(CI$1,'Import from defimon'!$A:$A,0),MATCH($A105,'Import from defimon'!$1:$1,0)))</f>
        <v/>
      </c>
      <c r="CJ105" s="13" t="str">
        <f t="array" ref="CJ105">iferror(INDEX('Import from defimon'!$1:$100,MATCH(CJ$1,'Import from defimon'!$A:$A,0),MATCH($A105,'Import from defimon'!$1:$1,0)))</f>
        <v/>
      </c>
      <c r="CK105" s="13" t="str">
        <f t="array" ref="CK105">iferror(INDEX('Import from defimon'!$1:$100,MATCH(CK$1,'Import from defimon'!$A:$A,0),MATCH($A105,'Import from defimon'!$1:$1,0)))</f>
        <v/>
      </c>
      <c r="CL105" s="13" t="str">
        <f t="array" ref="CL105">iferror(INDEX('Import from defimon'!$1:$100,MATCH(CL$1,'Import from defimon'!$A:$A,0),MATCH($A105,'Import from defimon'!$1:$1,0)))</f>
        <v/>
      </c>
      <c r="CM105" s="13" t="str">
        <f t="array" ref="CM105">iferror(INDEX('Import from defimon'!$1:$100,MATCH(CM$1,'Import from defimon'!$A:$A,0),MATCH($A105,'Import from defimon'!$1:$1,0)))</f>
        <v/>
      </c>
      <c r="CN105" s="13" t="str">
        <f t="array" ref="CN105">iferror(INDEX('Import from defimon'!$1:$100,MATCH(CN$1,'Import from defimon'!$A:$A,0),MATCH($A105,'Import from defimon'!$1:$1,0)))</f>
        <v/>
      </c>
      <c r="CP105" s="13" t="str">
        <f t="array" ref="CP105">iferror(INDEX('Import from defimon'!$1:$100,MATCH(CP$1,'Import from defimon'!$A:$A,0),MATCH($A105,'Import from defimon'!$1:$1,0)))</f>
        <v/>
      </c>
      <c r="CQ105" s="13" t="str">
        <f t="array" ref="CQ105">iferror(INDEX('Import from defimon'!$1:$100,MATCH(CQ$1,'Import from defimon'!$A:$A,0),MATCH($A105,'Import from defimon'!$1:$1,0)))</f>
        <v/>
      </c>
      <c r="CR105" s="13" t="str">
        <f t="array" ref="CR105">iferror(INDEX('Import from defimon'!$1:$100,MATCH(CR$1,'Import from defimon'!$A:$A,0),MATCH($A105,'Import from defimon'!$1:$1,0)))</f>
        <v/>
      </c>
      <c r="CY105" s="13" t="str">
        <f t="array" ref="CY105">iferror(INDEX('Import from defimon'!$1:$100,MATCH(CY$1,'Import from defimon'!$A:$A,0),MATCH($A105,'Import from defimon'!$1:$1,0)))</f>
        <v/>
      </c>
      <c r="CZ105" s="13" t="str">
        <f t="array" ref="CZ105">iferror(INDEX('Import from defimon'!$1:$100,MATCH(CZ$1,'Import from defimon'!$A:$A,0),MATCH($A105,'Import from defimon'!$1:$1,0)))</f>
        <v/>
      </c>
      <c r="DA105" s="13" t="str">
        <f t="array" ref="DA105">iferror(INDEX('Import from defimon'!$1:$100,MATCH(DA$1,'Import from defimon'!$A:$A,0),MATCH($A105,'Import from defimon'!$1:$1,0)))</f>
        <v/>
      </c>
    </row>
    <row r="106" ht="15.75" customHeight="1">
      <c r="AS106" s="13" t="str">
        <f>iferror(VLOOKUP($A106,EAM!H$2:I$14,2,FALSE))</f>
        <v/>
      </c>
      <c r="AU106" s="19"/>
      <c r="AZ106" s="13" t="str">
        <f t="array" ref="AZ106">iferror(INDEX('Import from defimon'!$1:$100,MATCH(AZ$1,'Import from defimon'!$A:$A,0),MATCH($A106,'Import from defimon'!$1:$1,0)))</f>
        <v/>
      </c>
      <c r="BH106" s="13" t="str">
        <f t="array" ref="BH106">iferror(INDEX('Import from defimon'!$1:$100,MATCH(BH$1,'Import from defimon'!$A:$A,0),MATCH($A106,'Import from defimon'!$1:$1,0)))</f>
        <v/>
      </c>
      <c r="BJ106" s="13" t="str">
        <f t="array" ref="BJ106">iferror(INDEX('Import from defimon'!$1:$100,MATCH(BJ$1,'Import from defimon'!$A:$A,0),MATCH($A106,'Import from defimon'!$1:$1,0)))</f>
        <v/>
      </c>
      <c r="BK106" s="13" t="str">
        <f t="array" ref="BK106">iferror(INDEX('Import from defimon'!$1:$100,MATCH(BK$1,'Import from defimon'!$A:$A,0),MATCH($A106,'Import from defimon'!$1:$1,0)))</f>
        <v/>
      </c>
      <c r="BL106" s="13" t="str">
        <f t="array" ref="BL106">iferror(INDEX('Import from defimon'!$1:$100,MATCH(BL$1,'Import from defimon'!$A:$A,0),MATCH($A106,'Import from defimon'!$1:$1,0)))</f>
        <v/>
      </c>
      <c r="BN106" s="13" t="str">
        <f t="array" ref="BN106">iferror(INDEX('Import from defimon'!$1:$100,MATCH(BN$1,'Import from defimon'!$A:$A,0),MATCH($A106,'Import from defimon'!$1:$1,0)))</f>
        <v/>
      </c>
      <c r="BO106" s="13" t="str">
        <f t="array" ref="BO106">iferror(INDEX('Import from defimon'!$1:$100,MATCH(BO$1,'Import from defimon'!$A:$A,0),MATCH($A106,'Import from defimon'!$1:$1,0)))</f>
        <v/>
      </c>
      <c r="BP106" s="13" t="str">
        <f t="array" ref="BP106">iferror(INDEX('Import from defimon'!$1:$100,MATCH(BP$1,'Import from defimon'!$A:$A,0),MATCH($A106,'Import from defimon'!$1:$1,0)))</f>
        <v/>
      </c>
      <c r="BQ106" s="13" t="str">
        <f t="array" ref="BQ106">iferror(INDEX('Import from defimon'!$1:$100,MATCH(BQ$1,'Import from defimon'!$A:$A,0),MATCH($A106,'Import from defimon'!$1:$1,0)))</f>
        <v/>
      </c>
      <c r="BR106" s="13" t="str">
        <f t="array" ref="BR106">iferror(INDEX('Import from defimon'!$1:$100,MATCH(BR$1,'Import from defimon'!$A:$A,0),MATCH($A106,'Import from defimon'!$1:$1,0)))</f>
        <v/>
      </c>
      <c r="BS106" s="13" t="str">
        <f t="array" ref="BS106">iferror(INDEX('Import from defimon'!$1:$100,MATCH(BS$1,'Import from defimon'!$A:$A,0),MATCH($A106,'Import from defimon'!$1:$1,0)))</f>
        <v/>
      </c>
      <c r="BT106" s="13" t="str">
        <f t="array" ref="BT106">iferror(INDEX('Import from defimon'!$1:$100,MATCH(BT$1,'Import from defimon'!$A:$A,0),MATCH($A106,'Import from defimon'!$1:$1,0)))</f>
        <v/>
      </c>
      <c r="BV106" s="13" t="str">
        <f t="array" ref="BV106">iferror(INDEX('Import from defimon'!$1:$100,MATCH(BV$1,'Import from defimon'!$A:$A,0),MATCH($A106,'Import from defimon'!$1:$1,0)))</f>
        <v/>
      </c>
      <c r="BW106" s="13" t="str">
        <f t="array" ref="BW106">iferror(INDEX('Import from defimon'!$1:$100,MATCH(BW$1,'Import from defimon'!$A:$A,0),MATCH($A106,'Import from defimon'!$1:$1,0)))</f>
        <v/>
      </c>
      <c r="BX106" s="13" t="str">
        <f t="array" ref="BX106">iferror(INDEX('Import from defimon'!$1:$100,MATCH(BX$1,'Import from defimon'!$A:$A,0),MATCH($A106,'Import from defimon'!$1:$1,0)))</f>
        <v/>
      </c>
      <c r="CA106" s="13" t="str">
        <f t="array" ref="CA106">iferror(INDEX('Import from defimon'!$1:$100,MATCH(CA$1,'Import from defimon'!$A:$A,0),MATCH($A106,'Import from defimon'!$1:$1,0)))</f>
        <v/>
      </c>
      <c r="CB106" s="13" t="str">
        <f t="array" ref="CB106">iferror(INDEX('Import from defimon'!$1:$100,MATCH(CB$1,'Import from defimon'!$A:$A,0),MATCH($A106,'Import from defimon'!$1:$1,0)))</f>
        <v/>
      </c>
      <c r="CC106" s="13" t="str">
        <f t="array" ref="CC106">iferror(INDEX('Import from defimon'!$1:$100,MATCH(CC$1,'Import from defimon'!$A:$A,0),MATCH($A106,'Import from defimon'!$1:$1,0)))</f>
        <v/>
      </c>
      <c r="CD106" s="13" t="str">
        <f t="array" ref="CD106">iferror(INDEX('Import from defimon'!$1:$100,MATCH(CD$1,'Import from defimon'!$A:$A,0),MATCH($A106,'Import from defimon'!$1:$1,0)))</f>
        <v/>
      </c>
      <c r="CE106" s="13" t="str">
        <f t="array" ref="CE106">iferror(INDEX('Import from defimon'!$1:$100,MATCH(CE$1,'Import from defimon'!$A:$A,0),MATCH($A106,'Import from defimon'!$1:$1,0)))</f>
        <v/>
      </c>
      <c r="CF106" s="13" t="str">
        <f t="array" ref="CF106">iferror(INDEX('Import from defimon'!$1:$100,MATCH(CF$1,'Import from defimon'!$A:$A,0),MATCH($A106,'Import from defimon'!$1:$1,0)))</f>
        <v/>
      </c>
      <c r="CG106" s="13" t="str">
        <f t="array" ref="CG106">iferror(INDEX('Import from defimon'!$1:$100,MATCH(CG$1,'Import from defimon'!$A:$A,0),MATCH($A106,'Import from defimon'!$1:$1,0)))</f>
        <v/>
      </c>
      <c r="CH106" s="13" t="str">
        <f t="array" ref="CH106">iferror(INDEX('Import from defimon'!$1:$100,MATCH(CH$1,'Import from defimon'!$A:$A,0),MATCH($A106,'Import from defimon'!$1:$1,0)))</f>
        <v/>
      </c>
      <c r="CI106" s="13" t="str">
        <f t="array" ref="CI106">iferror(INDEX('Import from defimon'!$1:$100,MATCH(CI$1,'Import from defimon'!$A:$A,0),MATCH($A106,'Import from defimon'!$1:$1,0)))</f>
        <v/>
      </c>
      <c r="CJ106" s="13" t="str">
        <f t="array" ref="CJ106">iferror(INDEX('Import from defimon'!$1:$100,MATCH(CJ$1,'Import from defimon'!$A:$A,0),MATCH($A106,'Import from defimon'!$1:$1,0)))</f>
        <v/>
      </c>
      <c r="CK106" s="13" t="str">
        <f t="array" ref="CK106">iferror(INDEX('Import from defimon'!$1:$100,MATCH(CK$1,'Import from defimon'!$A:$A,0),MATCH($A106,'Import from defimon'!$1:$1,0)))</f>
        <v/>
      </c>
      <c r="CL106" s="13" t="str">
        <f t="array" ref="CL106">iferror(INDEX('Import from defimon'!$1:$100,MATCH(CL$1,'Import from defimon'!$A:$A,0),MATCH($A106,'Import from defimon'!$1:$1,0)))</f>
        <v/>
      </c>
      <c r="CM106" s="13" t="str">
        <f t="array" ref="CM106">iferror(INDEX('Import from defimon'!$1:$100,MATCH(CM$1,'Import from defimon'!$A:$A,0),MATCH($A106,'Import from defimon'!$1:$1,0)))</f>
        <v/>
      </c>
      <c r="CN106" s="13" t="str">
        <f t="array" ref="CN106">iferror(INDEX('Import from defimon'!$1:$100,MATCH(CN$1,'Import from defimon'!$A:$A,0),MATCH($A106,'Import from defimon'!$1:$1,0)))</f>
        <v/>
      </c>
      <c r="CP106" s="13" t="str">
        <f t="array" ref="CP106">iferror(INDEX('Import from defimon'!$1:$100,MATCH(CP$1,'Import from defimon'!$A:$A,0),MATCH($A106,'Import from defimon'!$1:$1,0)))</f>
        <v/>
      </c>
      <c r="CQ106" s="13" t="str">
        <f t="array" ref="CQ106">iferror(INDEX('Import from defimon'!$1:$100,MATCH(CQ$1,'Import from defimon'!$A:$A,0),MATCH($A106,'Import from defimon'!$1:$1,0)))</f>
        <v/>
      </c>
      <c r="CR106" s="13" t="str">
        <f t="array" ref="CR106">iferror(INDEX('Import from defimon'!$1:$100,MATCH(CR$1,'Import from defimon'!$A:$A,0),MATCH($A106,'Import from defimon'!$1:$1,0)))</f>
        <v/>
      </c>
      <c r="CY106" s="13" t="str">
        <f t="array" ref="CY106">iferror(INDEX('Import from defimon'!$1:$100,MATCH(CY$1,'Import from defimon'!$A:$A,0),MATCH($A106,'Import from defimon'!$1:$1,0)))</f>
        <v/>
      </c>
      <c r="CZ106" s="13" t="str">
        <f t="array" ref="CZ106">iferror(INDEX('Import from defimon'!$1:$100,MATCH(CZ$1,'Import from defimon'!$A:$A,0),MATCH($A106,'Import from defimon'!$1:$1,0)))</f>
        <v/>
      </c>
      <c r="DA106" s="13" t="str">
        <f t="array" ref="DA106">iferror(INDEX('Import from defimon'!$1:$100,MATCH(DA$1,'Import from defimon'!$A:$A,0),MATCH($A106,'Import from defimon'!$1:$1,0)))</f>
        <v/>
      </c>
    </row>
    <row r="107" ht="15.75" customHeight="1">
      <c r="AS107" s="13" t="str">
        <f>iferror(VLOOKUP($A107,EAM!H$2:I$14,2,FALSE))</f>
        <v/>
      </c>
      <c r="AU107" s="19"/>
      <c r="AZ107" s="13" t="str">
        <f t="array" ref="AZ107">iferror(INDEX('Import from defimon'!$1:$100,MATCH(AZ$1,'Import from defimon'!$A:$A,0),MATCH($A107,'Import from defimon'!$1:$1,0)))</f>
        <v/>
      </c>
      <c r="BH107" s="13" t="str">
        <f t="array" ref="BH107">iferror(INDEX('Import from defimon'!$1:$100,MATCH(BH$1,'Import from defimon'!$A:$A,0),MATCH($A107,'Import from defimon'!$1:$1,0)))</f>
        <v/>
      </c>
      <c r="BJ107" s="13" t="str">
        <f t="array" ref="BJ107">iferror(INDEX('Import from defimon'!$1:$100,MATCH(BJ$1,'Import from defimon'!$A:$A,0),MATCH($A107,'Import from defimon'!$1:$1,0)))</f>
        <v/>
      </c>
      <c r="BK107" s="13" t="str">
        <f t="array" ref="BK107">iferror(INDEX('Import from defimon'!$1:$100,MATCH(BK$1,'Import from defimon'!$A:$A,0),MATCH($A107,'Import from defimon'!$1:$1,0)))</f>
        <v/>
      </c>
      <c r="BL107" s="13" t="str">
        <f t="array" ref="BL107">iferror(INDEX('Import from defimon'!$1:$100,MATCH(BL$1,'Import from defimon'!$A:$A,0),MATCH($A107,'Import from defimon'!$1:$1,0)))</f>
        <v/>
      </c>
      <c r="BN107" s="13" t="str">
        <f t="array" ref="BN107">iferror(INDEX('Import from defimon'!$1:$100,MATCH(BN$1,'Import from defimon'!$A:$A,0),MATCH($A107,'Import from defimon'!$1:$1,0)))</f>
        <v/>
      </c>
      <c r="BO107" s="13" t="str">
        <f t="array" ref="BO107">iferror(INDEX('Import from defimon'!$1:$100,MATCH(BO$1,'Import from defimon'!$A:$A,0),MATCH($A107,'Import from defimon'!$1:$1,0)))</f>
        <v/>
      </c>
      <c r="BP107" s="13" t="str">
        <f t="array" ref="BP107">iferror(INDEX('Import from defimon'!$1:$100,MATCH(BP$1,'Import from defimon'!$A:$A,0),MATCH($A107,'Import from defimon'!$1:$1,0)))</f>
        <v/>
      </c>
      <c r="BQ107" s="13" t="str">
        <f t="array" ref="BQ107">iferror(INDEX('Import from defimon'!$1:$100,MATCH(BQ$1,'Import from defimon'!$A:$A,0),MATCH($A107,'Import from defimon'!$1:$1,0)))</f>
        <v/>
      </c>
      <c r="BR107" s="13" t="str">
        <f t="array" ref="BR107">iferror(INDEX('Import from defimon'!$1:$100,MATCH(BR$1,'Import from defimon'!$A:$A,0),MATCH($A107,'Import from defimon'!$1:$1,0)))</f>
        <v/>
      </c>
      <c r="BS107" s="13" t="str">
        <f t="array" ref="BS107">iferror(INDEX('Import from defimon'!$1:$100,MATCH(BS$1,'Import from defimon'!$A:$A,0),MATCH($A107,'Import from defimon'!$1:$1,0)))</f>
        <v/>
      </c>
      <c r="BT107" s="13" t="str">
        <f t="array" ref="BT107">iferror(INDEX('Import from defimon'!$1:$100,MATCH(BT$1,'Import from defimon'!$A:$A,0),MATCH($A107,'Import from defimon'!$1:$1,0)))</f>
        <v/>
      </c>
      <c r="BV107" s="13" t="str">
        <f t="array" ref="BV107">iferror(INDEX('Import from defimon'!$1:$100,MATCH(BV$1,'Import from defimon'!$A:$A,0),MATCH($A107,'Import from defimon'!$1:$1,0)))</f>
        <v/>
      </c>
      <c r="BW107" s="13" t="str">
        <f t="array" ref="BW107">iferror(INDEX('Import from defimon'!$1:$100,MATCH(BW$1,'Import from defimon'!$A:$A,0),MATCH($A107,'Import from defimon'!$1:$1,0)))</f>
        <v/>
      </c>
      <c r="BX107" s="13" t="str">
        <f t="array" ref="BX107">iferror(INDEX('Import from defimon'!$1:$100,MATCH(BX$1,'Import from defimon'!$A:$A,0),MATCH($A107,'Import from defimon'!$1:$1,0)))</f>
        <v/>
      </c>
      <c r="CA107" s="13" t="str">
        <f t="array" ref="CA107">iferror(INDEX('Import from defimon'!$1:$100,MATCH(CA$1,'Import from defimon'!$A:$A,0),MATCH($A107,'Import from defimon'!$1:$1,0)))</f>
        <v/>
      </c>
      <c r="CB107" s="13" t="str">
        <f t="array" ref="CB107">iferror(INDEX('Import from defimon'!$1:$100,MATCH(CB$1,'Import from defimon'!$A:$A,0),MATCH($A107,'Import from defimon'!$1:$1,0)))</f>
        <v/>
      </c>
      <c r="CC107" s="13" t="str">
        <f t="array" ref="CC107">iferror(INDEX('Import from defimon'!$1:$100,MATCH(CC$1,'Import from defimon'!$A:$A,0),MATCH($A107,'Import from defimon'!$1:$1,0)))</f>
        <v/>
      </c>
      <c r="CD107" s="13" t="str">
        <f t="array" ref="CD107">iferror(INDEX('Import from defimon'!$1:$100,MATCH(CD$1,'Import from defimon'!$A:$A,0),MATCH($A107,'Import from defimon'!$1:$1,0)))</f>
        <v/>
      </c>
      <c r="CE107" s="13" t="str">
        <f t="array" ref="CE107">iferror(INDEX('Import from defimon'!$1:$100,MATCH(CE$1,'Import from defimon'!$A:$A,0),MATCH($A107,'Import from defimon'!$1:$1,0)))</f>
        <v/>
      </c>
      <c r="CF107" s="13" t="str">
        <f t="array" ref="CF107">iferror(INDEX('Import from defimon'!$1:$100,MATCH(CF$1,'Import from defimon'!$A:$A,0),MATCH($A107,'Import from defimon'!$1:$1,0)))</f>
        <v/>
      </c>
      <c r="CG107" s="13" t="str">
        <f t="array" ref="CG107">iferror(INDEX('Import from defimon'!$1:$100,MATCH(CG$1,'Import from defimon'!$A:$A,0),MATCH($A107,'Import from defimon'!$1:$1,0)))</f>
        <v/>
      </c>
      <c r="CH107" s="13" t="str">
        <f t="array" ref="CH107">iferror(INDEX('Import from defimon'!$1:$100,MATCH(CH$1,'Import from defimon'!$A:$A,0),MATCH($A107,'Import from defimon'!$1:$1,0)))</f>
        <v/>
      </c>
      <c r="CI107" s="13" t="str">
        <f t="array" ref="CI107">iferror(INDEX('Import from defimon'!$1:$100,MATCH(CI$1,'Import from defimon'!$A:$A,0),MATCH($A107,'Import from defimon'!$1:$1,0)))</f>
        <v/>
      </c>
      <c r="CJ107" s="13" t="str">
        <f t="array" ref="CJ107">iferror(INDEX('Import from defimon'!$1:$100,MATCH(CJ$1,'Import from defimon'!$A:$A,0),MATCH($A107,'Import from defimon'!$1:$1,0)))</f>
        <v/>
      </c>
      <c r="CK107" s="13" t="str">
        <f t="array" ref="CK107">iferror(INDEX('Import from defimon'!$1:$100,MATCH(CK$1,'Import from defimon'!$A:$A,0),MATCH($A107,'Import from defimon'!$1:$1,0)))</f>
        <v/>
      </c>
      <c r="CL107" s="13" t="str">
        <f t="array" ref="CL107">iferror(INDEX('Import from defimon'!$1:$100,MATCH(CL$1,'Import from defimon'!$A:$A,0),MATCH($A107,'Import from defimon'!$1:$1,0)))</f>
        <v/>
      </c>
      <c r="CM107" s="13" t="str">
        <f t="array" ref="CM107">iferror(INDEX('Import from defimon'!$1:$100,MATCH(CM$1,'Import from defimon'!$A:$A,0),MATCH($A107,'Import from defimon'!$1:$1,0)))</f>
        <v/>
      </c>
      <c r="CN107" s="13" t="str">
        <f t="array" ref="CN107">iferror(INDEX('Import from defimon'!$1:$100,MATCH(CN$1,'Import from defimon'!$A:$A,0),MATCH($A107,'Import from defimon'!$1:$1,0)))</f>
        <v/>
      </c>
      <c r="CP107" s="13" t="str">
        <f t="array" ref="CP107">iferror(INDEX('Import from defimon'!$1:$100,MATCH(CP$1,'Import from defimon'!$A:$A,0),MATCH($A107,'Import from defimon'!$1:$1,0)))</f>
        <v/>
      </c>
      <c r="CQ107" s="13" t="str">
        <f t="array" ref="CQ107">iferror(INDEX('Import from defimon'!$1:$100,MATCH(CQ$1,'Import from defimon'!$A:$A,0),MATCH($A107,'Import from defimon'!$1:$1,0)))</f>
        <v/>
      </c>
      <c r="CR107" s="13" t="str">
        <f t="array" ref="CR107">iferror(INDEX('Import from defimon'!$1:$100,MATCH(CR$1,'Import from defimon'!$A:$A,0),MATCH($A107,'Import from defimon'!$1:$1,0)))</f>
        <v/>
      </c>
      <c r="CY107" s="13" t="str">
        <f t="array" ref="CY107">iferror(INDEX('Import from defimon'!$1:$100,MATCH(CY$1,'Import from defimon'!$A:$A,0),MATCH($A107,'Import from defimon'!$1:$1,0)))</f>
        <v/>
      </c>
      <c r="CZ107" s="13" t="str">
        <f t="array" ref="CZ107">iferror(INDEX('Import from defimon'!$1:$100,MATCH(CZ$1,'Import from defimon'!$A:$A,0),MATCH($A107,'Import from defimon'!$1:$1,0)))</f>
        <v/>
      </c>
      <c r="DA107" s="13" t="str">
        <f t="array" ref="DA107">iferror(INDEX('Import from defimon'!$1:$100,MATCH(DA$1,'Import from defimon'!$A:$A,0),MATCH($A107,'Import from defimon'!$1:$1,0)))</f>
        <v/>
      </c>
    </row>
    <row r="108" ht="15.75" customHeight="1">
      <c r="AS108" s="13" t="str">
        <f>iferror(VLOOKUP($A108,EAM!H$2:I$14,2,FALSE))</f>
        <v/>
      </c>
      <c r="AU108" s="19"/>
      <c r="AZ108" s="13" t="str">
        <f t="array" ref="AZ108">iferror(INDEX('Import from defimon'!$1:$100,MATCH(AZ$1,'Import from defimon'!$A:$A,0),MATCH($A108,'Import from defimon'!$1:$1,0)))</f>
        <v/>
      </c>
      <c r="BH108" s="13" t="str">
        <f t="array" ref="BH108">iferror(INDEX('Import from defimon'!$1:$100,MATCH(BH$1,'Import from defimon'!$A:$A,0),MATCH($A108,'Import from defimon'!$1:$1,0)))</f>
        <v/>
      </c>
      <c r="BJ108" s="13" t="str">
        <f t="array" ref="BJ108">iferror(INDEX('Import from defimon'!$1:$100,MATCH(BJ$1,'Import from defimon'!$A:$A,0),MATCH($A108,'Import from defimon'!$1:$1,0)))</f>
        <v/>
      </c>
      <c r="BK108" s="13" t="str">
        <f t="array" ref="BK108">iferror(INDEX('Import from defimon'!$1:$100,MATCH(BK$1,'Import from defimon'!$A:$A,0),MATCH($A108,'Import from defimon'!$1:$1,0)))</f>
        <v/>
      </c>
      <c r="BL108" s="13" t="str">
        <f t="array" ref="BL108">iferror(INDEX('Import from defimon'!$1:$100,MATCH(BL$1,'Import from defimon'!$A:$A,0),MATCH($A108,'Import from defimon'!$1:$1,0)))</f>
        <v/>
      </c>
      <c r="BN108" s="13" t="str">
        <f t="array" ref="BN108">iferror(INDEX('Import from defimon'!$1:$100,MATCH(BN$1,'Import from defimon'!$A:$A,0),MATCH($A108,'Import from defimon'!$1:$1,0)))</f>
        <v/>
      </c>
      <c r="BO108" s="13" t="str">
        <f t="array" ref="BO108">iferror(INDEX('Import from defimon'!$1:$100,MATCH(BO$1,'Import from defimon'!$A:$A,0),MATCH($A108,'Import from defimon'!$1:$1,0)))</f>
        <v/>
      </c>
      <c r="BP108" s="13" t="str">
        <f t="array" ref="BP108">iferror(INDEX('Import from defimon'!$1:$100,MATCH(BP$1,'Import from defimon'!$A:$A,0),MATCH($A108,'Import from defimon'!$1:$1,0)))</f>
        <v/>
      </c>
      <c r="BQ108" s="13" t="str">
        <f t="array" ref="BQ108">iferror(INDEX('Import from defimon'!$1:$100,MATCH(BQ$1,'Import from defimon'!$A:$A,0),MATCH($A108,'Import from defimon'!$1:$1,0)))</f>
        <v/>
      </c>
      <c r="BR108" s="13" t="str">
        <f t="array" ref="BR108">iferror(INDEX('Import from defimon'!$1:$100,MATCH(BR$1,'Import from defimon'!$A:$A,0),MATCH($A108,'Import from defimon'!$1:$1,0)))</f>
        <v/>
      </c>
      <c r="BS108" s="13" t="str">
        <f t="array" ref="BS108">iferror(INDEX('Import from defimon'!$1:$100,MATCH(BS$1,'Import from defimon'!$A:$A,0),MATCH($A108,'Import from defimon'!$1:$1,0)))</f>
        <v/>
      </c>
      <c r="BT108" s="13" t="str">
        <f t="array" ref="BT108">iferror(INDEX('Import from defimon'!$1:$100,MATCH(BT$1,'Import from defimon'!$A:$A,0),MATCH($A108,'Import from defimon'!$1:$1,0)))</f>
        <v/>
      </c>
      <c r="BV108" s="13" t="str">
        <f t="array" ref="BV108">iferror(INDEX('Import from defimon'!$1:$100,MATCH(BV$1,'Import from defimon'!$A:$A,0),MATCH($A108,'Import from defimon'!$1:$1,0)))</f>
        <v/>
      </c>
      <c r="BW108" s="13" t="str">
        <f t="array" ref="BW108">iferror(INDEX('Import from defimon'!$1:$100,MATCH(BW$1,'Import from defimon'!$A:$A,0),MATCH($A108,'Import from defimon'!$1:$1,0)))</f>
        <v/>
      </c>
      <c r="BX108" s="13" t="str">
        <f t="array" ref="BX108">iferror(INDEX('Import from defimon'!$1:$100,MATCH(BX$1,'Import from defimon'!$A:$A,0),MATCH($A108,'Import from defimon'!$1:$1,0)))</f>
        <v/>
      </c>
      <c r="CA108" s="13" t="str">
        <f t="array" ref="CA108">iferror(INDEX('Import from defimon'!$1:$100,MATCH(CA$1,'Import from defimon'!$A:$A,0),MATCH($A108,'Import from defimon'!$1:$1,0)))</f>
        <v/>
      </c>
      <c r="CB108" s="13" t="str">
        <f t="array" ref="CB108">iferror(INDEX('Import from defimon'!$1:$100,MATCH(CB$1,'Import from defimon'!$A:$A,0),MATCH($A108,'Import from defimon'!$1:$1,0)))</f>
        <v/>
      </c>
      <c r="CC108" s="13" t="str">
        <f t="array" ref="CC108">iferror(INDEX('Import from defimon'!$1:$100,MATCH(CC$1,'Import from defimon'!$A:$A,0),MATCH($A108,'Import from defimon'!$1:$1,0)))</f>
        <v/>
      </c>
      <c r="CD108" s="13" t="str">
        <f t="array" ref="CD108">iferror(INDEX('Import from defimon'!$1:$100,MATCH(CD$1,'Import from defimon'!$A:$A,0),MATCH($A108,'Import from defimon'!$1:$1,0)))</f>
        <v/>
      </c>
      <c r="CE108" s="13" t="str">
        <f t="array" ref="CE108">iferror(INDEX('Import from defimon'!$1:$100,MATCH(CE$1,'Import from defimon'!$A:$A,0),MATCH($A108,'Import from defimon'!$1:$1,0)))</f>
        <v/>
      </c>
      <c r="CF108" s="13" t="str">
        <f t="array" ref="CF108">iferror(INDEX('Import from defimon'!$1:$100,MATCH(CF$1,'Import from defimon'!$A:$A,0),MATCH($A108,'Import from defimon'!$1:$1,0)))</f>
        <v/>
      </c>
      <c r="CG108" s="13" t="str">
        <f t="array" ref="CG108">iferror(INDEX('Import from defimon'!$1:$100,MATCH(CG$1,'Import from defimon'!$A:$A,0),MATCH($A108,'Import from defimon'!$1:$1,0)))</f>
        <v/>
      </c>
      <c r="CH108" s="13" t="str">
        <f t="array" ref="CH108">iferror(INDEX('Import from defimon'!$1:$100,MATCH(CH$1,'Import from defimon'!$A:$A,0),MATCH($A108,'Import from defimon'!$1:$1,0)))</f>
        <v/>
      </c>
      <c r="CI108" s="13" t="str">
        <f t="array" ref="CI108">iferror(INDEX('Import from defimon'!$1:$100,MATCH(CI$1,'Import from defimon'!$A:$A,0),MATCH($A108,'Import from defimon'!$1:$1,0)))</f>
        <v/>
      </c>
      <c r="CJ108" s="13" t="str">
        <f t="array" ref="CJ108">iferror(INDEX('Import from defimon'!$1:$100,MATCH(CJ$1,'Import from defimon'!$A:$A,0),MATCH($A108,'Import from defimon'!$1:$1,0)))</f>
        <v/>
      </c>
      <c r="CK108" s="13" t="str">
        <f t="array" ref="CK108">iferror(INDEX('Import from defimon'!$1:$100,MATCH(CK$1,'Import from defimon'!$A:$A,0),MATCH($A108,'Import from defimon'!$1:$1,0)))</f>
        <v/>
      </c>
      <c r="CL108" s="13" t="str">
        <f t="array" ref="CL108">iferror(INDEX('Import from defimon'!$1:$100,MATCH(CL$1,'Import from defimon'!$A:$A,0),MATCH($A108,'Import from defimon'!$1:$1,0)))</f>
        <v/>
      </c>
      <c r="CM108" s="13" t="str">
        <f t="array" ref="CM108">iferror(INDEX('Import from defimon'!$1:$100,MATCH(CM$1,'Import from defimon'!$A:$A,0),MATCH($A108,'Import from defimon'!$1:$1,0)))</f>
        <v/>
      </c>
      <c r="CN108" s="13" t="str">
        <f t="array" ref="CN108">iferror(INDEX('Import from defimon'!$1:$100,MATCH(CN$1,'Import from defimon'!$A:$A,0),MATCH($A108,'Import from defimon'!$1:$1,0)))</f>
        <v/>
      </c>
      <c r="CP108" s="13" t="str">
        <f t="array" ref="CP108">iferror(INDEX('Import from defimon'!$1:$100,MATCH(CP$1,'Import from defimon'!$A:$A,0),MATCH($A108,'Import from defimon'!$1:$1,0)))</f>
        <v/>
      </c>
      <c r="CQ108" s="13" t="str">
        <f t="array" ref="CQ108">iferror(INDEX('Import from defimon'!$1:$100,MATCH(CQ$1,'Import from defimon'!$A:$A,0),MATCH($A108,'Import from defimon'!$1:$1,0)))</f>
        <v/>
      </c>
      <c r="CR108" s="13" t="str">
        <f t="array" ref="CR108">iferror(INDEX('Import from defimon'!$1:$100,MATCH(CR$1,'Import from defimon'!$A:$A,0),MATCH($A108,'Import from defimon'!$1:$1,0)))</f>
        <v/>
      </c>
      <c r="CY108" s="13" t="str">
        <f t="array" ref="CY108">iferror(INDEX('Import from defimon'!$1:$100,MATCH(CY$1,'Import from defimon'!$A:$A,0),MATCH($A108,'Import from defimon'!$1:$1,0)))</f>
        <v/>
      </c>
      <c r="CZ108" s="13" t="str">
        <f t="array" ref="CZ108">iferror(INDEX('Import from defimon'!$1:$100,MATCH(CZ$1,'Import from defimon'!$A:$A,0),MATCH($A108,'Import from defimon'!$1:$1,0)))</f>
        <v/>
      </c>
      <c r="DA108" s="13" t="str">
        <f t="array" ref="DA108">iferror(INDEX('Import from defimon'!$1:$100,MATCH(DA$1,'Import from defimon'!$A:$A,0),MATCH($A108,'Import from defimon'!$1:$1,0)))</f>
        <v/>
      </c>
    </row>
    <row r="109" ht="15.75" customHeight="1">
      <c r="AS109" s="13" t="str">
        <f>iferror(VLOOKUP($A109,EAM!H$2:I$14,2,FALSE))</f>
        <v/>
      </c>
      <c r="AU109" s="20"/>
      <c r="AZ109" s="13" t="str">
        <f t="array" ref="AZ109">iferror(INDEX('Import from defimon'!$1:$100,MATCH(AZ$1,'Import from defimon'!$A:$A,0),MATCH($A109,'Import from defimon'!$1:$1,0)))</f>
        <v/>
      </c>
      <c r="BH109" s="13" t="str">
        <f t="array" ref="BH109">iferror(INDEX('Import from defimon'!$1:$100,MATCH(BH$1,'Import from defimon'!$A:$A,0),MATCH($A109,'Import from defimon'!$1:$1,0)))</f>
        <v/>
      </c>
      <c r="BJ109" s="13" t="str">
        <f t="array" ref="BJ109">iferror(INDEX('Import from defimon'!$1:$100,MATCH(BJ$1,'Import from defimon'!$A:$A,0),MATCH($A109,'Import from defimon'!$1:$1,0)))</f>
        <v/>
      </c>
      <c r="BK109" s="13" t="str">
        <f t="array" ref="BK109">iferror(INDEX('Import from defimon'!$1:$100,MATCH(BK$1,'Import from defimon'!$A:$A,0),MATCH($A109,'Import from defimon'!$1:$1,0)))</f>
        <v/>
      </c>
      <c r="BL109" s="13" t="str">
        <f t="array" ref="BL109">iferror(INDEX('Import from defimon'!$1:$100,MATCH(BL$1,'Import from defimon'!$A:$A,0),MATCH($A109,'Import from defimon'!$1:$1,0)))</f>
        <v/>
      </c>
      <c r="BN109" s="13" t="str">
        <f t="array" ref="BN109">iferror(INDEX('Import from defimon'!$1:$100,MATCH(BN$1,'Import from defimon'!$A:$A,0),MATCH($A109,'Import from defimon'!$1:$1,0)))</f>
        <v/>
      </c>
      <c r="BO109" s="13" t="str">
        <f t="array" ref="BO109">iferror(INDEX('Import from defimon'!$1:$100,MATCH(BO$1,'Import from defimon'!$A:$A,0),MATCH($A109,'Import from defimon'!$1:$1,0)))</f>
        <v/>
      </c>
      <c r="BP109" s="13" t="str">
        <f t="array" ref="BP109">iferror(INDEX('Import from defimon'!$1:$100,MATCH(BP$1,'Import from defimon'!$A:$A,0),MATCH($A109,'Import from defimon'!$1:$1,0)))</f>
        <v/>
      </c>
      <c r="BQ109" s="13" t="str">
        <f t="array" ref="BQ109">iferror(INDEX('Import from defimon'!$1:$100,MATCH(BQ$1,'Import from defimon'!$A:$A,0),MATCH($A109,'Import from defimon'!$1:$1,0)))</f>
        <v/>
      </c>
      <c r="BR109" s="13" t="str">
        <f t="array" ref="BR109">iferror(INDEX('Import from defimon'!$1:$100,MATCH(BR$1,'Import from defimon'!$A:$A,0),MATCH($A109,'Import from defimon'!$1:$1,0)))</f>
        <v/>
      </c>
      <c r="BS109" s="13" t="str">
        <f t="array" ref="BS109">iferror(INDEX('Import from defimon'!$1:$100,MATCH(BS$1,'Import from defimon'!$A:$A,0),MATCH($A109,'Import from defimon'!$1:$1,0)))</f>
        <v/>
      </c>
      <c r="BT109" s="13" t="str">
        <f t="array" ref="BT109">iferror(INDEX('Import from defimon'!$1:$100,MATCH(BT$1,'Import from defimon'!$A:$A,0),MATCH($A109,'Import from defimon'!$1:$1,0)))</f>
        <v/>
      </c>
      <c r="BV109" s="13" t="str">
        <f t="array" ref="BV109">iferror(INDEX('Import from defimon'!$1:$100,MATCH(BV$1,'Import from defimon'!$A:$A,0),MATCH($A109,'Import from defimon'!$1:$1,0)))</f>
        <v/>
      </c>
      <c r="BW109" s="13" t="str">
        <f t="array" ref="BW109">iferror(INDEX('Import from defimon'!$1:$100,MATCH(BW$1,'Import from defimon'!$A:$A,0),MATCH($A109,'Import from defimon'!$1:$1,0)))</f>
        <v/>
      </c>
      <c r="BX109" s="13" t="str">
        <f t="array" ref="BX109">iferror(INDEX('Import from defimon'!$1:$100,MATCH(BX$1,'Import from defimon'!$A:$A,0),MATCH($A109,'Import from defimon'!$1:$1,0)))</f>
        <v/>
      </c>
      <c r="CA109" s="13" t="str">
        <f t="array" ref="CA109">iferror(INDEX('Import from defimon'!$1:$100,MATCH(CA$1,'Import from defimon'!$A:$A,0),MATCH($A109,'Import from defimon'!$1:$1,0)))</f>
        <v/>
      </c>
      <c r="CB109" s="13" t="str">
        <f t="array" ref="CB109">iferror(INDEX('Import from defimon'!$1:$100,MATCH(CB$1,'Import from defimon'!$A:$A,0),MATCH($A109,'Import from defimon'!$1:$1,0)))</f>
        <v/>
      </c>
      <c r="CC109" s="13" t="str">
        <f t="array" ref="CC109">iferror(INDEX('Import from defimon'!$1:$100,MATCH(CC$1,'Import from defimon'!$A:$A,0),MATCH($A109,'Import from defimon'!$1:$1,0)))</f>
        <v/>
      </c>
      <c r="CD109" s="13" t="str">
        <f t="array" ref="CD109">iferror(INDEX('Import from defimon'!$1:$100,MATCH(CD$1,'Import from defimon'!$A:$A,0),MATCH($A109,'Import from defimon'!$1:$1,0)))</f>
        <v/>
      </c>
      <c r="CE109" s="13" t="str">
        <f t="array" ref="CE109">iferror(INDEX('Import from defimon'!$1:$100,MATCH(CE$1,'Import from defimon'!$A:$A,0),MATCH($A109,'Import from defimon'!$1:$1,0)))</f>
        <v/>
      </c>
      <c r="CF109" s="13" t="str">
        <f t="array" ref="CF109">iferror(INDEX('Import from defimon'!$1:$100,MATCH(CF$1,'Import from defimon'!$A:$A,0),MATCH($A109,'Import from defimon'!$1:$1,0)))</f>
        <v/>
      </c>
      <c r="CG109" s="13" t="str">
        <f t="array" ref="CG109">iferror(INDEX('Import from defimon'!$1:$100,MATCH(CG$1,'Import from defimon'!$A:$A,0),MATCH($A109,'Import from defimon'!$1:$1,0)))</f>
        <v/>
      </c>
      <c r="CH109" s="13" t="str">
        <f t="array" ref="CH109">iferror(INDEX('Import from defimon'!$1:$100,MATCH(CH$1,'Import from defimon'!$A:$A,0),MATCH($A109,'Import from defimon'!$1:$1,0)))</f>
        <v/>
      </c>
      <c r="CI109" s="13" t="str">
        <f t="array" ref="CI109">iferror(INDEX('Import from defimon'!$1:$100,MATCH(CI$1,'Import from defimon'!$A:$A,0),MATCH($A109,'Import from defimon'!$1:$1,0)))</f>
        <v/>
      </c>
      <c r="CJ109" s="13" t="str">
        <f t="array" ref="CJ109">iferror(INDEX('Import from defimon'!$1:$100,MATCH(CJ$1,'Import from defimon'!$A:$A,0),MATCH($A109,'Import from defimon'!$1:$1,0)))</f>
        <v/>
      </c>
      <c r="CK109" s="13" t="str">
        <f t="array" ref="CK109">iferror(INDEX('Import from defimon'!$1:$100,MATCH(CK$1,'Import from defimon'!$A:$A,0),MATCH($A109,'Import from defimon'!$1:$1,0)))</f>
        <v/>
      </c>
      <c r="CL109" s="13" t="str">
        <f t="array" ref="CL109">iferror(INDEX('Import from defimon'!$1:$100,MATCH(CL$1,'Import from defimon'!$A:$A,0),MATCH($A109,'Import from defimon'!$1:$1,0)))</f>
        <v/>
      </c>
      <c r="CM109" s="13" t="str">
        <f t="array" ref="CM109">iferror(INDEX('Import from defimon'!$1:$100,MATCH(CM$1,'Import from defimon'!$A:$A,0),MATCH($A109,'Import from defimon'!$1:$1,0)))</f>
        <v/>
      </c>
      <c r="CN109" s="13" t="str">
        <f t="array" ref="CN109">iferror(INDEX('Import from defimon'!$1:$100,MATCH(CN$1,'Import from defimon'!$A:$A,0),MATCH($A109,'Import from defimon'!$1:$1,0)))</f>
        <v/>
      </c>
      <c r="CP109" s="13" t="str">
        <f t="array" ref="CP109">iferror(INDEX('Import from defimon'!$1:$100,MATCH(CP$1,'Import from defimon'!$A:$A,0),MATCH($A109,'Import from defimon'!$1:$1,0)))</f>
        <v/>
      </c>
      <c r="CQ109" s="13" t="str">
        <f t="array" ref="CQ109">iferror(INDEX('Import from defimon'!$1:$100,MATCH(CQ$1,'Import from defimon'!$A:$A,0),MATCH($A109,'Import from defimon'!$1:$1,0)))</f>
        <v/>
      </c>
      <c r="CR109" s="13" t="str">
        <f t="array" ref="CR109">iferror(INDEX('Import from defimon'!$1:$100,MATCH(CR$1,'Import from defimon'!$A:$A,0),MATCH($A109,'Import from defimon'!$1:$1,0)))</f>
        <v/>
      </c>
      <c r="CY109" s="13" t="str">
        <f t="array" ref="CY109">iferror(INDEX('Import from defimon'!$1:$100,MATCH(CY$1,'Import from defimon'!$A:$A,0),MATCH($A109,'Import from defimon'!$1:$1,0)))</f>
        <v/>
      </c>
      <c r="CZ109" s="13" t="str">
        <f t="array" ref="CZ109">iferror(INDEX('Import from defimon'!$1:$100,MATCH(CZ$1,'Import from defimon'!$A:$A,0),MATCH($A109,'Import from defimon'!$1:$1,0)))</f>
        <v/>
      </c>
      <c r="DA109" s="13" t="str">
        <f t="array" ref="DA109">iferror(INDEX('Import from defimon'!$1:$100,MATCH(DA$1,'Import from defimon'!$A:$A,0),MATCH($A109,'Import from defimon'!$1:$1,0)))</f>
        <v/>
      </c>
    </row>
    <row r="110" ht="15.75" customHeight="1">
      <c r="AS110" s="13" t="str">
        <f>iferror(VLOOKUP($A110,EAM!H$2:I$14,2,FALSE))</f>
        <v/>
      </c>
      <c r="AU110" s="19"/>
      <c r="AZ110" s="13" t="str">
        <f t="array" ref="AZ110">iferror(INDEX('Import from defimon'!$1:$100,MATCH(AZ$1,'Import from defimon'!$A:$A,0),MATCH($A110,'Import from defimon'!$1:$1,0)))</f>
        <v/>
      </c>
      <c r="BH110" s="13" t="str">
        <f t="array" ref="BH110">iferror(INDEX('Import from defimon'!$1:$100,MATCH(BH$1,'Import from defimon'!$A:$A,0),MATCH($A110,'Import from defimon'!$1:$1,0)))</f>
        <v/>
      </c>
      <c r="BJ110" s="13" t="str">
        <f t="array" ref="BJ110">iferror(INDEX('Import from defimon'!$1:$100,MATCH(BJ$1,'Import from defimon'!$A:$A,0),MATCH($A110,'Import from defimon'!$1:$1,0)))</f>
        <v/>
      </c>
      <c r="BK110" s="13" t="str">
        <f t="array" ref="BK110">iferror(INDEX('Import from defimon'!$1:$100,MATCH(BK$1,'Import from defimon'!$A:$A,0),MATCH($A110,'Import from defimon'!$1:$1,0)))</f>
        <v/>
      </c>
      <c r="BL110" s="13" t="str">
        <f t="array" ref="BL110">iferror(INDEX('Import from defimon'!$1:$100,MATCH(BL$1,'Import from defimon'!$A:$A,0),MATCH($A110,'Import from defimon'!$1:$1,0)))</f>
        <v/>
      </c>
      <c r="BN110" s="13" t="str">
        <f t="array" ref="BN110">iferror(INDEX('Import from defimon'!$1:$100,MATCH(BN$1,'Import from defimon'!$A:$A,0),MATCH($A110,'Import from defimon'!$1:$1,0)))</f>
        <v/>
      </c>
      <c r="BO110" s="13" t="str">
        <f t="array" ref="BO110">iferror(INDEX('Import from defimon'!$1:$100,MATCH(BO$1,'Import from defimon'!$A:$A,0),MATCH($A110,'Import from defimon'!$1:$1,0)))</f>
        <v/>
      </c>
      <c r="BP110" s="13" t="str">
        <f t="array" ref="BP110">iferror(INDEX('Import from defimon'!$1:$100,MATCH(BP$1,'Import from defimon'!$A:$A,0),MATCH($A110,'Import from defimon'!$1:$1,0)))</f>
        <v/>
      </c>
      <c r="BQ110" s="13" t="str">
        <f t="array" ref="BQ110">iferror(INDEX('Import from defimon'!$1:$100,MATCH(BQ$1,'Import from defimon'!$A:$A,0),MATCH($A110,'Import from defimon'!$1:$1,0)))</f>
        <v/>
      </c>
      <c r="BR110" s="13" t="str">
        <f t="array" ref="BR110">iferror(INDEX('Import from defimon'!$1:$100,MATCH(BR$1,'Import from defimon'!$A:$A,0),MATCH($A110,'Import from defimon'!$1:$1,0)))</f>
        <v/>
      </c>
      <c r="BS110" s="13" t="str">
        <f t="array" ref="BS110">iferror(INDEX('Import from defimon'!$1:$100,MATCH(BS$1,'Import from defimon'!$A:$A,0),MATCH($A110,'Import from defimon'!$1:$1,0)))</f>
        <v/>
      </c>
      <c r="BT110" s="13" t="str">
        <f t="array" ref="BT110">iferror(INDEX('Import from defimon'!$1:$100,MATCH(BT$1,'Import from defimon'!$A:$A,0),MATCH($A110,'Import from defimon'!$1:$1,0)))</f>
        <v/>
      </c>
      <c r="BV110" s="13" t="str">
        <f t="array" ref="BV110">iferror(INDEX('Import from defimon'!$1:$100,MATCH(BV$1,'Import from defimon'!$A:$A,0),MATCH($A110,'Import from defimon'!$1:$1,0)))</f>
        <v/>
      </c>
      <c r="BW110" s="13" t="str">
        <f t="array" ref="BW110">iferror(INDEX('Import from defimon'!$1:$100,MATCH(BW$1,'Import from defimon'!$A:$A,0),MATCH($A110,'Import from defimon'!$1:$1,0)))</f>
        <v/>
      </c>
      <c r="BX110" s="13" t="str">
        <f t="array" ref="BX110">iferror(INDEX('Import from defimon'!$1:$100,MATCH(BX$1,'Import from defimon'!$A:$A,0),MATCH($A110,'Import from defimon'!$1:$1,0)))</f>
        <v/>
      </c>
      <c r="CA110" s="13" t="str">
        <f t="array" ref="CA110">iferror(INDEX('Import from defimon'!$1:$100,MATCH(CA$1,'Import from defimon'!$A:$A,0),MATCH($A110,'Import from defimon'!$1:$1,0)))</f>
        <v/>
      </c>
      <c r="CB110" s="13" t="str">
        <f t="array" ref="CB110">iferror(INDEX('Import from defimon'!$1:$100,MATCH(CB$1,'Import from defimon'!$A:$A,0),MATCH($A110,'Import from defimon'!$1:$1,0)))</f>
        <v/>
      </c>
      <c r="CC110" s="13" t="str">
        <f t="array" ref="CC110">iferror(INDEX('Import from defimon'!$1:$100,MATCH(CC$1,'Import from defimon'!$A:$A,0),MATCH($A110,'Import from defimon'!$1:$1,0)))</f>
        <v/>
      </c>
      <c r="CD110" s="13" t="str">
        <f t="array" ref="CD110">iferror(INDEX('Import from defimon'!$1:$100,MATCH(CD$1,'Import from defimon'!$A:$A,0),MATCH($A110,'Import from defimon'!$1:$1,0)))</f>
        <v/>
      </c>
      <c r="CE110" s="13" t="str">
        <f t="array" ref="CE110">iferror(INDEX('Import from defimon'!$1:$100,MATCH(CE$1,'Import from defimon'!$A:$A,0),MATCH($A110,'Import from defimon'!$1:$1,0)))</f>
        <v/>
      </c>
      <c r="CF110" s="13" t="str">
        <f t="array" ref="CF110">iferror(INDEX('Import from defimon'!$1:$100,MATCH(CF$1,'Import from defimon'!$A:$A,0),MATCH($A110,'Import from defimon'!$1:$1,0)))</f>
        <v/>
      </c>
      <c r="CG110" s="13" t="str">
        <f t="array" ref="CG110">iferror(INDEX('Import from defimon'!$1:$100,MATCH(CG$1,'Import from defimon'!$A:$A,0),MATCH($A110,'Import from defimon'!$1:$1,0)))</f>
        <v/>
      </c>
      <c r="CH110" s="13" t="str">
        <f t="array" ref="CH110">iferror(INDEX('Import from defimon'!$1:$100,MATCH(CH$1,'Import from defimon'!$A:$A,0),MATCH($A110,'Import from defimon'!$1:$1,0)))</f>
        <v/>
      </c>
      <c r="CI110" s="13" t="str">
        <f t="array" ref="CI110">iferror(INDEX('Import from defimon'!$1:$100,MATCH(CI$1,'Import from defimon'!$A:$A,0),MATCH($A110,'Import from defimon'!$1:$1,0)))</f>
        <v/>
      </c>
      <c r="CJ110" s="13" t="str">
        <f t="array" ref="CJ110">iferror(INDEX('Import from defimon'!$1:$100,MATCH(CJ$1,'Import from defimon'!$A:$A,0),MATCH($A110,'Import from defimon'!$1:$1,0)))</f>
        <v/>
      </c>
      <c r="CK110" s="13" t="str">
        <f t="array" ref="CK110">iferror(INDEX('Import from defimon'!$1:$100,MATCH(CK$1,'Import from defimon'!$A:$A,0),MATCH($A110,'Import from defimon'!$1:$1,0)))</f>
        <v/>
      </c>
      <c r="CL110" s="13" t="str">
        <f t="array" ref="CL110">iferror(INDEX('Import from defimon'!$1:$100,MATCH(CL$1,'Import from defimon'!$A:$A,0),MATCH($A110,'Import from defimon'!$1:$1,0)))</f>
        <v/>
      </c>
      <c r="CM110" s="13" t="str">
        <f t="array" ref="CM110">iferror(INDEX('Import from defimon'!$1:$100,MATCH(CM$1,'Import from defimon'!$A:$A,0),MATCH($A110,'Import from defimon'!$1:$1,0)))</f>
        <v/>
      </c>
      <c r="CN110" s="13" t="str">
        <f t="array" ref="CN110">iferror(INDEX('Import from defimon'!$1:$100,MATCH(CN$1,'Import from defimon'!$A:$A,0),MATCH($A110,'Import from defimon'!$1:$1,0)))</f>
        <v/>
      </c>
      <c r="CP110" s="13" t="str">
        <f t="array" ref="CP110">iferror(INDEX('Import from defimon'!$1:$100,MATCH(CP$1,'Import from defimon'!$A:$A,0),MATCH($A110,'Import from defimon'!$1:$1,0)))</f>
        <v/>
      </c>
      <c r="CQ110" s="13" t="str">
        <f t="array" ref="CQ110">iferror(INDEX('Import from defimon'!$1:$100,MATCH(CQ$1,'Import from defimon'!$A:$A,0),MATCH($A110,'Import from defimon'!$1:$1,0)))</f>
        <v/>
      </c>
      <c r="CR110" s="13" t="str">
        <f t="array" ref="CR110">iferror(INDEX('Import from defimon'!$1:$100,MATCH(CR$1,'Import from defimon'!$A:$A,0),MATCH($A110,'Import from defimon'!$1:$1,0)))</f>
        <v/>
      </c>
      <c r="CY110" s="13" t="str">
        <f t="array" ref="CY110">iferror(INDEX('Import from defimon'!$1:$100,MATCH(CY$1,'Import from defimon'!$A:$A,0),MATCH($A110,'Import from defimon'!$1:$1,0)))</f>
        <v/>
      </c>
      <c r="CZ110" s="13" t="str">
        <f t="array" ref="CZ110">iferror(INDEX('Import from defimon'!$1:$100,MATCH(CZ$1,'Import from defimon'!$A:$A,0),MATCH($A110,'Import from defimon'!$1:$1,0)))</f>
        <v/>
      </c>
      <c r="DA110" s="13" t="str">
        <f t="array" ref="DA110">iferror(INDEX('Import from defimon'!$1:$100,MATCH(DA$1,'Import from defimon'!$A:$A,0),MATCH($A110,'Import from defimon'!$1:$1,0)))</f>
        <v/>
      </c>
    </row>
    <row r="111" ht="15.75" customHeight="1">
      <c r="AS111" s="13" t="str">
        <f>iferror(VLOOKUP($A111,EAM!H$2:I$14,2,FALSE))</f>
        <v/>
      </c>
      <c r="AU111" s="19"/>
      <c r="AZ111" s="13" t="str">
        <f t="array" ref="AZ111">iferror(INDEX('Import from defimon'!$1:$100,MATCH(AZ$1,'Import from defimon'!$A:$A,0),MATCH($A111,'Import from defimon'!$1:$1,0)))</f>
        <v/>
      </c>
      <c r="BH111" s="13" t="str">
        <f t="array" ref="BH111">iferror(INDEX('Import from defimon'!$1:$100,MATCH(BH$1,'Import from defimon'!$A:$A,0),MATCH($A111,'Import from defimon'!$1:$1,0)))</f>
        <v/>
      </c>
      <c r="BJ111" s="13" t="str">
        <f t="array" ref="BJ111">iferror(INDEX('Import from defimon'!$1:$100,MATCH(BJ$1,'Import from defimon'!$A:$A,0),MATCH($A111,'Import from defimon'!$1:$1,0)))</f>
        <v/>
      </c>
      <c r="BK111" s="13" t="str">
        <f t="array" ref="BK111">iferror(INDEX('Import from defimon'!$1:$100,MATCH(BK$1,'Import from defimon'!$A:$A,0),MATCH($A111,'Import from defimon'!$1:$1,0)))</f>
        <v/>
      </c>
      <c r="BL111" s="13" t="str">
        <f t="array" ref="BL111">iferror(INDEX('Import from defimon'!$1:$100,MATCH(BL$1,'Import from defimon'!$A:$A,0),MATCH($A111,'Import from defimon'!$1:$1,0)))</f>
        <v/>
      </c>
      <c r="BN111" s="13" t="str">
        <f t="array" ref="BN111">iferror(INDEX('Import from defimon'!$1:$100,MATCH(BN$1,'Import from defimon'!$A:$A,0),MATCH($A111,'Import from defimon'!$1:$1,0)))</f>
        <v/>
      </c>
      <c r="BO111" s="13" t="str">
        <f t="array" ref="BO111">iferror(INDEX('Import from defimon'!$1:$100,MATCH(BO$1,'Import from defimon'!$A:$A,0),MATCH($A111,'Import from defimon'!$1:$1,0)))</f>
        <v/>
      </c>
      <c r="BP111" s="13" t="str">
        <f t="array" ref="BP111">iferror(INDEX('Import from defimon'!$1:$100,MATCH(BP$1,'Import from defimon'!$A:$A,0),MATCH($A111,'Import from defimon'!$1:$1,0)))</f>
        <v/>
      </c>
      <c r="BQ111" s="13" t="str">
        <f t="array" ref="BQ111">iferror(INDEX('Import from defimon'!$1:$100,MATCH(BQ$1,'Import from defimon'!$A:$A,0),MATCH($A111,'Import from defimon'!$1:$1,0)))</f>
        <v/>
      </c>
      <c r="BR111" s="13" t="str">
        <f t="array" ref="BR111">iferror(INDEX('Import from defimon'!$1:$100,MATCH(BR$1,'Import from defimon'!$A:$A,0),MATCH($A111,'Import from defimon'!$1:$1,0)))</f>
        <v/>
      </c>
      <c r="BS111" s="13" t="str">
        <f t="array" ref="BS111">iferror(INDEX('Import from defimon'!$1:$100,MATCH(BS$1,'Import from defimon'!$A:$A,0),MATCH($A111,'Import from defimon'!$1:$1,0)))</f>
        <v/>
      </c>
      <c r="BT111" s="13" t="str">
        <f t="array" ref="BT111">iferror(INDEX('Import from defimon'!$1:$100,MATCH(BT$1,'Import from defimon'!$A:$A,0),MATCH($A111,'Import from defimon'!$1:$1,0)))</f>
        <v/>
      </c>
      <c r="BV111" s="13" t="str">
        <f t="array" ref="BV111">iferror(INDEX('Import from defimon'!$1:$100,MATCH(BV$1,'Import from defimon'!$A:$A,0),MATCH($A111,'Import from defimon'!$1:$1,0)))</f>
        <v/>
      </c>
      <c r="BW111" s="13" t="str">
        <f t="array" ref="BW111">iferror(INDEX('Import from defimon'!$1:$100,MATCH(BW$1,'Import from defimon'!$A:$A,0),MATCH($A111,'Import from defimon'!$1:$1,0)))</f>
        <v/>
      </c>
      <c r="BX111" s="13" t="str">
        <f t="array" ref="BX111">iferror(INDEX('Import from defimon'!$1:$100,MATCH(BX$1,'Import from defimon'!$A:$A,0),MATCH($A111,'Import from defimon'!$1:$1,0)))</f>
        <v/>
      </c>
      <c r="CA111" s="13" t="str">
        <f t="array" ref="CA111">iferror(INDEX('Import from defimon'!$1:$100,MATCH(CA$1,'Import from defimon'!$A:$A,0),MATCH($A111,'Import from defimon'!$1:$1,0)))</f>
        <v/>
      </c>
      <c r="CB111" s="13" t="str">
        <f t="array" ref="CB111">iferror(INDEX('Import from defimon'!$1:$100,MATCH(CB$1,'Import from defimon'!$A:$A,0),MATCH($A111,'Import from defimon'!$1:$1,0)))</f>
        <v/>
      </c>
      <c r="CC111" s="13" t="str">
        <f t="array" ref="CC111">iferror(INDEX('Import from defimon'!$1:$100,MATCH(CC$1,'Import from defimon'!$A:$A,0),MATCH($A111,'Import from defimon'!$1:$1,0)))</f>
        <v/>
      </c>
      <c r="CD111" s="13" t="str">
        <f t="array" ref="CD111">iferror(INDEX('Import from defimon'!$1:$100,MATCH(CD$1,'Import from defimon'!$A:$A,0),MATCH($A111,'Import from defimon'!$1:$1,0)))</f>
        <v/>
      </c>
      <c r="CE111" s="13" t="str">
        <f t="array" ref="CE111">iferror(INDEX('Import from defimon'!$1:$100,MATCH(CE$1,'Import from defimon'!$A:$A,0),MATCH($A111,'Import from defimon'!$1:$1,0)))</f>
        <v/>
      </c>
      <c r="CF111" s="13" t="str">
        <f t="array" ref="CF111">iferror(INDEX('Import from defimon'!$1:$100,MATCH(CF$1,'Import from defimon'!$A:$A,0),MATCH($A111,'Import from defimon'!$1:$1,0)))</f>
        <v/>
      </c>
      <c r="CG111" s="13" t="str">
        <f t="array" ref="CG111">iferror(INDEX('Import from defimon'!$1:$100,MATCH(CG$1,'Import from defimon'!$A:$A,0),MATCH($A111,'Import from defimon'!$1:$1,0)))</f>
        <v/>
      </c>
      <c r="CH111" s="13" t="str">
        <f t="array" ref="CH111">iferror(INDEX('Import from defimon'!$1:$100,MATCH(CH$1,'Import from defimon'!$A:$A,0),MATCH($A111,'Import from defimon'!$1:$1,0)))</f>
        <v/>
      </c>
      <c r="CI111" s="13" t="str">
        <f t="array" ref="CI111">iferror(INDEX('Import from defimon'!$1:$100,MATCH(CI$1,'Import from defimon'!$A:$A,0),MATCH($A111,'Import from defimon'!$1:$1,0)))</f>
        <v/>
      </c>
      <c r="CJ111" s="13" t="str">
        <f t="array" ref="CJ111">iferror(INDEX('Import from defimon'!$1:$100,MATCH(CJ$1,'Import from defimon'!$A:$A,0),MATCH($A111,'Import from defimon'!$1:$1,0)))</f>
        <v/>
      </c>
      <c r="CK111" s="13" t="str">
        <f t="array" ref="CK111">iferror(INDEX('Import from defimon'!$1:$100,MATCH(CK$1,'Import from defimon'!$A:$A,0),MATCH($A111,'Import from defimon'!$1:$1,0)))</f>
        <v/>
      </c>
      <c r="CL111" s="13" t="str">
        <f t="array" ref="CL111">iferror(INDEX('Import from defimon'!$1:$100,MATCH(CL$1,'Import from defimon'!$A:$A,0),MATCH($A111,'Import from defimon'!$1:$1,0)))</f>
        <v/>
      </c>
      <c r="CM111" s="13" t="str">
        <f t="array" ref="CM111">iferror(INDEX('Import from defimon'!$1:$100,MATCH(CM$1,'Import from defimon'!$A:$A,0),MATCH($A111,'Import from defimon'!$1:$1,0)))</f>
        <v/>
      </c>
      <c r="CN111" s="13" t="str">
        <f t="array" ref="CN111">iferror(INDEX('Import from defimon'!$1:$100,MATCH(CN$1,'Import from defimon'!$A:$A,0),MATCH($A111,'Import from defimon'!$1:$1,0)))</f>
        <v/>
      </c>
      <c r="CP111" s="13" t="str">
        <f t="array" ref="CP111">iferror(INDEX('Import from defimon'!$1:$100,MATCH(CP$1,'Import from defimon'!$A:$A,0),MATCH($A111,'Import from defimon'!$1:$1,0)))</f>
        <v/>
      </c>
      <c r="CQ111" s="13" t="str">
        <f t="array" ref="CQ111">iferror(INDEX('Import from defimon'!$1:$100,MATCH(CQ$1,'Import from defimon'!$A:$A,0),MATCH($A111,'Import from defimon'!$1:$1,0)))</f>
        <v/>
      </c>
      <c r="CR111" s="13" t="str">
        <f t="array" ref="CR111">iferror(INDEX('Import from defimon'!$1:$100,MATCH(CR$1,'Import from defimon'!$A:$A,0),MATCH($A111,'Import from defimon'!$1:$1,0)))</f>
        <v/>
      </c>
      <c r="CY111" s="13" t="str">
        <f t="array" ref="CY111">iferror(INDEX('Import from defimon'!$1:$100,MATCH(CY$1,'Import from defimon'!$A:$A,0),MATCH($A111,'Import from defimon'!$1:$1,0)))</f>
        <v/>
      </c>
      <c r="CZ111" s="13" t="str">
        <f t="array" ref="CZ111">iferror(INDEX('Import from defimon'!$1:$100,MATCH(CZ$1,'Import from defimon'!$A:$A,0),MATCH($A111,'Import from defimon'!$1:$1,0)))</f>
        <v/>
      </c>
      <c r="DA111" s="13" t="str">
        <f t="array" ref="DA111">iferror(INDEX('Import from defimon'!$1:$100,MATCH(DA$1,'Import from defimon'!$A:$A,0),MATCH($A111,'Import from defimon'!$1:$1,0)))</f>
        <v/>
      </c>
    </row>
    <row r="112" ht="15.75" customHeight="1">
      <c r="AS112" s="13" t="str">
        <f>iferror(VLOOKUP($A112,EAM!H$2:I$14,2,FALSE))</f>
        <v/>
      </c>
      <c r="AU112" s="19"/>
      <c r="AZ112" s="13" t="str">
        <f t="array" ref="AZ112">iferror(INDEX('Import from defimon'!$1:$100,MATCH(AZ$1,'Import from defimon'!$A:$A,0),MATCH($A112,'Import from defimon'!$1:$1,0)))</f>
        <v/>
      </c>
      <c r="BH112" s="13" t="str">
        <f t="array" ref="BH112">iferror(INDEX('Import from defimon'!$1:$100,MATCH(BH$1,'Import from defimon'!$A:$A,0),MATCH($A112,'Import from defimon'!$1:$1,0)))</f>
        <v/>
      </c>
      <c r="BJ112" s="13" t="str">
        <f t="array" ref="BJ112">iferror(INDEX('Import from defimon'!$1:$100,MATCH(BJ$1,'Import from defimon'!$A:$A,0),MATCH($A112,'Import from defimon'!$1:$1,0)))</f>
        <v/>
      </c>
      <c r="BK112" s="13" t="str">
        <f t="array" ref="BK112">iferror(INDEX('Import from defimon'!$1:$100,MATCH(BK$1,'Import from defimon'!$A:$A,0),MATCH($A112,'Import from defimon'!$1:$1,0)))</f>
        <v/>
      </c>
      <c r="BL112" s="13" t="str">
        <f t="array" ref="BL112">iferror(INDEX('Import from defimon'!$1:$100,MATCH(BL$1,'Import from defimon'!$A:$A,0),MATCH($A112,'Import from defimon'!$1:$1,0)))</f>
        <v/>
      </c>
      <c r="BN112" s="13" t="str">
        <f t="array" ref="BN112">iferror(INDEX('Import from defimon'!$1:$100,MATCH(BN$1,'Import from defimon'!$A:$A,0),MATCH($A112,'Import from defimon'!$1:$1,0)))</f>
        <v/>
      </c>
      <c r="BO112" s="13" t="str">
        <f t="array" ref="BO112">iferror(INDEX('Import from defimon'!$1:$100,MATCH(BO$1,'Import from defimon'!$A:$A,0),MATCH($A112,'Import from defimon'!$1:$1,0)))</f>
        <v/>
      </c>
      <c r="BP112" s="13" t="str">
        <f t="array" ref="BP112">iferror(INDEX('Import from defimon'!$1:$100,MATCH(BP$1,'Import from defimon'!$A:$A,0),MATCH($A112,'Import from defimon'!$1:$1,0)))</f>
        <v/>
      </c>
      <c r="BQ112" s="13" t="str">
        <f t="array" ref="BQ112">iferror(INDEX('Import from defimon'!$1:$100,MATCH(BQ$1,'Import from defimon'!$A:$A,0),MATCH($A112,'Import from defimon'!$1:$1,0)))</f>
        <v/>
      </c>
      <c r="BR112" s="13" t="str">
        <f t="array" ref="BR112">iferror(INDEX('Import from defimon'!$1:$100,MATCH(BR$1,'Import from defimon'!$A:$A,0),MATCH($A112,'Import from defimon'!$1:$1,0)))</f>
        <v/>
      </c>
      <c r="BS112" s="13" t="str">
        <f t="array" ref="BS112">iferror(INDEX('Import from defimon'!$1:$100,MATCH(BS$1,'Import from defimon'!$A:$A,0),MATCH($A112,'Import from defimon'!$1:$1,0)))</f>
        <v/>
      </c>
      <c r="BT112" s="13" t="str">
        <f t="array" ref="BT112">iferror(INDEX('Import from defimon'!$1:$100,MATCH(BT$1,'Import from defimon'!$A:$A,0),MATCH($A112,'Import from defimon'!$1:$1,0)))</f>
        <v/>
      </c>
      <c r="BV112" s="13" t="str">
        <f t="array" ref="BV112">iferror(INDEX('Import from defimon'!$1:$100,MATCH(BV$1,'Import from defimon'!$A:$A,0),MATCH($A112,'Import from defimon'!$1:$1,0)))</f>
        <v/>
      </c>
      <c r="BW112" s="13" t="str">
        <f t="array" ref="BW112">iferror(INDEX('Import from defimon'!$1:$100,MATCH(BW$1,'Import from defimon'!$A:$A,0),MATCH($A112,'Import from defimon'!$1:$1,0)))</f>
        <v/>
      </c>
      <c r="BX112" s="13" t="str">
        <f t="array" ref="BX112">iferror(INDEX('Import from defimon'!$1:$100,MATCH(BX$1,'Import from defimon'!$A:$A,0),MATCH($A112,'Import from defimon'!$1:$1,0)))</f>
        <v/>
      </c>
      <c r="CA112" s="13" t="str">
        <f t="array" ref="CA112">iferror(INDEX('Import from defimon'!$1:$100,MATCH(CA$1,'Import from defimon'!$A:$A,0),MATCH($A112,'Import from defimon'!$1:$1,0)))</f>
        <v/>
      </c>
      <c r="CB112" s="13" t="str">
        <f t="array" ref="CB112">iferror(INDEX('Import from defimon'!$1:$100,MATCH(CB$1,'Import from defimon'!$A:$A,0),MATCH($A112,'Import from defimon'!$1:$1,0)))</f>
        <v/>
      </c>
      <c r="CC112" s="13" t="str">
        <f t="array" ref="CC112">iferror(INDEX('Import from defimon'!$1:$100,MATCH(CC$1,'Import from defimon'!$A:$A,0),MATCH($A112,'Import from defimon'!$1:$1,0)))</f>
        <v/>
      </c>
      <c r="CD112" s="13" t="str">
        <f t="array" ref="CD112">iferror(INDEX('Import from defimon'!$1:$100,MATCH(CD$1,'Import from defimon'!$A:$A,0),MATCH($A112,'Import from defimon'!$1:$1,0)))</f>
        <v/>
      </c>
      <c r="CE112" s="13" t="str">
        <f t="array" ref="CE112">iferror(INDEX('Import from defimon'!$1:$100,MATCH(CE$1,'Import from defimon'!$A:$A,0),MATCH($A112,'Import from defimon'!$1:$1,0)))</f>
        <v/>
      </c>
      <c r="CF112" s="13" t="str">
        <f t="array" ref="CF112">iferror(INDEX('Import from defimon'!$1:$100,MATCH(CF$1,'Import from defimon'!$A:$A,0),MATCH($A112,'Import from defimon'!$1:$1,0)))</f>
        <v/>
      </c>
      <c r="CG112" s="13" t="str">
        <f t="array" ref="CG112">iferror(INDEX('Import from defimon'!$1:$100,MATCH(CG$1,'Import from defimon'!$A:$A,0),MATCH($A112,'Import from defimon'!$1:$1,0)))</f>
        <v/>
      </c>
      <c r="CH112" s="13" t="str">
        <f t="array" ref="CH112">iferror(INDEX('Import from defimon'!$1:$100,MATCH(CH$1,'Import from defimon'!$A:$A,0),MATCH($A112,'Import from defimon'!$1:$1,0)))</f>
        <v/>
      </c>
      <c r="CI112" s="13" t="str">
        <f t="array" ref="CI112">iferror(INDEX('Import from defimon'!$1:$100,MATCH(CI$1,'Import from defimon'!$A:$A,0),MATCH($A112,'Import from defimon'!$1:$1,0)))</f>
        <v/>
      </c>
      <c r="CJ112" s="13" t="str">
        <f t="array" ref="CJ112">iferror(INDEX('Import from defimon'!$1:$100,MATCH(CJ$1,'Import from defimon'!$A:$A,0),MATCH($A112,'Import from defimon'!$1:$1,0)))</f>
        <v/>
      </c>
      <c r="CK112" s="13" t="str">
        <f t="array" ref="CK112">iferror(INDEX('Import from defimon'!$1:$100,MATCH(CK$1,'Import from defimon'!$A:$A,0),MATCH($A112,'Import from defimon'!$1:$1,0)))</f>
        <v/>
      </c>
      <c r="CL112" s="13" t="str">
        <f t="array" ref="CL112">iferror(INDEX('Import from defimon'!$1:$100,MATCH(CL$1,'Import from defimon'!$A:$A,0),MATCH($A112,'Import from defimon'!$1:$1,0)))</f>
        <v/>
      </c>
      <c r="CM112" s="13" t="str">
        <f t="array" ref="CM112">iferror(INDEX('Import from defimon'!$1:$100,MATCH(CM$1,'Import from defimon'!$A:$A,0),MATCH($A112,'Import from defimon'!$1:$1,0)))</f>
        <v/>
      </c>
      <c r="CN112" s="13" t="str">
        <f t="array" ref="CN112">iferror(INDEX('Import from defimon'!$1:$100,MATCH(CN$1,'Import from defimon'!$A:$A,0),MATCH($A112,'Import from defimon'!$1:$1,0)))</f>
        <v/>
      </c>
      <c r="CP112" s="13" t="str">
        <f t="array" ref="CP112">iferror(INDEX('Import from defimon'!$1:$100,MATCH(CP$1,'Import from defimon'!$A:$A,0),MATCH($A112,'Import from defimon'!$1:$1,0)))</f>
        <v/>
      </c>
      <c r="CQ112" s="13" t="str">
        <f t="array" ref="CQ112">iferror(INDEX('Import from defimon'!$1:$100,MATCH(CQ$1,'Import from defimon'!$A:$A,0),MATCH($A112,'Import from defimon'!$1:$1,0)))</f>
        <v/>
      </c>
      <c r="CR112" s="13" t="str">
        <f t="array" ref="CR112">iferror(INDEX('Import from defimon'!$1:$100,MATCH(CR$1,'Import from defimon'!$A:$A,0),MATCH($A112,'Import from defimon'!$1:$1,0)))</f>
        <v/>
      </c>
      <c r="CY112" s="13" t="str">
        <f t="array" ref="CY112">iferror(INDEX('Import from defimon'!$1:$100,MATCH(CY$1,'Import from defimon'!$A:$A,0),MATCH($A112,'Import from defimon'!$1:$1,0)))</f>
        <v/>
      </c>
      <c r="CZ112" s="13" t="str">
        <f t="array" ref="CZ112">iferror(INDEX('Import from defimon'!$1:$100,MATCH(CZ$1,'Import from defimon'!$A:$A,0),MATCH($A112,'Import from defimon'!$1:$1,0)))</f>
        <v/>
      </c>
      <c r="DA112" s="13" t="str">
        <f t="array" ref="DA112">iferror(INDEX('Import from defimon'!$1:$100,MATCH(DA$1,'Import from defimon'!$A:$A,0),MATCH($A112,'Import from defimon'!$1:$1,0)))</f>
        <v/>
      </c>
    </row>
    <row r="113" ht="15.75" customHeight="1">
      <c r="AS113" s="13" t="str">
        <f>iferror(VLOOKUP($A113,EAM!H$2:I$14,2,FALSE))</f>
        <v/>
      </c>
      <c r="AU113" s="19"/>
      <c r="AZ113" s="13" t="str">
        <f t="array" ref="AZ113">iferror(INDEX('Import from defimon'!$1:$100,MATCH(AZ$1,'Import from defimon'!$A:$A,0),MATCH($A113,'Import from defimon'!$1:$1,0)))</f>
        <v/>
      </c>
      <c r="BH113" s="13" t="str">
        <f t="array" ref="BH113">iferror(INDEX('Import from defimon'!$1:$100,MATCH(BH$1,'Import from defimon'!$A:$A,0),MATCH($A113,'Import from defimon'!$1:$1,0)))</f>
        <v/>
      </c>
      <c r="BJ113" s="13" t="str">
        <f t="array" ref="BJ113">iferror(INDEX('Import from defimon'!$1:$100,MATCH(BJ$1,'Import from defimon'!$A:$A,0),MATCH($A113,'Import from defimon'!$1:$1,0)))</f>
        <v/>
      </c>
      <c r="BK113" s="13" t="str">
        <f t="array" ref="BK113">iferror(INDEX('Import from defimon'!$1:$100,MATCH(BK$1,'Import from defimon'!$A:$A,0),MATCH($A113,'Import from defimon'!$1:$1,0)))</f>
        <v/>
      </c>
      <c r="BL113" s="13" t="str">
        <f t="array" ref="BL113">iferror(INDEX('Import from defimon'!$1:$100,MATCH(BL$1,'Import from defimon'!$A:$A,0),MATCH($A113,'Import from defimon'!$1:$1,0)))</f>
        <v/>
      </c>
      <c r="BN113" s="13" t="str">
        <f t="array" ref="BN113">iferror(INDEX('Import from defimon'!$1:$100,MATCH(BN$1,'Import from defimon'!$A:$A,0),MATCH($A113,'Import from defimon'!$1:$1,0)))</f>
        <v/>
      </c>
      <c r="BO113" s="13" t="str">
        <f t="array" ref="BO113">iferror(INDEX('Import from defimon'!$1:$100,MATCH(BO$1,'Import from defimon'!$A:$A,0),MATCH($A113,'Import from defimon'!$1:$1,0)))</f>
        <v/>
      </c>
      <c r="BP113" s="13" t="str">
        <f t="array" ref="BP113">iferror(INDEX('Import from defimon'!$1:$100,MATCH(BP$1,'Import from defimon'!$A:$A,0),MATCH($A113,'Import from defimon'!$1:$1,0)))</f>
        <v/>
      </c>
      <c r="BQ113" s="13" t="str">
        <f t="array" ref="BQ113">iferror(INDEX('Import from defimon'!$1:$100,MATCH(BQ$1,'Import from defimon'!$A:$A,0),MATCH($A113,'Import from defimon'!$1:$1,0)))</f>
        <v/>
      </c>
      <c r="BR113" s="13" t="str">
        <f t="array" ref="BR113">iferror(INDEX('Import from defimon'!$1:$100,MATCH(BR$1,'Import from defimon'!$A:$A,0),MATCH($A113,'Import from defimon'!$1:$1,0)))</f>
        <v/>
      </c>
      <c r="BS113" s="13" t="str">
        <f t="array" ref="BS113">iferror(INDEX('Import from defimon'!$1:$100,MATCH(BS$1,'Import from defimon'!$A:$A,0),MATCH($A113,'Import from defimon'!$1:$1,0)))</f>
        <v/>
      </c>
      <c r="BT113" s="13" t="str">
        <f t="array" ref="BT113">iferror(INDEX('Import from defimon'!$1:$100,MATCH(BT$1,'Import from defimon'!$A:$A,0),MATCH($A113,'Import from defimon'!$1:$1,0)))</f>
        <v/>
      </c>
      <c r="BV113" s="13" t="str">
        <f t="array" ref="BV113">iferror(INDEX('Import from defimon'!$1:$100,MATCH(BV$1,'Import from defimon'!$A:$A,0),MATCH($A113,'Import from defimon'!$1:$1,0)))</f>
        <v/>
      </c>
      <c r="BW113" s="13" t="str">
        <f t="array" ref="BW113">iferror(INDEX('Import from defimon'!$1:$100,MATCH(BW$1,'Import from defimon'!$A:$A,0),MATCH($A113,'Import from defimon'!$1:$1,0)))</f>
        <v/>
      </c>
      <c r="BX113" s="13" t="str">
        <f t="array" ref="BX113">iferror(INDEX('Import from defimon'!$1:$100,MATCH(BX$1,'Import from defimon'!$A:$A,0),MATCH($A113,'Import from defimon'!$1:$1,0)))</f>
        <v/>
      </c>
      <c r="CA113" s="13" t="str">
        <f t="array" ref="CA113">iferror(INDEX('Import from defimon'!$1:$100,MATCH(CA$1,'Import from defimon'!$A:$A,0),MATCH($A113,'Import from defimon'!$1:$1,0)))</f>
        <v/>
      </c>
      <c r="CB113" s="13" t="str">
        <f t="array" ref="CB113">iferror(INDEX('Import from defimon'!$1:$100,MATCH(CB$1,'Import from defimon'!$A:$A,0),MATCH($A113,'Import from defimon'!$1:$1,0)))</f>
        <v/>
      </c>
      <c r="CC113" s="13" t="str">
        <f t="array" ref="CC113">iferror(INDEX('Import from defimon'!$1:$100,MATCH(CC$1,'Import from defimon'!$A:$A,0),MATCH($A113,'Import from defimon'!$1:$1,0)))</f>
        <v/>
      </c>
      <c r="CD113" s="13" t="str">
        <f t="array" ref="CD113">iferror(INDEX('Import from defimon'!$1:$100,MATCH(CD$1,'Import from defimon'!$A:$A,0),MATCH($A113,'Import from defimon'!$1:$1,0)))</f>
        <v/>
      </c>
      <c r="CE113" s="13" t="str">
        <f t="array" ref="CE113">iferror(INDEX('Import from defimon'!$1:$100,MATCH(CE$1,'Import from defimon'!$A:$A,0),MATCH($A113,'Import from defimon'!$1:$1,0)))</f>
        <v/>
      </c>
      <c r="CF113" s="13" t="str">
        <f t="array" ref="CF113">iferror(INDEX('Import from defimon'!$1:$100,MATCH(CF$1,'Import from defimon'!$A:$A,0),MATCH($A113,'Import from defimon'!$1:$1,0)))</f>
        <v/>
      </c>
      <c r="CG113" s="13" t="str">
        <f t="array" ref="CG113">iferror(INDEX('Import from defimon'!$1:$100,MATCH(CG$1,'Import from defimon'!$A:$A,0),MATCH($A113,'Import from defimon'!$1:$1,0)))</f>
        <v/>
      </c>
      <c r="CH113" s="13" t="str">
        <f t="array" ref="CH113">iferror(INDEX('Import from defimon'!$1:$100,MATCH(CH$1,'Import from defimon'!$A:$A,0),MATCH($A113,'Import from defimon'!$1:$1,0)))</f>
        <v/>
      </c>
      <c r="CI113" s="13" t="str">
        <f t="array" ref="CI113">iferror(INDEX('Import from defimon'!$1:$100,MATCH(CI$1,'Import from defimon'!$A:$A,0),MATCH($A113,'Import from defimon'!$1:$1,0)))</f>
        <v/>
      </c>
      <c r="CJ113" s="13" t="str">
        <f t="array" ref="CJ113">iferror(INDEX('Import from defimon'!$1:$100,MATCH(CJ$1,'Import from defimon'!$A:$A,0),MATCH($A113,'Import from defimon'!$1:$1,0)))</f>
        <v/>
      </c>
      <c r="CK113" s="13" t="str">
        <f t="array" ref="CK113">iferror(INDEX('Import from defimon'!$1:$100,MATCH(CK$1,'Import from defimon'!$A:$A,0),MATCH($A113,'Import from defimon'!$1:$1,0)))</f>
        <v/>
      </c>
      <c r="CL113" s="13" t="str">
        <f t="array" ref="CL113">iferror(INDEX('Import from defimon'!$1:$100,MATCH(CL$1,'Import from defimon'!$A:$A,0),MATCH($A113,'Import from defimon'!$1:$1,0)))</f>
        <v/>
      </c>
      <c r="CM113" s="13" t="str">
        <f t="array" ref="CM113">iferror(INDEX('Import from defimon'!$1:$100,MATCH(CM$1,'Import from defimon'!$A:$A,0),MATCH($A113,'Import from defimon'!$1:$1,0)))</f>
        <v/>
      </c>
      <c r="CN113" s="13" t="str">
        <f t="array" ref="CN113">iferror(INDEX('Import from defimon'!$1:$100,MATCH(CN$1,'Import from defimon'!$A:$A,0),MATCH($A113,'Import from defimon'!$1:$1,0)))</f>
        <v/>
      </c>
      <c r="CP113" s="13" t="str">
        <f t="array" ref="CP113">iferror(INDEX('Import from defimon'!$1:$100,MATCH(CP$1,'Import from defimon'!$A:$A,0),MATCH($A113,'Import from defimon'!$1:$1,0)))</f>
        <v/>
      </c>
      <c r="CQ113" s="13" t="str">
        <f t="array" ref="CQ113">iferror(INDEX('Import from defimon'!$1:$100,MATCH(CQ$1,'Import from defimon'!$A:$A,0),MATCH($A113,'Import from defimon'!$1:$1,0)))</f>
        <v/>
      </c>
      <c r="CR113" s="13" t="str">
        <f t="array" ref="CR113">iferror(INDEX('Import from defimon'!$1:$100,MATCH(CR$1,'Import from defimon'!$A:$A,0),MATCH($A113,'Import from defimon'!$1:$1,0)))</f>
        <v/>
      </c>
      <c r="CY113" s="13" t="str">
        <f t="array" ref="CY113">iferror(INDEX('Import from defimon'!$1:$100,MATCH(CY$1,'Import from defimon'!$A:$A,0),MATCH($A113,'Import from defimon'!$1:$1,0)))</f>
        <v/>
      </c>
      <c r="CZ113" s="13" t="str">
        <f t="array" ref="CZ113">iferror(INDEX('Import from defimon'!$1:$100,MATCH(CZ$1,'Import from defimon'!$A:$A,0),MATCH($A113,'Import from defimon'!$1:$1,0)))</f>
        <v/>
      </c>
      <c r="DA113" s="13" t="str">
        <f t="array" ref="DA113">iferror(INDEX('Import from defimon'!$1:$100,MATCH(DA$1,'Import from defimon'!$A:$A,0),MATCH($A113,'Import from defimon'!$1:$1,0)))</f>
        <v/>
      </c>
    </row>
    <row r="114" ht="15.75" customHeight="1">
      <c r="AS114" s="13" t="str">
        <f>iferror(VLOOKUP($A114,EAM!H$2:I$14,2,FALSE))</f>
        <v/>
      </c>
      <c r="AU114" s="19"/>
      <c r="AZ114" s="13" t="str">
        <f t="array" ref="AZ114">iferror(INDEX('Import from defimon'!$1:$100,MATCH(AZ$1,'Import from defimon'!$A:$A,0),MATCH($A114,'Import from defimon'!$1:$1,0)))</f>
        <v/>
      </c>
      <c r="BH114" s="13" t="str">
        <f t="array" ref="BH114">iferror(INDEX('Import from defimon'!$1:$100,MATCH(BH$1,'Import from defimon'!$A:$A,0),MATCH($A114,'Import from defimon'!$1:$1,0)))</f>
        <v/>
      </c>
      <c r="BJ114" s="13" t="str">
        <f t="array" ref="BJ114">iferror(INDEX('Import from defimon'!$1:$100,MATCH(BJ$1,'Import from defimon'!$A:$A,0),MATCH($A114,'Import from defimon'!$1:$1,0)))</f>
        <v/>
      </c>
      <c r="BK114" s="13" t="str">
        <f t="array" ref="BK114">iferror(INDEX('Import from defimon'!$1:$100,MATCH(BK$1,'Import from defimon'!$A:$A,0),MATCH($A114,'Import from defimon'!$1:$1,0)))</f>
        <v/>
      </c>
      <c r="BL114" s="13" t="str">
        <f t="array" ref="BL114">iferror(INDEX('Import from defimon'!$1:$100,MATCH(BL$1,'Import from defimon'!$A:$A,0),MATCH($A114,'Import from defimon'!$1:$1,0)))</f>
        <v/>
      </c>
      <c r="BN114" s="13" t="str">
        <f t="array" ref="BN114">iferror(INDEX('Import from defimon'!$1:$100,MATCH(BN$1,'Import from defimon'!$A:$A,0),MATCH($A114,'Import from defimon'!$1:$1,0)))</f>
        <v/>
      </c>
      <c r="BO114" s="13" t="str">
        <f t="array" ref="BO114">iferror(INDEX('Import from defimon'!$1:$100,MATCH(BO$1,'Import from defimon'!$A:$A,0),MATCH($A114,'Import from defimon'!$1:$1,0)))</f>
        <v/>
      </c>
      <c r="BP114" s="13" t="str">
        <f t="array" ref="BP114">iferror(INDEX('Import from defimon'!$1:$100,MATCH(BP$1,'Import from defimon'!$A:$A,0),MATCH($A114,'Import from defimon'!$1:$1,0)))</f>
        <v/>
      </c>
      <c r="BQ114" s="13" t="str">
        <f t="array" ref="BQ114">iferror(INDEX('Import from defimon'!$1:$100,MATCH(BQ$1,'Import from defimon'!$A:$A,0),MATCH($A114,'Import from defimon'!$1:$1,0)))</f>
        <v/>
      </c>
      <c r="BR114" s="13" t="str">
        <f t="array" ref="BR114">iferror(INDEX('Import from defimon'!$1:$100,MATCH(BR$1,'Import from defimon'!$A:$A,0),MATCH($A114,'Import from defimon'!$1:$1,0)))</f>
        <v/>
      </c>
      <c r="BS114" s="13" t="str">
        <f t="array" ref="BS114">iferror(INDEX('Import from defimon'!$1:$100,MATCH(BS$1,'Import from defimon'!$A:$A,0),MATCH($A114,'Import from defimon'!$1:$1,0)))</f>
        <v/>
      </c>
      <c r="BT114" s="13" t="str">
        <f t="array" ref="BT114">iferror(INDEX('Import from defimon'!$1:$100,MATCH(BT$1,'Import from defimon'!$A:$A,0),MATCH($A114,'Import from defimon'!$1:$1,0)))</f>
        <v/>
      </c>
      <c r="BV114" s="13" t="str">
        <f t="array" ref="BV114">iferror(INDEX('Import from defimon'!$1:$100,MATCH(BV$1,'Import from defimon'!$A:$A,0),MATCH($A114,'Import from defimon'!$1:$1,0)))</f>
        <v/>
      </c>
      <c r="BW114" s="13" t="str">
        <f t="array" ref="BW114">iferror(INDEX('Import from defimon'!$1:$100,MATCH(BW$1,'Import from defimon'!$A:$A,0),MATCH($A114,'Import from defimon'!$1:$1,0)))</f>
        <v/>
      </c>
      <c r="BX114" s="13" t="str">
        <f t="array" ref="BX114">iferror(INDEX('Import from defimon'!$1:$100,MATCH(BX$1,'Import from defimon'!$A:$A,0),MATCH($A114,'Import from defimon'!$1:$1,0)))</f>
        <v/>
      </c>
      <c r="CA114" s="13" t="str">
        <f t="array" ref="CA114">iferror(INDEX('Import from defimon'!$1:$100,MATCH(CA$1,'Import from defimon'!$A:$A,0),MATCH($A114,'Import from defimon'!$1:$1,0)))</f>
        <v/>
      </c>
      <c r="CB114" s="13" t="str">
        <f t="array" ref="CB114">iferror(INDEX('Import from defimon'!$1:$100,MATCH(CB$1,'Import from defimon'!$A:$A,0),MATCH($A114,'Import from defimon'!$1:$1,0)))</f>
        <v/>
      </c>
      <c r="CC114" s="13" t="str">
        <f t="array" ref="CC114">iferror(INDEX('Import from defimon'!$1:$100,MATCH(CC$1,'Import from defimon'!$A:$A,0),MATCH($A114,'Import from defimon'!$1:$1,0)))</f>
        <v/>
      </c>
      <c r="CD114" s="13" t="str">
        <f t="array" ref="CD114">iferror(INDEX('Import from defimon'!$1:$100,MATCH(CD$1,'Import from defimon'!$A:$A,0),MATCH($A114,'Import from defimon'!$1:$1,0)))</f>
        <v/>
      </c>
      <c r="CE114" s="13" t="str">
        <f t="array" ref="CE114">iferror(INDEX('Import from defimon'!$1:$100,MATCH(CE$1,'Import from defimon'!$A:$A,0),MATCH($A114,'Import from defimon'!$1:$1,0)))</f>
        <v/>
      </c>
      <c r="CF114" s="13" t="str">
        <f t="array" ref="CF114">iferror(INDEX('Import from defimon'!$1:$100,MATCH(CF$1,'Import from defimon'!$A:$A,0),MATCH($A114,'Import from defimon'!$1:$1,0)))</f>
        <v/>
      </c>
      <c r="CG114" s="13" t="str">
        <f t="array" ref="CG114">iferror(INDEX('Import from defimon'!$1:$100,MATCH(CG$1,'Import from defimon'!$A:$A,0),MATCH($A114,'Import from defimon'!$1:$1,0)))</f>
        <v/>
      </c>
      <c r="CH114" s="13" t="str">
        <f t="array" ref="CH114">iferror(INDEX('Import from defimon'!$1:$100,MATCH(CH$1,'Import from defimon'!$A:$A,0),MATCH($A114,'Import from defimon'!$1:$1,0)))</f>
        <v/>
      </c>
      <c r="CI114" s="13" t="str">
        <f t="array" ref="CI114">iferror(INDEX('Import from defimon'!$1:$100,MATCH(CI$1,'Import from defimon'!$A:$A,0),MATCH($A114,'Import from defimon'!$1:$1,0)))</f>
        <v/>
      </c>
      <c r="CJ114" s="13" t="str">
        <f t="array" ref="CJ114">iferror(INDEX('Import from defimon'!$1:$100,MATCH(CJ$1,'Import from defimon'!$A:$A,0),MATCH($A114,'Import from defimon'!$1:$1,0)))</f>
        <v/>
      </c>
      <c r="CK114" s="13" t="str">
        <f t="array" ref="CK114">iferror(INDEX('Import from defimon'!$1:$100,MATCH(CK$1,'Import from defimon'!$A:$A,0),MATCH($A114,'Import from defimon'!$1:$1,0)))</f>
        <v/>
      </c>
      <c r="CL114" s="13" t="str">
        <f t="array" ref="CL114">iferror(INDEX('Import from defimon'!$1:$100,MATCH(CL$1,'Import from defimon'!$A:$A,0),MATCH($A114,'Import from defimon'!$1:$1,0)))</f>
        <v/>
      </c>
      <c r="CM114" s="13" t="str">
        <f t="array" ref="CM114">iferror(INDEX('Import from defimon'!$1:$100,MATCH(CM$1,'Import from defimon'!$A:$A,0),MATCH($A114,'Import from defimon'!$1:$1,0)))</f>
        <v/>
      </c>
      <c r="CN114" s="13" t="str">
        <f t="array" ref="CN114">iferror(INDEX('Import from defimon'!$1:$100,MATCH(CN$1,'Import from defimon'!$A:$A,0),MATCH($A114,'Import from defimon'!$1:$1,0)))</f>
        <v/>
      </c>
      <c r="CP114" s="13" t="str">
        <f t="array" ref="CP114">iferror(INDEX('Import from defimon'!$1:$100,MATCH(CP$1,'Import from defimon'!$A:$A,0),MATCH($A114,'Import from defimon'!$1:$1,0)))</f>
        <v/>
      </c>
      <c r="CQ114" s="13" t="str">
        <f t="array" ref="CQ114">iferror(INDEX('Import from defimon'!$1:$100,MATCH(CQ$1,'Import from defimon'!$A:$A,0),MATCH($A114,'Import from defimon'!$1:$1,0)))</f>
        <v/>
      </c>
      <c r="CR114" s="13" t="str">
        <f t="array" ref="CR114">iferror(INDEX('Import from defimon'!$1:$100,MATCH(CR$1,'Import from defimon'!$A:$A,0),MATCH($A114,'Import from defimon'!$1:$1,0)))</f>
        <v/>
      </c>
      <c r="CY114" s="13" t="str">
        <f t="array" ref="CY114">iferror(INDEX('Import from defimon'!$1:$100,MATCH(CY$1,'Import from defimon'!$A:$A,0),MATCH($A114,'Import from defimon'!$1:$1,0)))</f>
        <v/>
      </c>
      <c r="CZ114" s="13" t="str">
        <f t="array" ref="CZ114">iferror(INDEX('Import from defimon'!$1:$100,MATCH(CZ$1,'Import from defimon'!$A:$A,0),MATCH($A114,'Import from defimon'!$1:$1,0)))</f>
        <v/>
      </c>
      <c r="DA114" s="13" t="str">
        <f t="array" ref="DA114">iferror(INDEX('Import from defimon'!$1:$100,MATCH(DA$1,'Import from defimon'!$A:$A,0),MATCH($A114,'Import from defimon'!$1:$1,0)))</f>
        <v/>
      </c>
    </row>
    <row r="115" ht="15.75" customHeight="1">
      <c r="AS115" s="13" t="str">
        <f>iferror(VLOOKUP($A115,EAM!H$2:I$14,2,FALSE))</f>
        <v/>
      </c>
      <c r="AU115" s="20"/>
      <c r="AZ115" s="13" t="str">
        <f t="array" ref="AZ115">iferror(INDEX('Import from defimon'!$1:$100,MATCH(AZ$1,'Import from defimon'!$A:$A,0),MATCH($A115,'Import from defimon'!$1:$1,0)))</f>
        <v/>
      </c>
      <c r="BH115" s="13" t="str">
        <f t="array" ref="BH115">iferror(INDEX('Import from defimon'!$1:$100,MATCH(BH$1,'Import from defimon'!$A:$A,0),MATCH($A115,'Import from defimon'!$1:$1,0)))</f>
        <v/>
      </c>
      <c r="BJ115" s="13" t="str">
        <f t="array" ref="BJ115">iferror(INDEX('Import from defimon'!$1:$100,MATCH(BJ$1,'Import from defimon'!$A:$A,0),MATCH($A115,'Import from defimon'!$1:$1,0)))</f>
        <v/>
      </c>
      <c r="BK115" s="13" t="str">
        <f t="array" ref="BK115">iferror(INDEX('Import from defimon'!$1:$100,MATCH(BK$1,'Import from defimon'!$A:$A,0),MATCH($A115,'Import from defimon'!$1:$1,0)))</f>
        <v/>
      </c>
      <c r="BL115" s="13" t="str">
        <f t="array" ref="BL115">iferror(INDEX('Import from defimon'!$1:$100,MATCH(BL$1,'Import from defimon'!$A:$A,0),MATCH($A115,'Import from defimon'!$1:$1,0)))</f>
        <v/>
      </c>
      <c r="BN115" s="13" t="str">
        <f t="array" ref="BN115">iferror(INDEX('Import from defimon'!$1:$100,MATCH(BN$1,'Import from defimon'!$A:$A,0),MATCH($A115,'Import from defimon'!$1:$1,0)))</f>
        <v/>
      </c>
      <c r="BO115" s="13" t="str">
        <f t="array" ref="BO115">iferror(INDEX('Import from defimon'!$1:$100,MATCH(BO$1,'Import from defimon'!$A:$A,0),MATCH($A115,'Import from defimon'!$1:$1,0)))</f>
        <v/>
      </c>
      <c r="BP115" s="13" t="str">
        <f t="array" ref="BP115">iferror(INDEX('Import from defimon'!$1:$100,MATCH(BP$1,'Import from defimon'!$A:$A,0),MATCH($A115,'Import from defimon'!$1:$1,0)))</f>
        <v/>
      </c>
      <c r="BQ115" s="13" t="str">
        <f t="array" ref="BQ115">iferror(INDEX('Import from defimon'!$1:$100,MATCH(BQ$1,'Import from defimon'!$A:$A,0),MATCH($A115,'Import from defimon'!$1:$1,0)))</f>
        <v/>
      </c>
      <c r="BR115" s="13" t="str">
        <f t="array" ref="BR115">iferror(INDEX('Import from defimon'!$1:$100,MATCH(BR$1,'Import from defimon'!$A:$A,0),MATCH($A115,'Import from defimon'!$1:$1,0)))</f>
        <v/>
      </c>
      <c r="BS115" s="13" t="str">
        <f t="array" ref="BS115">iferror(INDEX('Import from defimon'!$1:$100,MATCH(BS$1,'Import from defimon'!$A:$A,0),MATCH($A115,'Import from defimon'!$1:$1,0)))</f>
        <v/>
      </c>
      <c r="BT115" s="13" t="str">
        <f t="array" ref="BT115">iferror(INDEX('Import from defimon'!$1:$100,MATCH(BT$1,'Import from defimon'!$A:$A,0),MATCH($A115,'Import from defimon'!$1:$1,0)))</f>
        <v/>
      </c>
      <c r="BV115" s="13" t="str">
        <f t="array" ref="BV115">iferror(INDEX('Import from defimon'!$1:$100,MATCH(BV$1,'Import from defimon'!$A:$A,0),MATCH($A115,'Import from defimon'!$1:$1,0)))</f>
        <v/>
      </c>
      <c r="BW115" s="13" t="str">
        <f t="array" ref="BW115">iferror(INDEX('Import from defimon'!$1:$100,MATCH(BW$1,'Import from defimon'!$A:$A,0),MATCH($A115,'Import from defimon'!$1:$1,0)))</f>
        <v/>
      </c>
      <c r="BX115" s="13" t="str">
        <f t="array" ref="BX115">iferror(INDEX('Import from defimon'!$1:$100,MATCH(BX$1,'Import from defimon'!$A:$A,0),MATCH($A115,'Import from defimon'!$1:$1,0)))</f>
        <v/>
      </c>
      <c r="CA115" s="13" t="str">
        <f t="array" ref="CA115">iferror(INDEX('Import from defimon'!$1:$100,MATCH(CA$1,'Import from defimon'!$A:$A,0),MATCH($A115,'Import from defimon'!$1:$1,0)))</f>
        <v/>
      </c>
      <c r="CB115" s="13" t="str">
        <f t="array" ref="CB115">iferror(INDEX('Import from defimon'!$1:$100,MATCH(CB$1,'Import from defimon'!$A:$A,0),MATCH($A115,'Import from defimon'!$1:$1,0)))</f>
        <v/>
      </c>
      <c r="CC115" s="13" t="str">
        <f t="array" ref="CC115">iferror(INDEX('Import from defimon'!$1:$100,MATCH(CC$1,'Import from defimon'!$A:$A,0),MATCH($A115,'Import from defimon'!$1:$1,0)))</f>
        <v/>
      </c>
      <c r="CD115" s="13" t="str">
        <f t="array" ref="CD115">iferror(INDEX('Import from defimon'!$1:$100,MATCH(CD$1,'Import from defimon'!$A:$A,0),MATCH($A115,'Import from defimon'!$1:$1,0)))</f>
        <v/>
      </c>
      <c r="CE115" s="13" t="str">
        <f t="array" ref="CE115">iferror(INDEX('Import from defimon'!$1:$100,MATCH(CE$1,'Import from defimon'!$A:$A,0),MATCH($A115,'Import from defimon'!$1:$1,0)))</f>
        <v/>
      </c>
      <c r="CF115" s="13" t="str">
        <f t="array" ref="CF115">iferror(INDEX('Import from defimon'!$1:$100,MATCH(CF$1,'Import from defimon'!$A:$A,0),MATCH($A115,'Import from defimon'!$1:$1,0)))</f>
        <v/>
      </c>
      <c r="CG115" s="13" t="str">
        <f t="array" ref="CG115">iferror(INDEX('Import from defimon'!$1:$100,MATCH(CG$1,'Import from defimon'!$A:$A,0),MATCH($A115,'Import from defimon'!$1:$1,0)))</f>
        <v/>
      </c>
      <c r="CH115" s="13" t="str">
        <f t="array" ref="CH115">iferror(INDEX('Import from defimon'!$1:$100,MATCH(CH$1,'Import from defimon'!$A:$A,0),MATCH($A115,'Import from defimon'!$1:$1,0)))</f>
        <v/>
      </c>
      <c r="CI115" s="13" t="str">
        <f t="array" ref="CI115">iferror(INDEX('Import from defimon'!$1:$100,MATCH(CI$1,'Import from defimon'!$A:$A,0),MATCH($A115,'Import from defimon'!$1:$1,0)))</f>
        <v/>
      </c>
      <c r="CJ115" s="13" t="str">
        <f t="array" ref="CJ115">iferror(INDEX('Import from defimon'!$1:$100,MATCH(CJ$1,'Import from defimon'!$A:$A,0),MATCH($A115,'Import from defimon'!$1:$1,0)))</f>
        <v/>
      </c>
      <c r="CK115" s="13" t="str">
        <f t="array" ref="CK115">iferror(INDEX('Import from defimon'!$1:$100,MATCH(CK$1,'Import from defimon'!$A:$A,0),MATCH($A115,'Import from defimon'!$1:$1,0)))</f>
        <v/>
      </c>
      <c r="CL115" s="13" t="str">
        <f t="array" ref="CL115">iferror(INDEX('Import from defimon'!$1:$100,MATCH(CL$1,'Import from defimon'!$A:$A,0),MATCH($A115,'Import from defimon'!$1:$1,0)))</f>
        <v/>
      </c>
      <c r="CM115" s="13" t="str">
        <f t="array" ref="CM115">iferror(INDEX('Import from defimon'!$1:$100,MATCH(CM$1,'Import from defimon'!$A:$A,0),MATCH($A115,'Import from defimon'!$1:$1,0)))</f>
        <v/>
      </c>
      <c r="CN115" s="13" t="str">
        <f t="array" ref="CN115">iferror(INDEX('Import from defimon'!$1:$100,MATCH(CN$1,'Import from defimon'!$A:$A,0),MATCH($A115,'Import from defimon'!$1:$1,0)))</f>
        <v/>
      </c>
      <c r="CP115" s="13" t="str">
        <f t="array" ref="CP115">iferror(INDEX('Import from defimon'!$1:$100,MATCH(CP$1,'Import from defimon'!$A:$A,0),MATCH($A115,'Import from defimon'!$1:$1,0)))</f>
        <v/>
      </c>
      <c r="CQ115" s="13" t="str">
        <f t="array" ref="CQ115">iferror(INDEX('Import from defimon'!$1:$100,MATCH(CQ$1,'Import from defimon'!$A:$A,0),MATCH($A115,'Import from defimon'!$1:$1,0)))</f>
        <v/>
      </c>
      <c r="CR115" s="13" t="str">
        <f t="array" ref="CR115">iferror(INDEX('Import from defimon'!$1:$100,MATCH(CR$1,'Import from defimon'!$A:$A,0),MATCH($A115,'Import from defimon'!$1:$1,0)))</f>
        <v/>
      </c>
      <c r="CY115" s="13" t="str">
        <f t="array" ref="CY115">iferror(INDEX('Import from defimon'!$1:$100,MATCH(CY$1,'Import from defimon'!$A:$A,0),MATCH($A115,'Import from defimon'!$1:$1,0)))</f>
        <v/>
      </c>
      <c r="CZ115" s="13" t="str">
        <f t="array" ref="CZ115">iferror(INDEX('Import from defimon'!$1:$100,MATCH(CZ$1,'Import from defimon'!$A:$A,0),MATCH($A115,'Import from defimon'!$1:$1,0)))</f>
        <v/>
      </c>
      <c r="DA115" s="13" t="str">
        <f t="array" ref="DA115">iferror(INDEX('Import from defimon'!$1:$100,MATCH(DA$1,'Import from defimon'!$A:$A,0),MATCH($A115,'Import from defimon'!$1:$1,0)))</f>
        <v/>
      </c>
    </row>
    <row r="116" ht="15.75" customHeight="1">
      <c r="AS116" s="13" t="str">
        <f>iferror(VLOOKUP($A116,EAM!H$2:I$14,2,FALSE))</f>
        <v/>
      </c>
      <c r="AU116" s="19"/>
      <c r="AZ116" s="13" t="str">
        <f t="array" ref="AZ116">iferror(INDEX('Import from defimon'!$1:$100,MATCH(AZ$1,'Import from defimon'!$A:$A,0),MATCH($A116,'Import from defimon'!$1:$1,0)))</f>
        <v/>
      </c>
      <c r="BH116" s="13" t="str">
        <f t="array" ref="BH116">iferror(INDEX('Import from defimon'!$1:$100,MATCH(BH$1,'Import from defimon'!$A:$A,0),MATCH($A116,'Import from defimon'!$1:$1,0)))</f>
        <v/>
      </c>
      <c r="BJ116" s="13" t="str">
        <f t="array" ref="BJ116">iferror(INDEX('Import from defimon'!$1:$100,MATCH(BJ$1,'Import from defimon'!$A:$A,0),MATCH($A116,'Import from defimon'!$1:$1,0)))</f>
        <v/>
      </c>
      <c r="BK116" s="13" t="str">
        <f t="array" ref="BK116">iferror(INDEX('Import from defimon'!$1:$100,MATCH(BK$1,'Import from defimon'!$A:$A,0),MATCH($A116,'Import from defimon'!$1:$1,0)))</f>
        <v/>
      </c>
      <c r="BL116" s="13" t="str">
        <f t="array" ref="BL116">iferror(INDEX('Import from defimon'!$1:$100,MATCH(BL$1,'Import from defimon'!$A:$A,0),MATCH($A116,'Import from defimon'!$1:$1,0)))</f>
        <v/>
      </c>
      <c r="BN116" s="13" t="str">
        <f t="array" ref="BN116">iferror(INDEX('Import from defimon'!$1:$100,MATCH(BN$1,'Import from defimon'!$A:$A,0),MATCH($A116,'Import from defimon'!$1:$1,0)))</f>
        <v/>
      </c>
      <c r="BO116" s="13" t="str">
        <f t="array" ref="BO116">iferror(INDEX('Import from defimon'!$1:$100,MATCH(BO$1,'Import from defimon'!$A:$A,0),MATCH($A116,'Import from defimon'!$1:$1,0)))</f>
        <v/>
      </c>
      <c r="BP116" s="13" t="str">
        <f t="array" ref="BP116">iferror(INDEX('Import from defimon'!$1:$100,MATCH(BP$1,'Import from defimon'!$A:$A,0),MATCH($A116,'Import from defimon'!$1:$1,0)))</f>
        <v/>
      </c>
      <c r="BQ116" s="13" t="str">
        <f t="array" ref="BQ116">iferror(INDEX('Import from defimon'!$1:$100,MATCH(BQ$1,'Import from defimon'!$A:$A,0),MATCH($A116,'Import from defimon'!$1:$1,0)))</f>
        <v/>
      </c>
      <c r="BR116" s="13" t="str">
        <f t="array" ref="BR116">iferror(INDEX('Import from defimon'!$1:$100,MATCH(BR$1,'Import from defimon'!$A:$A,0),MATCH($A116,'Import from defimon'!$1:$1,0)))</f>
        <v/>
      </c>
      <c r="BS116" s="13" t="str">
        <f t="array" ref="BS116">iferror(INDEX('Import from defimon'!$1:$100,MATCH(BS$1,'Import from defimon'!$A:$A,0),MATCH($A116,'Import from defimon'!$1:$1,0)))</f>
        <v/>
      </c>
      <c r="BT116" s="13" t="str">
        <f t="array" ref="BT116">iferror(INDEX('Import from defimon'!$1:$100,MATCH(BT$1,'Import from defimon'!$A:$A,0),MATCH($A116,'Import from defimon'!$1:$1,0)))</f>
        <v/>
      </c>
      <c r="BV116" s="13" t="str">
        <f t="array" ref="BV116">iferror(INDEX('Import from defimon'!$1:$100,MATCH(BV$1,'Import from defimon'!$A:$A,0),MATCH($A116,'Import from defimon'!$1:$1,0)))</f>
        <v/>
      </c>
      <c r="BW116" s="13" t="str">
        <f t="array" ref="BW116">iferror(INDEX('Import from defimon'!$1:$100,MATCH(BW$1,'Import from defimon'!$A:$A,0),MATCH($A116,'Import from defimon'!$1:$1,0)))</f>
        <v/>
      </c>
      <c r="BX116" s="13" t="str">
        <f t="array" ref="BX116">iferror(INDEX('Import from defimon'!$1:$100,MATCH(BX$1,'Import from defimon'!$A:$A,0),MATCH($A116,'Import from defimon'!$1:$1,0)))</f>
        <v/>
      </c>
      <c r="CA116" s="13" t="str">
        <f t="array" ref="CA116">iferror(INDEX('Import from defimon'!$1:$100,MATCH(CA$1,'Import from defimon'!$A:$A,0),MATCH($A116,'Import from defimon'!$1:$1,0)))</f>
        <v/>
      </c>
      <c r="CB116" s="13" t="str">
        <f t="array" ref="CB116">iferror(INDEX('Import from defimon'!$1:$100,MATCH(CB$1,'Import from defimon'!$A:$A,0),MATCH($A116,'Import from defimon'!$1:$1,0)))</f>
        <v/>
      </c>
      <c r="CC116" s="13" t="str">
        <f t="array" ref="CC116">iferror(INDEX('Import from defimon'!$1:$100,MATCH(CC$1,'Import from defimon'!$A:$A,0),MATCH($A116,'Import from defimon'!$1:$1,0)))</f>
        <v/>
      </c>
      <c r="CD116" s="13" t="str">
        <f t="array" ref="CD116">iferror(INDEX('Import from defimon'!$1:$100,MATCH(CD$1,'Import from defimon'!$A:$A,0),MATCH($A116,'Import from defimon'!$1:$1,0)))</f>
        <v/>
      </c>
      <c r="CE116" s="13" t="str">
        <f t="array" ref="CE116">iferror(INDEX('Import from defimon'!$1:$100,MATCH(CE$1,'Import from defimon'!$A:$A,0),MATCH($A116,'Import from defimon'!$1:$1,0)))</f>
        <v/>
      </c>
      <c r="CF116" s="13" t="str">
        <f t="array" ref="CF116">iferror(INDEX('Import from defimon'!$1:$100,MATCH(CF$1,'Import from defimon'!$A:$A,0),MATCH($A116,'Import from defimon'!$1:$1,0)))</f>
        <v/>
      </c>
      <c r="CG116" s="13" t="str">
        <f t="array" ref="CG116">iferror(INDEX('Import from defimon'!$1:$100,MATCH(CG$1,'Import from defimon'!$A:$A,0),MATCH($A116,'Import from defimon'!$1:$1,0)))</f>
        <v/>
      </c>
      <c r="CH116" s="13" t="str">
        <f t="array" ref="CH116">iferror(INDEX('Import from defimon'!$1:$100,MATCH(CH$1,'Import from defimon'!$A:$A,0),MATCH($A116,'Import from defimon'!$1:$1,0)))</f>
        <v/>
      </c>
      <c r="CI116" s="13" t="str">
        <f t="array" ref="CI116">iferror(INDEX('Import from defimon'!$1:$100,MATCH(CI$1,'Import from defimon'!$A:$A,0),MATCH($A116,'Import from defimon'!$1:$1,0)))</f>
        <v/>
      </c>
      <c r="CJ116" s="13" t="str">
        <f t="array" ref="CJ116">iferror(INDEX('Import from defimon'!$1:$100,MATCH(CJ$1,'Import from defimon'!$A:$A,0),MATCH($A116,'Import from defimon'!$1:$1,0)))</f>
        <v/>
      </c>
      <c r="CK116" s="13" t="str">
        <f t="array" ref="CK116">iferror(INDEX('Import from defimon'!$1:$100,MATCH(CK$1,'Import from defimon'!$A:$A,0),MATCH($A116,'Import from defimon'!$1:$1,0)))</f>
        <v/>
      </c>
      <c r="CL116" s="13" t="str">
        <f t="array" ref="CL116">iferror(INDEX('Import from defimon'!$1:$100,MATCH(CL$1,'Import from defimon'!$A:$A,0),MATCH($A116,'Import from defimon'!$1:$1,0)))</f>
        <v/>
      </c>
      <c r="CM116" s="13" t="str">
        <f t="array" ref="CM116">iferror(INDEX('Import from defimon'!$1:$100,MATCH(CM$1,'Import from defimon'!$A:$A,0),MATCH($A116,'Import from defimon'!$1:$1,0)))</f>
        <v/>
      </c>
      <c r="CN116" s="13" t="str">
        <f t="array" ref="CN116">iferror(INDEX('Import from defimon'!$1:$100,MATCH(CN$1,'Import from defimon'!$A:$A,0),MATCH($A116,'Import from defimon'!$1:$1,0)))</f>
        <v/>
      </c>
      <c r="CP116" s="13" t="str">
        <f t="array" ref="CP116">iferror(INDEX('Import from defimon'!$1:$100,MATCH(CP$1,'Import from defimon'!$A:$A,0),MATCH($A116,'Import from defimon'!$1:$1,0)))</f>
        <v/>
      </c>
      <c r="CQ116" s="13" t="str">
        <f t="array" ref="CQ116">iferror(INDEX('Import from defimon'!$1:$100,MATCH(CQ$1,'Import from defimon'!$A:$A,0),MATCH($A116,'Import from defimon'!$1:$1,0)))</f>
        <v/>
      </c>
      <c r="CR116" s="13" t="str">
        <f t="array" ref="CR116">iferror(INDEX('Import from defimon'!$1:$100,MATCH(CR$1,'Import from defimon'!$A:$A,0),MATCH($A116,'Import from defimon'!$1:$1,0)))</f>
        <v/>
      </c>
      <c r="CY116" s="13" t="str">
        <f t="array" ref="CY116">iferror(INDEX('Import from defimon'!$1:$100,MATCH(CY$1,'Import from defimon'!$A:$A,0),MATCH($A116,'Import from defimon'!$1:$1,0)))</f>
        <v/>
      </c>
      <c r="CZ116" s="13" t="str">
        <f t="array" ref="CZ116">iferror(INDEX('Import from defimon'!$1:$100,MATCH(CZ$1,'Import from defimon'!$A:$A,0),MATCH($A116,'Import from defimon'!$1:$1,0)))</f>
        <v/>
      </c>
      <c r="DA116" s="13" t="str">
        <f t="array" ref="DA116">iferror(INDEX('Import from defimon'!$1:$100,MATCH(DA$1,'Import from defimon'!$A:$A,0),MATCH($A116,'Import from defimon'!$1:$1,0)))</f>
        <v/>
      </c>
    </row>
    <row r="117" ht="15.75" customHeight="1">
      <c r="AS117" s="13" t="str">
        <f>iferror(VLOOKUP($A117,EAM!H$2:I$14,2,FALSE))</f>
        <v/>
      </c>
      <c r="AU117" s="19"/>
      <c r="AZ117" s="13" t="str">
        <f t="array" ref="AZ117">iferror(INDEX('Import from defimon'!$1:$100,MATCH(AZ$1,'Import from defimon'!$A:$A,0),MATCH($A117,'Import from defimon'!$1:$1,0)))</f>
        <v/>
      </c>
      <c r="BH117" s="13" t="str">
        <f t="array" ref="BH117">iferror(INDEX('Import from defimon'!$1:$100,MATCH(BH$1,'Import from defimon'!$A:$A,0),MATCH($A117,'Import from defimon'!$1:$1,0)))</f>
        <v/>
      </c>
      <c r="BJ117" s="13" t="str">
        <f t="array" ref="BJ117">iferror(INDEX('Import from defimon'!$1:$100,MATCH(BJ$1,'Import from defimon'!$A:$A,0),MATCH($A117,'Import from defimon'!$1:$1,0)))</f>
        <v/>
      </c>
      <c r="BK117" s="13" t="str">
        <f t="array" ref="BK117">iferror(INDEX('Import from defimon'!$1:$100,MATCH(BK$1,'Import from defimon'!$A:$A,0),MATCH($A117,'Import from defimon'!$1:$1,0)))</f>
        <v/>
      </c>
      <c r="BL117" s="13" t="str">
        <f t="array" ref="BL117">iferror(INDEX('Import from defimon'!$1:$100,MATCH(BL$1,'Import from defimon'!$A:$A,0),MATCH($A117,'Import from defimon'!$1:$1,0)))</f>
        <v/>
      </c>
      <c r="BN117" s="13" t="str">
        <f t="array" ref="BN117">iferror(INDEX('Import from defimon'!$1:$100,MATCH(BN$1,'Import from defimon'!$A:$A,0),MATCH($A117,'Import from defimon'!$1:$1,0)))</f>
        <v/>
      </c>
      <c r="BO117" s="13" t="str">
        <f t="array" ref="BO117">iferror(INDEX('Import from defimon'!$1:$100,MATCH(BO$1,'Import from defimon'!$A:$A,0),MATCH($A117,'Import from defimon'!$1:$1,0)))</f>
        <v/>
      </c>
      <c r="BP117" s="13" t="str">
        <f t="array" ref="BP117">iferror(INDEX('Import from defimon'!$1:$100,MATCH(BP$1,'Import from defimon'!$A:$A,0),MATCH($A117,'Import from defimon'!$1:$1,0)))</f>
        <v/>
      </c>
      <c r="BQ117" s="13" t="str">
        <f t="array" ref="BQ117">iferror(INDEX('Import from defimon'!$1:$100,MATCH(BQ$1,'Import from defimon'!$A:$A,0),MATCH($A117,'Import from defimon'!$1:$1,0)))</f>
        <v/>
      </c>
      <c r="BR117" s="13" t="str">
        <f t="array" ref="BR117">iferror(INDEX('Import from defimon'!$1:$100,MATCH(BR$1,'Import from defimon'!$A:$A,0),MATCH($A117,'Import from defimon'!$1:$1,0)))</f>
        <v/>
      </c>
      <c r="BS117" s="13" t="str">
        <f t="array" ref="BS117">iferror(INDEX('Import from defimon'!$1:$100,MATCH(BS$1,'Import from defimon'!$A:$A,0),MATCH($A117,'Import from defimon'!$1:$1,0)))</f>
        <v/>
      </c>
      <c r="BT117" s="13" t="str">
        <f t="array" ref="BT117">iferror(INDEX('Import from defimon'!$1:$100,MATCH(BT$1,'Import from defimon'!$A:$A,0),MATCH($A117,'Import from defimon'!$1:$1,0)))</f>
        <v/>
      </c>
      <c r="BV117" s="13" t="str">
        <f t="array" ref="BV117">iferror(INDEX('Import from defimon'!$1:$100,MATCH(BV$1,'Import from defimon'!$A:$A,0),MATCH($A117,'Import from defimon'!$1:$1,0)))</f>
        <v/>
      </c>
      <c r="BW117" s="13" t="str">
        <f t="array" ref="BW117">iferror(INDEX('Import from defimon'!$1:$100,MATCH(BW$1,'Import from defimon'!$A:$A,0),MATCH($A117,'Import from defimon'!$1:$1,0)))</f>
        <v/>
      </c>
      <c r="BX117" s="13" t="str">
        <f t="array" ref="BX117">iferror(INDEX('Import from defimon'!$1:$100,MATCH(BX$1,'Import from defimon'!$A:$A,0),MATCH($A117,'Import from defimon'!$1:$1,0)))</f>
        <v/>
      </c>
      <c r="CA117" s="13" t="str">
        <f t="array" ref="CA117">iferror(INDEX('Import from defimon'!$1:$100,MATCH(CA$1,'Import from defimon'!$A:$A,0),MATCH($A117,'Import from defimon'!$1:$1,0)))</f>
        <v/>
      </c>
      <c r="CB117" s="13" t="str">
        <f t="array" ref="CB117">iferror(INDEX('Import from defimon'!$1:$100,MATCH(CB$1,'Import from defimon'!$A:$A,0),MATCH($A117,'Import from defimon'!$1:$1,0)))</f>
        <v/>
      </c>
      <c r="CC117" s="13" t="str">
        <f t="array" ref="CC117">iferror(INDEX('Import from defimon'!$1:$100,MATCH(CC$1,'Import from defimon'!$A:$A,0),MATCH($A117,'Import from defimon'!$1:$1,0)))</f>
        <v/>
      </c>
      <c r="CD117" s="13" t="str">
        <f t="array" ref="CD117">iferror(INDEX('Import from defimon'!$1:$100,MATCH(CD$1,'Import from defimon'!$A:$A,0),MATCH($A117,'Import from defimon'!$1:$1,0)))</f>
        <v/>
      </c>
      <c r="CE117" s="13" t="str">
        <f t="array" ref="CE117">iferror(INDEX('Import from defimon'!$1:$100,MATCH(CE$1,'Import from defimon'!$A:$A,0),MATCH($A117,'Import from defimon'!$1:$1,0)))</f>
        <v/>
      </c>
      <c r="CF117" s="13" t="str">
        <f t="array" ref="CF117">iferror(INDEX('Import from defimon'!$1:$100,MATCH(CF$1,'Import from defimon'!$A:$A,0),MATCH($A117,'Import from defimon'!$1:$1,0)))</f>
        <v/>
      </c>
      <c r="CG117" s="13" t="str">
        <f t="array" ref="CG117">iferror(INDEX('Import from defimon'!$1:$100,MATCH(CG$1,'Import from defimon'!$A:$A,0),MATCH($A117,'Import from defimon'!$1:$1,0)))</f>
        <v/>
      </c>
      <c r="CH117" s="13" t="str">
        <f t="array" ref="CH117">iferror(INDEX('Import from defimon'!$1:$100,MATCH(CH$1,'Import from defimon'!$A:$A,0),MATCH($A117,'Import from defimon'!$1:$1,0)))</f>
        <v/>
      </c>
      <c r="CI117" s="13" t="str">
        <f t="array" ref="CI117">iferror(INDEX('Import from defimon'!$1:$100,MATCH(CI$1,'Import from defimon'!$A:$A,0),MATCH($A117,'Import from defimon'!$1:$1,0)))</f>
        <v/>
      </c>
      <c r="CJ117" s="13" t="str">
        <f t="array" ref="CJ117">iferror(INDEX('Import from defimon'!$1:$100,MATCH(CJ$1,'Import from defimon'!$A:$A,0),MATCH($A117,'Import from defimon'!$1:$1,0)))</f>
        <v/>
      </c>
      <c r="CK117" s="13" t="str">
        <f t="array" ref="CK117">iferror(INDEX('Import from defimon'!$1:$100,MATCH(CK$1,'Import from defimon'!$A:$A,0),MATCH($A117,'Import from defimon'!$1:$1,0)))</f>
        <v/>
      </c>
      <c r="CL117" s="13" t="str">
        <f t="array" ref="CL117">iferror(INDEX('Import from defimon'!$1:$100,MATCH(CL$1,'Import from defimon'!$A:$A,0),MATCH($A117,'Import from defimon'!$1:$1,0)))</f>
        <v/>
      </c>
      <c r="CM117" s="13" t="str">
        <f t="array" ref="CM117">iferror(INDEX('Import from defimon'!$1:$100,MATCH(CM$1,'Import from defimon'!$A:$A,0),MATCH($A117,'Import from defimon'!$1:$1,0)))</f>
        <v/>
      </c>
      <c r="CN117" s="13" t="str">
        <f t="array" ref="CN117">iferror(INDEX('Import from defimon'!$1:$100,MATCH(CN$1,'Import from defimon'!$A:$A,0),MATCH($A117,'Import from defimon'!$1:$1,0)))</f>
        <v/>
      </c>
      <c r="CP117" s="13" t="str">
        <f t="array" ref="CP117">iferror(INDEX('Import from defimon'!$1:$100,MATCH(CP$1,'Import from defimon'!$A:$A,0),MATCH($A117,'Import from defimon'!$1:$1,0)))</f>
        <v/>
      </c>
      <c r="CQ117" s="13" t="str">
        <f t="array" ref="CQ117">iferror(INDEX('Import from defimon'!$1:$100,MATCH(CQ$1,'Import from defimon'!$A:$A,0),MATCH($A117,'Import from defimon'!$1:$1,0)))</f>
        <v/>
      </c>
      <c r="CR117" s="13" t="str">
        <f t="array" ref="CR117">iferror(INDEX('Import from defimon'!$1:$100,MATCH(CR$1,'Import from defimon'!$A:$A,0),MATCH($A117,'Import from defimon'!$1:$1,0)))</f>
        <v/>
      </c>
      <c r="CY117" s="13" t="str">
        <f t="array" ref="CY117">iferror(INDEX('Import from defimon'!$1:$100,MATCH(CY$1,'Import from defimon'!$A:$A,0),MATCH($A117,'Import from defimon'!$1:$1,0)))</f>
        <v/>
      </c>
      <c r="CZ117" s="13" t="str">
        <f t="array" ref="CZ117">iferror(INDEX('Import from defimon'!$1:$100,MATCH(CZ$1,'Import from defimon'!$A:$A,0),MATCH($A117,'Import from defimon'!$1:$1,0)))</f>
        <v/>
      </c>
      <c r="DA117" s="13" t="str">
        <f t="array" ref="DA117">iferror(INDEX('Import from defimon'!$1:$100,MATCH(DA$1,'Import from defimon'!$A:$A,0),MATCH($A117,'Import from defimon'!$1:$1,0)))</f>
        <v/>
      </c>
    </row>
    <row r="118" ht="15.75" customHeight="1">
      <c r="AS118" s="13" t="str">
        <f>iferror(VLOOKUP($A118,EAM!H$2:I$14,2,FALSE))</f>
        <v/>
      </c>
      <c r="AU118" s="19"/>
      <c r="AZ118" s="13" t="str">
        <f t="array" ref="AZ118">iferror(INDEX('Import from defimon'!$1:$100,MATCH(AZ$1,'Import from defimon'!$A:$A,0),MATCH($A118,'Import from defimon'!$1:$1,0)))</f>
        <v/>
      </c>
      <c r="BH118" s="13" t="str">
        <f t="array" ref="BH118">iferror(INDEX('Import from defimon'!$1:$100,MATCH(BH$1,'Import from defimon'!$A:$A,0),MATCH($A118,'Import from defimon'!$1:$1,0)))</f>
        <v/>
      </c>
      <c r="BJ118" s="13" t="str">
        <f t="array" ref="BJ118">iferror(INDEX('Import from defimon'!$1:$100,MATCH(BJ$1,'Import from defimon'!$A:$A,0),MATCH($A118,'Import from defimon'!$1:$1,0)))</f>
        <v/>
      </c>
      <c r="BK118" s="13" t="str">
        <f t="array" ref="BK118">iferror(INDEX('Import from defimon'!$1:$100,MATCH(BK$1,'Import from defimon'!$A:$A,0),MATCH($A118,'Import from defimon'!$1:$1,0)))</f>
        <v/>
      </c>
      <c r="BL118" s="13" t="str">
        <f t="array" ref="BL118">iferror(INDEX('Import from defimon'!$1:$100,MATCH(BL$1,'Import from defimon'!$A:$A,0),MATCH($A118,'Import from defimon'!$1:$1,0)))</f>
        <v/>
      </c>
      <c r="BN118" s="13" t="str">
        <f t="array" ref="BN118">iferror(INDEX('Import from defimon'!$1:$100,MATCH(BN$1,'Import from defimon'!$A:$A,0),MATCH($A118,'Import from defimon'!$1:$1,0)))</f>
        <v/>
      </c>
      <c r="BO118" s="13" t="str">
        <f t="array" ref="BO118">iferror(INDEX('Import from defimon'!$1:$100,MATCH(BO$1,'Import from defimon'!$A:$A,0),MATCH($A118,'Import from defimon'!$1:$1,0)))</f>
        <v/>
      </c>
      <c r="BP118" s="13" t="str">
        <f t="array" ref="BP118">iferror(INDEX('Import from defimon'!$1:$100,MATCH(BP$1,'Import from defimon'!$A:$A,0),MATCH($A118,'Import from defimon'!$1:$1,0)))</f>
        <v/>
      </c>
      <c r="BQ118" s="13" t="str">
        <f t="array" ref="BQ118">iferror(INDEX('Import from defimon'!$1:$100,MATCH(BQ$1,'Import from defimon'!$A:$A,0),MATCH($A118,'Import from defimon'!$1:$1,0)))</f>
        <v/>
      </c>
      <c r="BR118" s="13" t="str">
        <f t="array" ref="BR118">iferror(INDEX('Import from defimon'!$1:$100,MATCH(BR$1,'Import from defimon'!$A:$A,0),MATCH($A118,'Import from defimon'!$1:$1,0)))</f>
        <v/>
      </c>
      <c r="BS118" s="13" t="str">
        <f t="array" ref="BS118">iferror(INDEX('Import from defimon'!$1:$100,MATCH(BS$1,'Import from defimon'!$A:$A,0),MATCH($A118,'Import from defimon'!$1:$1,0)))</f>
        <v/>
      </c>
      <c r="BT118" s="13" t="str">
        <f t="array" ref="BT118">iferror(INDEX('Import from defimon'!$1:$100,MATCH(BT$1,'Import from defimon'!$A:$A,0),MATCH($A118,'Import from defimon'!$1:$1,0)))</f>
        <v/>
      </c>
      <c r="BV118" s="13" t="str">
        <f t="array" ref="BV118">iferror(INDEX('Import from defimon'!$1:$100,MATCH(BV$1,'Import from defimon'!$A:$A,0),MATCH($A118,'Import from defimon'!$1:$1,0)))</f>
        <v/>
      </c>
      <c r="BW118" s="13" t="str">
        <f t="array" ref="BW118">iferror(INDEX('Import from defimon'!$1:$100,MATCH(BW$1,'Import from defimon'!$A:$A,0),MATCH($A118,'Import from defimon'!$1:$1,0)))</f>
        <v/>
      </c>
      <c r="BX118" s="13" t="str">
        <f t="array" ref="BX118">iferror(INDEX('Import from defimon'!$1:$100,MATCH(BX$1,'Import from defimon'!$A:$A,0),MATCH($A118,'Import from defimon'!$1:$1,0)))</f>
        <v/>
      </c>
      <c r="CA118" s="13" t="str">
        <f t="array" ref="CA118">iferror(INDEX('Import from defimon'!$1:$100,MATCH(CA$1,'Import from defimon'!$A:$A,0),MATCH($A118,'Import from defimon'!$1:$1,0)))</f>
        <v/>
      </c>
      <c r="CB118" s="13" t="str">
        <f t="array" ref="CB118">iferror(INDEX('Import from defimon'!$1:$100,MATCH(CB$1,'Import from defimon'!$A:$A,0),MATCH($A118,'Import from defimon'!$1:$1,0)))</f>
        <v/>
      </c>
      <c r="CC118" s="13" t="str">
        <f t="array" ref="CC118">iferror(INDEX('Import from defimon'!$1:$100,MATCH(CC$1,'Import from defimon'!$A:$A,0),MATCH($A118,'Import from defimon'!$1:$1,0)))</f>
        <v/>
      </c>
      <c r="CD118" s="13" t="str">
        <f t="array" ref="CD118">iferror(INDEX('Import from defimon'!$1:$100,MATCH(CD$1,'Import from defimon'!$A:$A,0),MATCH($A118,'Import from defimon'!$1:$1,0)))</f>
        <v/>
      </c>
      <c r="CE118" s="13" t="str">
        <f t="array" ref="CE118">iferror(INDEX('Import from defimon'!$1:$100,MATCH(CE$1,'Import from defimon'!$A:$A,0),MATCH($A118,'Import from defimon'!$1:$1,0)))</f>
        <v/>
      </c>
      <c r="CF118" s="13" t="str">
        <f t="array" ref="CF118">iferror(INDEX('Import from defimon'!$1:$100,MATCH(CF$1,'Import from defimon'!$A:$A,0),MATCH($A118,'Import from defimon'!$1:$1,0)))</f>
        <v/>
      </c>
      <c r="CG118" s="13" t="str">
        <f t="array" ref="CG118">iferror(INDEX('Import from defimon'!$1:$100,MATCH(CG$1,'Import from defimon'!$A:$A,0),MATCH($A118,'Import from defimon'!$1:$1,0)))</f>
        <v/>
      </c>
      <c r="CH118" s="13" t="str">
        <f t="array" ref="CH118">iferror(INDEX('Import from defimon'!$1:$100,MATCH(CH$1,'Import from defimon'!$A:$A,0),MATCH($A118,'Import from defimon'!$1:$1,0)))</f>
        <v/>
      </c>
      <c r="CI118" s="13" t="str">
        <f t="array" ref="CI118">iferror(INDEX('Import from defimon'!$1:$100,MATCH(CI$1,'Import from defimon'!$A:$A,0),MATCH($A118,'Import from defimon'!$1:$1,0)))</f>
        <v/>
      </c>
      <c r="CJ118" s="13" t="str">
        <f t="array" ref="CJ118">iferror(INDEX('Import from defimon'!$1:$100,MATCH(CJ$1,'Import from defimon'!$A:$A,0),MATCH($A118,'Import from defimon'!$1:$1,0)))</f>
        <v/>
      </c>
      <c r="CK118" s="13" t="str">
        <f t="array" ref="CK118">iferror(INDEX('Import from defimon'!$1:$100,MATCH(CK$1,'Import from defimon'!$A:$A,0),MATCH($A118,'Import from defimon'!$1:$1,0)))</f>
        <v/>
      </c>
      <c r="CL118" s="13" t="str">
        <f t="array" ref="CL118">iferror(INDEX('Import from defimon'!$1:$100,MATCH(CL$1,'Import from defimon'!$A:$A,0),MATCH($A118,'Import from defimon'!$1:$1,0)))</f>
        <v/>
      </c>
      <c r="CM118" s="13" t="str">
        <f t="array" ref="CM118">iferror(INDEX('Import from defimon'!$1:$100,MATCH(CM$1,'Import from defimon'!$A:$A,0),MATCH($A118,'Import from defimon'!$1:$1,0)))</f>
        <v/>
      </c>
      <c r="CN118" s="13" t="str">
        <f t="array" ref="CN118">iferror(INDEX('Import from defimon'!$1:$100,MATCH(CN$1,'Import from defimon'!$A:$A,0),MATCH($A118,'Import from defimon'!$1:$1,0)))</f>
        <v/>
      </c>
      <c r="CP118" s="13" t="str">
        <f t="array" ref="CP118">iferror(INDEX('Import from defimon'!$1:$100,MATCH(CP$1,'Import from defimon'!$A:$A,0),MATCH($A118,'Import from defimon'!$1:$1,0)))</f>
        <v/>
      </c>
      <c r="CQ118" s="13" t="str">
        <f t="array" ref="CQ118">iferror(INDEX('Import from defimon'!$1:$100,MATCH(CQ$1,'Import from defimon'!$A:$A,0),MATCH($A118,'Import from defimon'!$1:$1,0)))</f>
        <v/>
      </c>
      <c r="CR118" s="13" t="str">
        <f t="array" ref="CR118">iferror(INDEX('Import from defimon'!$1:$100,MATCH(CR$1,'Import from defimon'!$A:$A,0),MATCH($A118,'Import from defimon'!$1:$1,0)))</f>
        <v/>
      </c>
      <c r="CY118" s="13" t="str">
        <f t="array" ref="CY118">iferror(INDEX('Import from defimon'!$1:$100,MATCH(CY$1,'Import from defimon'!$A:$A,0),MATCH($A118,'Import from defimon'!$1:$1,0)))</f>
        <v/>
      </c>
      <c r="CZ118" s="13" t="str">
        <f t="array" ref="CZ118">iferror(INDEX('Import from defimon'!$1:$100,MATCH(CZ$1,'Import from defimon'!$A:$A,0),MATCH($A118,'Import from defimon'!$1:$1,0)))</f>
        <v/>
      </c>
      <c r="DA118" s="13" t="str">
        <f t="array" ref="DA118">iferror(INDEX('Import from defimon'!$1:$100,MATCH(DA$1,'Import from defimon'!$A:$A,0),MATCH($A118,'Import from defimon'!$1:$1,0)))</f>
        <v/>
      </c>
    </row>
    <row r="119" ht="15.75" customHeight="1">
      <c r="AS119" s="13" t="str">
        <f>iferror(VLOOKUP($A119,EAM!H$2:I$14,2,FALSE))</f>
        <v/>
      </c>
      <c r="AU119" s="19"/>
      <c r="AZ119" s="13" t="str">
        <f t="array" ref="AZ119">iferror(INDEX('Import from defimon'!$1:$100,MATCH(AZ$1,'Import from defimon'!$A:$A,0),MATCH($A119,'Import from defimon'!$1:$1,0)))</f>
        <v/>
      </c>
      <c r="BH119" s="13" t="str">
        <f t="array" ref="BH119">iferror(INDEX('Import from defimon'!$1:$100,MATCH(BH$1,'Import from defimon'!$A:$A,0),MATCH($A119,'Import from defimon'!$1:$1,0)))</f>
        <v/>
      </c>
      <c r="BJ119" s="13" t="str">
        <f t="array" ref="BJ119">iferror(INDEX('Import from defimon'!$1:$100,MATCH(BJ$1,'Import from defimon'!$A:$A,0),MATCH($A119,'Import from defimon'!$1:$1,0)))</f>
        <v/>
      </c>
      <c r="BK119" s="13" t="str">
        <f t="array" ref="BK119">iferror(INDEX('Import from defimon'!$1:$100,MATCH(BK$1,'Import from defimon'!$A:$A,0),MATCH($A119,'Import from defimon'!$1:$1,0)))</f>
        <v/>
      </c>
      <c r="BL119" s="13" t="str">
        <f t="array" ref="BL119">iferror(INDEX('Import from defimon'!$1:$100,MATCH(BL$1,'Import from defimon'!$A:$A,0),MATCH($A119,'Import from defimon'!$1:$1,0)))</f>
        <v/>
      </c>
      <c r="BN119" s="13" t="str">
        <f t="array" ref="BN119">iferror(INDEX('Import from defimon'!$1:$100,MATCH(BN$1,'Import from defimon'!$A:$A,0),MATCH($A119,'Import from defimon'!$1:$1,0)))</f>
        <v/>
      </c>
      <c r="BO119" s="13" t="str">
        <f t="array" ref="BO119">iferror(INDEX('Import from defimon'!$1:$100,MATCH(BO$1,'Import from defimon'!$A:$A,0),MATCH($A119,'Import from defimon'!$1:$1,0)))</f>
        <v/>
      </c>
      <c r="BP119" s="13" t="str">
        <f t="array" ref="BP119">iferror(INDEX('Import from defimon'!$1:$100,MATCH(BP$1,'Import from defimon'!$A:$A,0),MATCH($A119,'Import from defimon'!$1:$1,0)))</f>
        <v/>
      </c>
      <c r="BQ119" s="13" t="str">
        <f t="array" ref="BQ119">iferror(INDEX('Import from defimon'!$1:$100,MATCH(BQ$1,'Import from defimon'!$A:$A,0),MATCH($A119,'Import from defimon'!$1:$1,0)))</f>
        <v/>
      </c>
      <c r="BR119" s="13" t="str">
        <f t="array" ref="BR119">iferror(INDEX('Import from defimon'!$1:$100,MATCH(BR$1,'Import from defimon'!$A:$A,0),MATCH($A119,'Import from defimon'!$1:$1,0)))</f>
        <v/>
      </c>
      <c r="BS119" s="13" t="str">
        <f t="array" ref="BS119">iferror(INDEX('Import from defimon'!$1:$100,MATCH(BS$1,'Import from defimon'!$A:$A,0),MATCH($A119,'Import from defimon'!$1:$1,0)))</f>
        <v/>
      </c>
      <c r="BT119" s="13" t="str">
        <f t="array" ref="BT119">iferror(INDEX('Import from defimon'!$1:$100,MATCH(BT$1,'Import from defimon'!$A:$A,0),MATCH($A119,'Import from defimon'!$1:$1,0)))</f>
        <v/>
      </c>
      <c r="BV119" s="13" t="str">
        <f t="array" ref="BV119">iferror(INDEX('Import from defimon'!$1:$100,MATCH(BV$1,'Import from defimon'!$A:$A,0),MATCH($A119,'Import from defimon'!$1:$1,0)))</f>
        <v/>
      </c>
      <c r="BW119" s="13" t="str">
        <f t="array" ref="BW119">iferror(INDEX('Import from defimon'!$1:$100,MATCH(BW$1,'Import from defimon'!$A:$A,0),MATCH($A119,'Import from defimon'!$1:$1,0)))</f>
        <v/>
      </c>
      <c r="BX119" s="13" t="str">
        <f t="array" ref="BX119">iferror(INDEX('Import from defimon'!$1:$100,MATCH(BX$1,'Import from defimon'!$A:$A,0),MATCH($A119,'Import from defimon'!$1:$1,0)))</f>
        <v/>
      </c>
      <c r="CA119" s="13" t="str">
        <f t="array" ref="CA119">iferror(INDEX('Import from defimon'!$1:$100,MATCH(CA$1,'Import from defimon'!$A:$A,0),MATCH($A119,'Import from defimon'!$1:$1,0)))</f>
        <v/>
      </c>
      <c r="CB119" s="13" t="str">
        <f t="array" ref="CB119">iferror(INDEX('Import from defimon'!$1:$100,MATCH(CB$1,'Import from defimon'!$A:$A,0),MATCH($A119,'Import from defimon'!$1:$1,0)))</f>
        <v/>
      </c>
      <c r="CC119" s="13" t="str">
        <f t="array" ref="CC119">iferror(INDEX('Import from defimon'!$1:$100,MATCH(CC$1,'Import from defimon'!$A:$A,0),MATCH($A119,'Import from defimon'!$1:$1,0)))</f>
        <v/>
      </c>
      <c r="CD119" s="13" t="str">
        <f t="array" ref="CD119">iferror(INDEX('Import from defimon'!$1:$100,MATCH(CD$1,'Import from defimon'!$A:$A,0),MATCH($A119,'Import from defimon'!$1:$1,0)))</f>
        <v/>
      </c>
      <c r="CE119" s="13" t="str">
        <f t="array" ref="CE119">iferror(INDEX('Import from defimon'!$1:$100,MATCH(CE$1,'Import from defimon'!$A:$A,0),MATCH($A119,'Import from defimon'!$1:$1,0)))</f>
        <v/>
      </c>
      <c r="CF119" s="13" t="str">
        <f t="array" ref="CF119">iferror(INDEX('Import from defimon'!$1:$100,MATCH(CF$1,'Import from defimon'!$A:$A,0),MATCH($A119,'Import from defimon'!$1:$1,0)))</f>
        <v/>
      </c>
      <c r="CG119" s="13" t="str">
        <f t="array" ref="CG119">iferror(INDEX('Import from defimon'!$1:$100,MATCH(CG$1,'Import from defimon'!$A:$A,0),MATCH($A119,'Import from defimon'!$1:$1,0)))</f>
        <v/>
      </c>
      <c r="CH119" s="13" t="str">
        <f t="array" ref="CH119">iferror(INDEX('Import from defimon'!$1:$100,MATCH(CH$1,'Import from defimon'!$A:$A,0),MATCH($A119,'Import from defimon'!$1:$1,0)))</f>
        <v/>
      </c>
      <c r="CI119" s="13" t="str">
        <f t="array" ref="CI119">iferror(INDEX('Import from defimon'!$1:$100,MATCH(CI$1,'Import from defimon'!$A:$A,0),MATCH($A119,'Import from defimon'!$1:$1,0)))</f>
        <v/>
      </c>
      <c r="CJ119" s="13" t="str">
        <f t="array" ref="CJ119">iferror(INDEX('Import from defimon'!$1:$100,MATCH(CJ$1,'Import from defimon'!$A:$A,0),MATCH($A119,'Import from defimon'!$1:$1,0)))</f>
        <v/>
      </c>
      <c r="CK119" s="13" t="str">
        <f t="array" ref="CK119">iferror(INDEX('Import from defimon'!$1:$100,MATCH(CK$1,'Import from defimon'!$A:$A,0),MATCH($A119,'Import from defimon'!$1:$1,0)))</f>
        <v/>
      </c>
      <c r="CL119" s="13" t="str">
        <f t="array" ref="CL119">iferror(INDEX('Import from defimon'!$1:$100,MATCH(CL$1,'Import from defimon'!$A:$A,0),MATCH($A119,'Import from defimon'!$1:$1,0)))</f>
        <v/>
      </c>
      <c r="CM119" s="13" t="str">
        <f t="array" ref="CM119">iferror(INDEX('Import from defimon'!$1:$100,MATCH(CM$1,'Import from defimon'!$A:$A,0),MATCH($A119,'Import from defimon'!$1:$1,0)))</f>
        <v/>
      </c>
      <c r="CN119" s="13" t="str">
        <f t="array" ref="CN119">iferror(INDEX('Import from defimon'!$1:$100,MATCH(CN$1,'Import from defimon'!$A:$A,0),MATCH($A119,'Import from defimon'!$1:$1,0)))</f>
        <v/>
      </c>
      <c r="CP119" s="13" t="str">
        <f t="array" ref="CP119">iferror(INDEX('Import from defimon'!$1:$100,MATCH(CP$1,'Import from defimon'!$A:$A,0),MATCH($A119,'Import from defimon'!$1:$1,0)))</f>
        <v/>
      </c>
      <c r="CQ119" s="13" t="str">
        <f t="array" ref="CQ119">iferror(INDEX('Import from defimon'!$1:$100,MATCH(CQ$1,'Import from defimon'!$A:$A,0),MATCH($A119,'Import from defimon'!$1:$1,0)))</f>
        <v/>
      </c>
      <c r="CR119" s="13" t="str">
        <f t="array" ref="CR119">iferror(INDEX('Import from defimon'!$1:$100,MATCH(CR$1,'Import from defimon'!$A:$A,0),MATCH($A119,'Import from defimon'!$1:$1,0)))</f>
        <v/>
      </c>
      <c r="CY119" s="13" t="str">
        <f t="array" ref="CY119">iferror(INDEX('Import from defimon'!$1:$100,MATCH(CY$1,'Import from defimon'!$A:$A,0),MATCH($A119,'Import from defimon'!$1:$1,0)))</f>
        <v/>
      </c>
      <c r="CZ119" s="13" t="str">
        <f t="array" ref="CZ119">iferror(INDEX('Import from defimon'!$1:$100,MATCH(CZ$1,'Import from defimon'!$A:$A,0),MATCH($A119,'Import from defimon'!$1:$1,0)))</f>
        <v/>
      </c>
      <c r="DA119" s="13" t="str">
        <f t="array" ref="DA119">iferror(INDEX('Import from defimon'!$1:$100,MATCH(DA$1,'Import from defimon'!$A:$A,0),MATCH($A119,'Import from defimon'!$1:$1,0)))</f>
        <v/>
      </c>
    </row>
    <row r="120" ht="15.75" customHeight="1">
      <c r="AS120" s="13" t="str">
        <f>iferror(VLOOKUP($A120,EAM!H$2:I$14,2,FALSE))</f>
        <v/>
      </c>
      <c r="AU120" s="19"/>
      <c r="AZ120" s="13" t="str">
        <f t="array" ref="AZ120">iferror(INDEX('Import from defimon'!$1:$100,MATCH(AZ$1,'Import from defimon'!$A:$A,0),MATCH($A120,'Import from defimon'!$1:$1,0)))</f>
        <v/>
      </c>
      <c r="BH120" s="13" t="str">
        <f t="array" ref="BH120">iferror(INDEX('Import from defimon'!$1:$100,MATCH(BH$1,'Import from defimon'!$A:$A,0),MATCH($A120,'Import from defimon'!$1:$1,0)))</f>
        <v/>
      </c>
      <c r="BJ120" s="13" t="str">
        <f t="array" ref="BJ120">iferror(INDEX('Import from defimon'!$1:$100,MATCH(BJ$1,'Import from defimon'!$A:$A,0),MATCH($A120,'Import from defimon'!$1:$1,0)))</f>
        <v/>
      </c>
      <c r="BK120" s="13" t="str">
        <f t="array" ref="BK120">iferror(INDEX('Import from defimon'!$1:$100,MATCH(BK$1,'Import from defimon'!$A:$A,0),MATCH($A120,'Import from defimon'!$1:$1,0)))</f>
        <v/>
      </c>
      <c r="BL120" s="13" t="str">
        <f t="array" ref="BL120">iferror(INDEX('Import from defimon'!$1:$100,MATCH(BL$1,'Import from defimon'!$A:$A,0),MATCH($A120,'Import from defimon'!$1:$1,0)))</f>
        <v/>
      </c>
      <c r="BN120" s="13" t="str">
        <f t="array" ref="BN120">iferror(INDEX('Import from defimon'!$1:$100,MATCH(BN$1,'Import from defimon'!$A:$A,0),MATCH($A120,'Import from defimon'!$1:$1,0)))</f>
        <v/>
      </c>
      <c r="BO120" s="13" t="str">
        <f t="array" ref="BO120">iferror(INDEX('Import from defimon'!$1:$100,MATCH(BO$1,'Import from defimon'!$A:$A,0),MATCH($A120,'Import from defimon'!$1:$1,0)))</f>
        <v/>
      </c>
      <c r="BP120" s="13" t="str">
        <f t="array" ref="BP120">iferror(INDEX('Import from defimon'!$1:$100,MATCH(BP$1,'Import from defimon'!$A:$A,0),MATCH($A120,'Import from defimon'!$1:$1,0)))</f>
        <v/>
      </c>
      <c r="BQ120" s="13" t="str">
        <f t="array" ref="BQ120">iferror(INDEX('Import from defimon'!$1:$100,MATCH(BQ$1,'Import from defimon'!$A:$A,0),MATCH($A120,'Import from defimon'!$1:$1,0)))</f>
        <v/>
      </c>
      <c r="BR120" s="13" t="str">
        <f t="array" ref="BR120">iferror(INDEX('Import from defimon'!$1:$100,MATCH(BR$1,'Import from defimon'!$A:$A,0),MATCH($A120,'Import from defimon'!$1:$1,0)))</f>
        <v/>
      </c>
      <c r="BS120" s="13" t="str">
        <f t="array" ref="BS120">iferror(INDEX('Import from defimon'!$1:$100,MATCH(BS$1,'Import from defimon'!$A:$A,0),MATCH($A120,'Import from defimon'!$1:$1,0)))</f>
        <v/>
      </c>
      <c r="BT120" s="13" t="str">
        <f t="array" ref="BT120">iferror(INDEX('Import from defimon'!$1:$100,MATCH(BT$1,'Import from defimon'!$A:$A,0),MATCH($A120,'Import from defimon'!$1:$1,0)))</f>
        <v/>
      </c>
      <c r="BV120" s="13" t="str">
        <f t="array" ref="BV120">iferror(INDEX('Import from defimon'!$1:$100,MATCH(BV$1,'Import from defimon'!$A:$A,0),MATCH($A120,'Import from defimon'!$1:$1,0)))</f>
        <v/>
      </c>
      <c r="BW120" s="13" t="str">
        <f t="array" ref="BW120">iferror(INDEX('Import from defimon'!$1:$100,MATCH(BW$1,'Import from defimon'!$A:$A,0),MATCH($A120,'Import from defimon'!$1:$1,0)))</f>
        <v/>
      </c>
      <c r="BX120" s="13" t="str">
        <f t="array" ref="BX120">iferror(INDEX('Import from defimon'!$1:$100,MATCH(BX$1,'Import from defimon'!$A:$A,0),MATCH($A120,'Import from defimon'!$1:$1,0)))</f>
        <v/>
      </c>
      <c r="CA120" s="13" t="str">
        <f t="array" ref="CA120">iferror(INDEX('Import from defimon'!$1:$100,MATCH(CA$1,'Import from defimon'!$A:$A,0),MATCH($A120,'Import from defimon'!$1:$1,0)))</f>
        <v/>
      </c>
      <c r="CB120" s="13" t="str">
        <f t="array" ref="CB120">iferror(INDEX('Import from defimon'!$1:$100,MATCH(CB$1,'Import from defimon'!$A:$A,0),MATCH($A120,'Import from defimon'!$1:$1,0)))</f>
        <v/>
      </c>
      <c r="CC120" s="13" t="str">
        <f t="array" ref="CC120">iferror(INDEX('Import from defimon'!$1:$100,MATCH(CC$1,'Import from defimon'!$A:$A,0),MATCH($A120,'Import from defimon'!$1:$1,0)))</f>
        <v/>
      </c>
      <c r="CD120" s="13" t="str">
        <f t="array" ref="CD120">iferror(INDEX('Import from defimon'!$1:$100,MATCH(CD$1,'Import from defimon'!$A:$A,0),MATCH($A120,'Import from defimon'!$1:$1,0)))</f>
        <v/>
      </c>
      <c r="CE120" s="13" t="str">
        <f t="array" ref="CE120">iferror(INDEX('Import from defimon'!$1:$100,MATCH(CE$1,'Import from defimon'!$A:$A,0),MATCH($A120,'Import from defimon'!$1:$1,0)))</f>
        <v/>
      </c>
      <c r="CF120" s="13" t="str">
        <f t="array" ref="CF120">iferror(INDEX('Import from defimon'!$1:$100,MATCH(CF$1,'Import from defimon'!$A:$A,0),MATCH($A120,'Import from defimon'!$1:$1,0)))</f>
        <v/>
      </c>
      <c r="CG120" s="13" t="str">
        <f t="array" ref="CG120">iferror(INDEX('Import from defimon'!$1:$100,MATCH(CG$1,'Import from defimon'!$A:$A,0),MATCH($A120,'Import from defimon'!$1:$1,0)))</f>
        <v/>
      </c>
      <c r="CH120" s="13" t="str">
        <f t="array" ref="CH120">iferror(INDEX('Import from defimon'!$1:$100,MATCH(CH$1,'Import from defimon'!$A:$A,0),MATCH($A120,'Import from defimon'!$1:$1,0)))</f>
        <v/>
      </c>
      <c r="CI120" s="13" t="str">
        <f t="array" ref="CI120">iferror(INDEX('Import from defimon'!$1:$100,MATCH(CI$1,'Import from defimon'!$A:$A,0),MATCH($A120,'Import from defimon'!$1:$1,0)))</f>
        <v/>
      </c>
      <c r="CJ120" s="13" t="str">
        <f t="array" ref="CJ120">iferror(INDEX('Import from defimon'!$1:$100,MATCH(CJ$1,'Import from defimon'!$A:$A,0),MATCH($A120,'Import from defimon'!$1:$1,0)))</f>
        <v/>
      </c>
      <c r="CK120" s="13" t="str">
        <f t="array" ref="CK120">iferror(INDEX('Import from defimon'!$1:$100,MATCH(CK$1,'Import from defimon'!$A:$A,0),MATCH($A120,'Import from defimon'!$1:$1,0)))</f>
        <v/>
      </c>
      <c r="CL120" s="13" t="str">
        <f t="array" ref="CL120">iferror(INDEX('Import from defimon'!$1:$100,MATCH(CL$1,'Import from defimon'!$A:$A,0),MATCH($A120,'Import from defimon'!$1:$1,0)))</f>
        <v/>
      </c>
      <c r="CM120" s="13" t="str">
        <f t="array" ref="CM120">iferror(INDEX('Import from defimon'!$1:$100,MATCH(CM$1,'Import from defimon'!$A:$A,0),MATCH($A120,'Import from defimon'!$1:$1,0)))</f>
        <v/>
      </c>
      <c r="CN120" s="13" t="str">
        <f t="array" ref="CN120">iferror(INDEX('Import from defimon'!$1:$100,MATCH(CN$1,'Import from defimon'!$A:$A,0),MATCH($A120,'Import from defimon'!$1:$1,0)))</f>
        <v/>
      </c>
      <c r="CP120" s="13" t="str">
        <f t="array" ref="CP120">iferror(INDEX('Import from defimon'!$1:$100,MATCH(CP$1,'Import from defimon'!$A:$A,0),MATCH($A120,'Import from defimon'!$1:$1,0)))</f>
        <v/>
      </c>
      <c r="CQ120" s="13" t="str">
        <f t="array" ref="CQ120">iferror(INDEX('Import from defimon'!$1:$100,MATCH(CQ$1,'Import from defimon'!$A:$A,0),MATCH($A120,'Import from defimon'!$1:$1,0)))</f>
        <v/>
      </c>
      <c r="CR120" s="13" t="str">
        <f t="array" ref="CR120">iferror(INDEX('Import from defimon'!$1:$100,MATCH(CR$1,'Import from defimon'!$A:$A,0),MATCH($A120,'Import from defimon'!$1:$1,0)))</f>
        <v/>
      </c>
      <c r="CY120" s="13" t="str">
        <f t="array" ref="CY120">iferror(INDEX('Import from defimon'!$1:$100,MATCH(CY$1,'Import from defimon'!$A:$A,0),MATCH($A120,'Import from defimon'!$1:$1,0)))</f>
        <v/>
      </c>
      <c r="CZ120" s="13" t="str">
        <f t="array" ref="CZ120">iferror(INDEX('Import from defimon'!$1:$100,MATCH(CZ$1,'Import from defimon'!$A:$A,0),MATCH($A120,'Import from defimon'!$1:$1,0)))</f>
        <v/>
      </c>
      <c r="DA120" s="13" t="str">
        <f t="array" ref="DA120">iferror(INDEX('Import from defimon'!$1:$100,MATCH(DA$1,'Import from defimon'!$A:$A,0),MATCH($A120,'Import from defimon'!$1:$1,0)))</f>
        <v/>
      </c>
    </row>
    <row r="121" ht="15.75" customHeight="1">
      <c r="AS121" s="13" t="str">
        <f>iferror(VLOOKUP($A121,EAM!H$2:I$14,2,FALSE))</f>
        <v/>
      </c>
      <c r="AU121" s="20"/>
      <c r="AZ121" s="13" t="str">
        <f t="array" ref="AZ121">iferror(INDEX('Import from defimon'!$1:$100,MATCH(AZ$1,'Import from defimon'!$A:$A,0),MATCH($A121,'Import from defimon'!$1:$1,0)))</f>
        <v/>
      </c>
      <c r="BH121" s="13" t="str">
        <f t="array" ref="BH121">iferror(INDEX('Import from defimon'!$1:$100,MATCH(BH$1,'Import from defimon'!$A:$A,0),MATCH($A121,'Import from defimon'!$1:$1,0)))</f>
        <v/>
      </c>
      <c r="BJ121" s="13" t="str">
        <f t="array" ref="BJ121">iferror(INDEX('Import from defimon'!$1:$100,MATCH(BJ$1,'Import from defimon'!$A:$A,0),MATCH($A121,'Import from defimon'!$1:$1,0)))</f>
        <v/>
      </c>
      <c r="BK121" s="13" t="str">
        <f t="array" ref="BK121">iferror(INDEX('Import from defimon'!$1:$100,MATCH(BK$1,'Import from defimon'!$A:$A,0),MATCH($A121,'Import from defimon'!$1:$1,0)))</f>
        <v/>
      </c>
      <c r="BL121" s="13" t="str">
        <f t="array" ref="BL121">iferror(INDEX('Import from defimon'!$1:$100,MATCH(BL$1,'Import from defimon'!$A:$A,0),MATCH($A121,'Import from defimon'!$1:$1,0)))</f>
        <v/>
      </c>
      <c r="BN121" s="13" t="str">
        <f t="array" ref="BN121">iferror(INDEX('Import from defimon'!$1:$100,MATCH(BN$1,'Import from defimon'!$A:$A,0),MATCH($A121,'Import from defimon'!$1:$1,0)))</f>
        <v/>
      </c>
      <c r="BO121" s="13" t="str">
        <f t="array" ref="BO121">iferror(INDEX('Import from defimon'!$1:$100,MATCH(BO$1,'Import from defimon'!$A:$A,0),MATCH($A121,'Import from defimon'!$1:$1,0)))</f>
        <v/>
      </c>
      <c r="BP121" s="13" t="str">
        <f t="array" ref="BP121">iferror(INDEX('Import from defimon'!$1:$100,MATCH(BP$1,'Import from defimon'!$A:$A,0),MATCH($A121,'Import from defimon'!$1:$1,0)))</f>
        <v/>
      </c>
      <c r="BQ121" s="13" t="str">
        <f t="array" ref="BQ121">iferror(INDEX('Import from defimon'!$1:$100,MATCH(BQ$1,'Import from defimon'!$A:$A,0),MATCH($A121,'Import from defimon'!$1:$1,0)))</f>
        <v/>
      </c>
      <c r="BR121" s="13" t="str">
        <f t="array" ref="BR121">iferror(INDEX('Import from defimon'!$1:$100,MATCH(BR$1,'Import from defimon'!$A:$A,0),MATCH($A121,'Import from defimon'!$1:$1,0)))</f>
        <v/>
      </c>
      <c r="BS121" s="13" t="str">
        <f t="array" ref="BS121">iferror(INDEX('Import from defimon'!$1:$100,MATCH(BS$1,'Import from defimon'!$A:$A,0),MATCH($A121,'Import from defimon'!$1:$1,0)))</f>
        <v/>
      </c>
      <c r="BT121" s="13" t="str">
        <f t="array" ref="BT121">iferror(INDEX('Import from defimon'!$1:$100,MATCH(BT$1,'Import from defimon'!$A:$A,0),MATCH($A121,'Import from defimon'!$1:$1,0)))</f>
        <v/>
      </c>
      <c r="BV121" s="13" t="str">
        <f t="array" ref="BV121">iferror(INDEX('Import from defimon'!$1:$100,MATCH(BV$1,'Import from defimon'!$A:$A,0),MATCH($A121,'Import from defimon'!$1:$1,0)))</f>
        <v/>
      </c>
      <c r="BW121" s="13" t="str">
        <f t="array" ref="BW121">iferror(INDEX('Import from defimon'!$1:$100,MATCH(BW$1,'Import from defimon'!$A:$A,0),MATCH($A121,'Import from defimon'!$1:$1,0)))</f>
        <v/>
      </c>
      <c r="BX121" s="13" t="str">
        <f t="array" ref="BX121">iferror(INDEX('Import from defimon'!$1:$100,MATCH(BX$1,'Import from defimon'!$A:$A,0),MATCH($A121,'Import from defimon'!$1:$1,0)))</f>
        <v/>
      </c>
      <c r="CA121" s="13" t="str">
        <f t="array" ref="CA121">iferror(INDEX('Import from defimon'!$1:$100,MATCH(CA$1,'Import from defimon'!$A:$A,0),MATCH($A121,'Import from defimon'!$1:$1,0)))</f>
        <v/>
      </c>
      <c r="CB121" s="13" t="str">
        <f t="array" ref="CB121">iferror(INDEX('Import from defimon'!$1:$100,MATCH(CB$1,'Import from defimon'!$A:$A,0),MATCH($A121,'Import from defimon'!$1:$1,0)))</f>
        <v/>
      </c>
      <c r="CC121" s="13" t="str">
        <f t="array" ref="CC121">iferror(INDEX('Import from defimon'!$1:$100,MATCH(CC$1,'Import from defimon'!$A:$A,0),MATCH($A121,'Import from defimon'!$1:$1,0)))</f>
        <v/>
      </c>
      <c r="CD121" s="13" t="str">
        <f t="array" ref="CD121">iferror(INDEX('Import from defimon'!$1:$100,MATCH(CD$1,'Import from defimon'!$A:$A,0),MATCH($A121,'Import from defimon'!$1:$1,0)))</f>
        <v/>
      </c>
      <c r="CE121" s="13" t="str">
        <f t="array" ref="CE121">iferror(INDEX('Import from defimon'!$1:$100,MATCH(CE$1,'Import from defimon'!$A:$A,0),MATCH($A121,'Import from defimon'!$1:$1,0)))</f>
        <v/>
      </c>
      <c r="CF121" s="13" t="str">
        <f t="array" ref="CF121">iferror(INDEX('Import from defimon'!$1:$100,MATCH(CF$1,'Import from defimon'!$A:$A,0),MATCH($A121,'Import from defimon'!$1:$1,0)))</f>
        <v/>
      </c>
      <c r="CG121" s="13" t="str">
        <f t="array" ref="CG121">iferror(INDEX('Import from defimon'!$1:$100,MATCH(CG$1,'Import from defimon'!$A:$A,0),MATCH($A121,'Import from defimon'!$1:$1,0)))</f>
        <v/>
      </c>
      <c r="CH121" s="13" t="str">
        <f t="array" ref="CH121">iferror(INDEX('Import from defimon'!$1:$100,MATCH(CH$1,'Import from defimon'!$A:$A,0),MATCH($A121,'Import from defimon'!$1:$1,0)))</f>
        <v/>
      </c>
      <c r="CI121" s="13" t="str">
        <f t="array" ref="CI121">iferror(INDEX('Import from defimon'!$1:$100,MATCH(CI$1,'Import from defimon'!$A:$A,0),MATCH($A121,'Import from defimon'!$1:$1,0)))</f>
        <v/>
      </c>
      <c r="CJ121" s="13" t="str">
        <f t="array" ref="CJ121">iferror(INDEX('Import from defimon'!$1:$100,MATCH(CJ$1,'Import from defimon'!$A:$A,0),MATCH($A121,'Import from defimon'!$1:$1,0)))</f>
        <v/>
      </c>
      <c r="CK121" s="13" t="str">
        <f t="array" ref="CK121">iferror(INDEX('Import from defimon'!$1:$100,MATCH(CK$1,'Import from defimon'!$A:$A,0),MATCH($A121,'Import from defimon'!$1:$1,0)))</f>
        <v/>
      </c>
      <c r="CL121" s="13" t="str">
        <f t="array" ref="CL121">iferror(INDEX('Import from defimon'!$1:$100,MATCH(CL$1,'Import from defimon'!$A:$A,0),MATCH($A121,'Import from defimon'!$1:$1,0)))</f>
        <v/>
      </c>
      <c r="CM121" s="13" t="str">
        <f t="array" ref="CM121">iferror(INDEX('Import from defimon'!$1:$100,MATCH(CM$1,'Import from defimon'!$A:$A,0),MATCH($A121,'Import from defimon'!$1:$1,0)))</f>
        <v/>
      </c>
      <c r="CN121" s="13" t="str">
        <f t="array" ref="CN121">iferror(INDEX('Import from defimon'!$1:$100,MATCH(CN$1,'Import from defimon'!$A:$A,0),MATCH($A121,'Import from defimon'!$1:$1,0)))</f>
        <v/>
      </c>
      <c r="CP121" s="13" t="str">
        <f t="array" ref="CP121">iferror(INDEX('Import from defimon'!$1:$100,MATCH(CP$1,'Import from defimon'!$A:$A,0),MATCH($A121,'Import from defimon'!$1:$1,0)))</f>
        <v/>
      </c>
      <c r="CQ121" s="13" t="str">
        <f t="array" ref="CQ121">iferror(INDEX('Import from defimon'!$1:$100,MATCH(CQ$1,'Import from defimon'!$A:$A,0),MATCH($A121,'Import from defimon'!$1:$1,0)))</f>
        <v/>
      </c>
      <c r="CR121" s="13" t="str">
        <f t="array" ref="CR121">iferror(INDEX('Import from defimon'!$1:$100,MATCH(CR$1,'Import from defimon'!$A:$A,0),MATCH($A121,'Import from defimon'!$1:$1,0)))</f>
        <v/>
      </c>
      <c r="CY121" s="13" t="str">
        <f t="array" ref="CY121">iferror(INDEX('Import from defimon'!$1:$100,MATCH(CY$1,'Import from defimon'!$A:$A,0),MATCH($A121,'Import from defimon'!$1:$1,0)))</f>
        <v/>
      </c>
      <c r="CZ121" s="13" t="str">
        <f t="array" ref="CZ121">iferror(INDEX('Import from defimon'!$1:$100,MATCH(CZ$1,'Import from defimon'!$A:$A,0),MATCH($A121,'Import from defimon'!$1:$1,0)))</f>
        <v/>
      </c>
      <c r="DA121" s="13" t="str">
        <f t="array" ref="DA121">iferror(INDEX('Import from defimon'!$1:$100,MATCH(DA$1,'Import from defimon'!$A:$A,0),MATCH($A121,'Import from defimon'!$1:$1,0)))</f>
        <v/>
      </c>
    </row>
    <row r="122" ht="15.75" customHeight="1">
      <c r="AS122" s="13" t="str">
        <f>iferror(VLOOKUP($A122,EAM!H$2:I$14,2,FALSE))</f>
        <v/>
      </c>
      <c r="AU122" s="19"/>
      <c r="AZ122" s="13" t="str">
        <f t="array" ref="AZ122">iferror(INDEX('Import from defimon'!$1:$100,MATCH(AZ$1,'Import from defimon'!$A:$A,0),MATCH($A122,'Import from defimon'!$1:$1,0)))</f>
        <v/>
      </c>
      <c r="BH122" s="13" t="str">
        <f t="array" ref="BH122">iferror(INDEX('Import from defimon'!$1:$100,MATCH(BH$1,'Import from defimon'!$A:$A,0),MATCH($A122,'Import from defimon'!$1:$1,0)))</f>
        <v/>
      </c>
      <c r="BJ122" s="13" t="str">
        <f t="array" ref="BJ122">iferror(INDEX('Import from defimon'!$1:$100,MATCH(BJ$1,'Import from defimon'!$A:$A,0),MATCH($A122,'Import from defimon'!$1:$1,0)))</f>
        <v/>
      </c>
      <c r="BK122" s="13" t="str">
        <f t="array" ref="BK122">iferror(INDEX('Import from defimon'!$1:$100,MATCH(BK$1,'Import from defimon'!$A:$A,0),MATCH($A122,'Import from defimon'!$1:$1,0)))</f>
        <v/>
      </c>
      <c r="BL122" s="13" t="str">
        <f t="array" ref="BL122">iferror(INDEX('Import from defimon'!$1:$100,MATCH(BL$1,'Import from defimon'!$A:$A,0),MATCH($A122,'Import from defimon'!$1:$1,0)))</f>
        <v/>
      </c>
      <c r="BN122" s="13" t="str">
        <f t="array" ref="BN122">iferror(INDEX('Import from defimon'!$1:$100,MATCH(BN$1,'Import from defimon'!$A:$A,0),MATCH($A122,'Import from defimon'!$1:$1,0)))</f>
        <v/>
      </c>
      <c r="BO122" s="13" t="str">
        <f t="array" ref="BO122">iferror(INDEX('Import from defimon'!$1:$100,MATCH(BO$1,'Import from defimon'!$A:$A,0),MATCH($A122,'Import from defimon'!$1:$1,0)))</f>
        <v/>
      </c>
      <c r="BP122" s="13" t="str">
        <f t="array" ref="BP122">iferror(INDEX('Import from defimon'!$1:$100,MATCH(BP$1,'Import from defimon'!$A:$A,0),MATCH($A122,'Import from defimon'!$1:$1,0)))</f>
        <v/>
      </c>
      <c r="BQ122" s="13" t="str">
        <f t="array" ref="BQ122">iferror(INDEX('Import from defimon'!$1:$100,MATCH(BQ$1,'Import from defimon'!$A:$A,0),MATCH($A122,'Import from defimon'!$1:$1,0)))</f>
        <v/>
      </c>
      <c r="BR122" s="13" t="str">
        <f t="array" ref="BR122">iferror(INDEX('Import from defimon'!$1:$100,MATCH(BR$1,'Import from defimon'!$A:$A,0),MATCH($A122,'Import from defimon'!$1:$1,0)))</f>
        <v/>
      </c>
      <c r="BS122" s="13" t="str">
        <f t="array" ref="BS122">iferror(INDEX('Import from defimon'!$1:$100,MATCH(BS$1,'Import from defimon'!$A:$A,0),MATCH($A122,'Import from defimon'!$1:$1,0)))</f>
        <v/>
      </c>
      <c r="BT122" s="13" t="str">
        <f t="array" ref="BT122">iferror(INDEX('Import from defimon'!$1:$100,MATCH(BT$1,'Import from defimon'!$A:$A,0),MATCH($A122,'Import from defimon'!$1:$1,0)))</f>
        <v/>
      </c>
      <c r="BV122" s="13" t="str">
        <f t="array" ref="BV122">iferror(INDEX('Import from defimon'!$1:$100,MATCH(BV$1,'Import from defimon'!$A:$A,0),MATCH($A122,'Import from defimon'!$1:$1,0)))</f>
        <v/>
      </c>
      <c r="BW122" s="13" t="str">
        <f t="array" ref="BW122">iferror(INDEX('Import from defimon'!$1:$100,MATCH(BW$1,'Import from defimon'!$A:$A,0),MATCH($A122,'Import from defimon'!$1:$1,0)))</f>
        <v/>
      </c>
      <c r="BX122" s="13" t="str">
        <f t="array" ref="BX122">iferror(INDEX('Import from defimon'!$1:$100,MATCH(BX$1,'Import from defimon'!$A:$A,0),MATCH($A122,'Import from defimon'!$1:$1,0)))</f>
        <v/>
      </c>
      <c r="CA122" s="13" t="str">
        <f t="array" ref="CA122">iferror(INDEX('Import from defimon'!$1:$100,MATCH(CA$1,'Import from defimon'!$A:$A,0),MATCH($A122,'Import from defimon'!$1:$1,0)))</f>
        <v/>
      </c>
      <c r="CB122" s="13" t="str">
        <f t="array" ref="CB122">iferror(INDEX('Import from defimon'!$1:$100,MATCH(CB$1,'Import from defimon'!$A:$A,0),MATCH($A122,'Import from defimon'!$1:$1,0)))</f>
        <v/>
      </c>
      <c r="CC122" s="13" t="str">
        <f t="array" ref="CC122">iferror(INDEX('Import from defimon'!$1:$100,MATCH(CC$1,'Import from defimon'!$A:$A,0),MATCH($A122,'Import from defimon'!$1:$1,0)))</f>
        <v/>
      </c>
      <c r="CD122" s="13" t="str">
        <f t="array" ref="CD122">iferror(INDEX('Import from defimon'!$1:$100,MATCH(CD$1,'Import from defimon'!$A:$A,0),MATCH($A122,'Import from defimon'!$1:$1,0)))</f>
        <v/>
      </c>
      <c r="CE122" s="13" t="str">
        <f t="array" ref="CE122">iferror(INDEX('Import from defimon'!$1:$100,MATCH(CE$1,'Import from defimon'!$A:$A,0),MATCH($A122,'Import from defimon'!$1:$1,0)))</f>
        <v/>
      </c>
      <c r="CF122" s="13" t="str">
        <f t="array" ref="CF122">iferror(INDEX('Import from defimon'!$1:$100,MATCH(CF$1,'Import from defimon'!$A:$A,0),MATCH($A122,'Import from defimon'!$1:$1,0)))</f>
        <v/>
      </c>
      <c r="CG122" s="13" t="str">
        <f t="array" ref="CG122">iferror(INDEX('Import from defimon'!$1:$100,MATCH(CG$1,'Import from defimon'!$A:$A,0),MATCH($A122,'Import from defimon'!$1:$1,0)))</f>
        <v/>
      </c>
      <c r="CH122" s="13" t="str">
        <f t="array" ref="CH122">iferror(INDEX('Import from defimon'!$1:$100,MATCH(CH$1,'Import from defimon'!$A:$A,0),MATCH($A122,'Import from defimon'!$1:$1,0)))</f>
        <v/>
      </c>
      <c r="CI122" s="13" t="str">
        <f t="array" ref="CI122">iferror(INDEX('Import from defimon'!$1:$100,MATCH(CI$1,'Import from defimon'!$A:$A,0),MATCH($A122,'Import from defimon'!$1:$1,0)))</f>
        <v/>
      </c>
      <c r="CJ122" s="13" t="str">
        <f t="array" ref="CJ122">iferror(INDEX('Import from defimon'!$1:$100,MATCH(CJ$1,'Import from defimon'!$A:$A,0),MATCH($A122,'Import from defimon'!$1:$1,0)))</f>
        <v/>
      </c>
      <c r="CK122" s="13" t="str">
        <f t="array" ref="CK122">iferror(INDEX('Import from defimon'!$1:$100,MATCH(CK$1,'Import from defimon'!$A:$A,0),MATCH($A122,'Import from defimon'!$1:$1,0)))</f>
        <v/>
      </c>
      <c r="CL122" s="13" t="str">
        <f t="array" ref="CL122">iferror(INDEX('Import from defimon'!$1:$100,MATCH(CL$1,'Import from defimon'!$A:$A,0),MATCH($A122,'Import from defimon'!$1:$1,0)))</f>
        <v/>
      </c>
      <c r="CM122" s="13" t="str">
        <f t="array" ref="CM122">iferror(INDEX('Import from defimon'!$1:$100,MATCH(CM$1,'Import from defimon'!$A:$A,0),MATCH($A122,'Import from defimon'!$1:$1,0)))</f>
        <v/>
      </c>
      <c r="CN122" s="13" t="str">
        <f t="array" ref="CN122">iferror(INDEX('Import from defimon'!$1:$100,MATCH(CN$1,'Import from defimon'!$A:$A,0),MATCH($A122,'Import from defimon'!$1:$1,0)))</f>
        <v/>
      </c>
      <c r="CP122" s="13" t="str">
        <f t="array" ref="CP122">iferror(INDEX('Import from defimon'!$1:$100,MATCH(CP$1,'Import from defimon'!$A:$A,0),MATCH($A122,'Import from defimon'!$1:$1,0)))</f>
        <v/>
      </c>
      <c r="CQ122" s="13" t="str">
        <f t="array" ref="CQ122">iferror(INDEX('Import from defimon'!$1:$100,MATCH(CQ$1,'Import from defimon'!$A:$A,0),MATCH($A122,'Import from defimon'!$1:$1,0)))</f>
        <v/>
      </c>
      <c r="CR122" s="13" t="str">
        <f t="array" ref="CR122">iferror(INDEX('Import from defimon'!$1:$100,MATCH(CR$1,'Import from defimon'!$A:$A,0),MATCH($A122,'Import from defimon'!$1:$1,0)))</f>
        <v/>
      </c>
      <c r="CY122" s="13" t="str">
        <f t="array" ref="CY122">iferror(INDEX('Import from defimon'!$1:$100,MATCH(CY$1,'Import from defimon'!$A:$A,0),MATCH($A122,'Import from defimon'!$1:$1,0)))</f>
        <v/>
      </c>
      <c r="CZ122" s="13" t="str">
        <f t="array" ref="CZ122">iferror(INDEX('Import from defimon'!$1:$100,MATCH(CZ$1,'Import from defimon'!$A:$A,0),MATCH($A122,'Import from defimon'!$1:$1,0)))</f>
        <v/>
      </c>
      <c r="DA122" s="13" t="str">
        <f t="array" ref="DA122">iferror(INDEX('Import from defimon'!$1:$100,MATCH(DA$1,'Import from defimon'!$A:$A,0),MATCH($A122,'Import from defimon'!$1:$1,0)))</f>
        <v/>
      </c>
    </row>
    <row r="123" ht="15.75" customHeight="1">
      <c r="AS123" s="13" t="str">
        <f>iferror(VLOOKUP($A123,EAM!H$2:I$14,2,FALSE))</f>
        <v/>
      </c>
      <c r="AU123" s="19"/>
      <c r="AZ123" s="13" t="str">
        <f t="array" ref="AZ123">iferror(INDEX('Import from defimon'!$1:$100,MATCH(AZ$1,'Import from defimon'!$A:$A,0),MATCH($A123,'Import from defimon'!$1:$1,0)))</f>
        <v/>
      </c>
      <c r="BH123" s="13" t="str">
        <f t="array" ref="BH123">iferror(INDEX('Import from defimon'!$1:$100,MATCH(BH$1,'Import from defimon'!$A:$A,0),MATCH($A123,'Import from defimon'!$1:$1,0)))</f>
        <v/>
      </c>
      <c r="BJ123" s="13" t="str">
        <f t="array" ref="BJ123">iferror(INDEX('Import from defimon'!$1:$100,MATCH(BJ$1,'Import from defimon'!$A:$A,0),MATCH($A123,'Import from defimon'!$1:$1,0)))</f>
        <v/>
      </c>
      <c r="BK123" s="13" t="str">
        <f t="array" ref="BK123">iferror(INDEX('Import from defimon'!$1:$100,MATCH(BK$1,'Import from defimon'!$A:$A,0),MATCH($A123,'Import from defimon'!$1:$1,0)))</f>
        <v/>
      </c>
      <c r="BL123" s="13" t="str">
        <f t="array" ref="BL123">iferror(INDEX('Import from defimon'!$1:$100,MATCH(BL$1,'Import from defimon'!$A:$A,0),MATCH($A123,'Import from defimon'!$1:$1,0)))</f>
        <v/>
      </c>
      <c r="BN123" s="13" t="str">
        <f t="array" ref="BN123">iferror(INDEX('Import from defimon'!$1:$100,MATCH(BN$1,'Import from defimon'!$A:$A,0),MATCH($A123,'Import from defimon'!$1:$1,0)))</f>
        <v/>
      </c>
      <c r="BO123" s="13" t="str">
        <f t="array" ref="BO123">iferror(INDEX('Import from defimon'!$1:$100,MATCH(BO$1,'Import from defimon'!$A:$A,0),MATCH($A123,'Import from defimon'!$1:$1,0)))</f>
        <v/>
      </c>
      <c r="BP123" s="13" t="str">
        <f t="array" ref="BP123">iferror(INDEX('Import from defimon'!$1:$100,MATCH(BP$1,'Import from defimon'!$A:$A,0),MATCH($A123,'Import from defimon'!$1:$1,0)))</f>
        <v/>
      </c>
      <c r="BQ123" s="13" t="str">
        <f t="array" ref="BQ123">iferror(INDEX('Import from defimon'!$1:$100,MATCH(BQ$1,'Import from defimon'!$A:$A,0),MATCH($A123,'Import from defimon'!$1:$1,0)))</f>
        <v/>
      </c>
      <c r="BR123" s="13" t="str">
        <f t="array" ref="BR123">iferror(INDEX('Import from defimon'!$1:$100,MATCH(BR$1,'Import from defimon'!$A:$A,0),MATCH($A123,'Import from defimon'!$1:$1,0)))</f>
        <v/>
      </c>
      <c r="BS123" s="13" t="str">
        <f t="array" ref="BS123">iferror(INDEX('Import from defimon'!$1:$100,MATCH(BS$1,'Import from defimon'!$A:$A,0),MATCH($A123,'Import from defimon'!$1:$1,0)))</f>
        <v/>
      </c>
      <c r="BT123" s="13" t="str">
        <f t="array" ref="BT123">iferror(INDEX('Import from defimon'!$1:$100,MATCH(BT$1,'Import from defimon'!$A:$A,0),MATCH($A123,'Import from defimon'!$1:$1,0)))</f>
        <v/>
      </c>
      <c r="BV123" s="13" t="str">
        <f t="array" ref="BV123">iferror(INDEX('Import from defimon'!$1:$100,MATCH(BV$1,'Import from defimon'!$A:$A,0),MATCH($A123,'Import from defimon'!$1:$1,0)))</f>
        <v/>
      </c>
      <c r="BW123" s="13" t="str">
        <f t="array" ref="BW123">iferror(INDEX('Import from defimon'!$1:$100,MATCH(BW$1,'Import from defimon'!$A:$A,0),MATCH($A123,'Import from defimon'!$1:$1,0)))</f>
        <v/>
      </c>
      <c r="BX123" s="13" t="str">
        <f t="array" ref="BX123">iferror(INDEX('Import from defimon'!$1:$100,MATCH(BX$1,'Import from defimon'!$A:$A,0),MATCH($A123,'Import from defimon'!$1:$1,0)))</f>
        <v/>
      </c>
      <c r="CA123" s="13" t="str">
        <f t="array" ref="CA123">iferror(INDEX('Import from defimon'!$1:$100,MATCH(CA$1,'Import from defimon'!$A:$A,0),MATCH($A123,'Import from defimon'!$1:$1,0)))</f>
        <v/>
      </c>
      <c r="CB123" s="13" t="str">
        <f t="array" ref="CB123">iferror(INDEX('Import from defimon'!$1:$100,MATCH(CB$1,'Import from defimon'!$A:$A,0),MATCH($A123,'Import from defimon'!$1:$1,0)))</f>
        <v/>
      </c>
      <c r="CC123" s="13" t="str">
        <f t="array" ref="CC123">iferror(INDEX('Import from defimon'!$1:$100,MATCH(CC$1,'Import from defimon'!$A:$A,0),MATCH($A123,'Import from defimon'!$1:$1,0)))</f>
        <v/>
      </c>
      <c r="CD123" s="13" t="str">
        <f t="array" ref="CD123">iferror(INDEX('Import from defimon'!$1:$100,MATCH(CD$1,'Import from defimon'!$A:$A,0),MATCH($A123,'Import from defimon'!$1:$1,0)))</f>
        <v/>
      </c>
      <c r="CE123" s="13" t="str">
        <f t="array" ref="CE123">iferror(INDEX('Import from defimon'!$1:$100,MATCH(CE$1,'Import from defimon'!$A:$A,0),MATCH($A123,'Import from defimon'!$1:$1,0)))</f>
        <v/>
      </c>
      <c r="CF123" s="13" t="str">
        <f t="array" ref="CF123">iferror(INDEX('Import from defimon'!$1:$100,MATCH(CF$1,'Import from defimon'!$A:$A,0),MATCH($A123,'Import from defimon'!$1:$1,0)))</f>
        <v/>
      </c>
      <c r="CG123" s="13" t="str">
        <f t="array" ref="CG123">iferror(INDEX('Import from defimon'!$1:$100,MATCH(CG$1,'Import from defimon'!$A:$A,0),MATCH($A123,'Import from defimon'!$1:$1,0)))</f>
        <v/>
      </c>
      <c r="CH123" s="13" t="str">
        <f t="array" ref="CH123">iferror(INDEX('Import from defimon'!$1:$100,MATCH(CH$1,'Import from defimon'!$A:$A,0),MATCH($A123,'Import from defimon'!$1:$1,0)))</f>
        <v/>
      </c>
      <c r="CI123" s="13" t="str">
        <f t="array" ref="CI123">iferror(INDEX('Import from defimon'!$1:$100,MATCH(CI$1,'Import from defimon'!$A:$A,0),MATCH($A123,'Import from defimon'!$1:$1,0)))</f>
        <v/>
      </c>
      <c r="CJ123" s="13" t="str">
        <f t="array" ref="CJ123">iferror(INDEX('Import from defimon'!$1:$100,MATCH(CJ$1,'Import from defimon'!$A:$A,0),MATCH($A123,'Import from defimon'!$1:$1,0)))</f>
        <v/>
      </c>
      <c r="CK123" s="13" t="str">
        <f t="array" ref="CK123">iferror(INDEX('Import from defimon'!$1:$100,MATCH(CK$1,'Import from defimon'!$A:$A,0),MATCH($A123,'Import from defimon'!$1:$1,0)))</f>
        <v/>
      </c>
      <c r="CL123" s="13" t="str">
        <f t="array" ref="CL123">iferror(INDEX('Import from defimon'!$1:$100,MATCH(CL$1,'Import from defimon'!$A:$A,0),MATCH($A123,'Import from defimon'!$1:$1,0)))</f>
        <v/>
      </c>
      <c r="CM123" s="13" t="str">
        <f t="array" ref="CM123">iferror(INDEX('Import from defimon'!$1:$100,MATCH(CM$1,'Import from defimon'!$A:$A,0),MATCH($A123,'Import from defimon'!$1:$1,0)))</f>
        <v/>
      </c>
      <c r="CN123" s="13" t="str">
        <f t="array" ref="CN123">iferror(INDEX('Import from defimon'!$1:$100,MATCH(CN$1,'Import from defimon'!$A:$A,0),MATCH($A123,'Import from defimon'!$1:$1,0)))</f>
        <v/>
      </c>
      <c r="CP123" s="13" t="str">
        <f t="array" ref="CP123">iferror(INDEX('Import from defimon'!$1:$100,MATCH(CP$1,'Import from defimon'!$A:$A,0),MATCH($A123,'Import from defimon'!$1:$1,0)))</f>
        <v/>
      </c>
      <c r="CQ123" s="13" t="str">
        <f t="array" ref="CQ123">iferror(INDEX('Import from defimon'!$1:$100,MATCH(CQ$1,'Import from defimon'!$A:$A,0),MATCH($A123,'Import from defimon'!$1:$1,0)))</f>
        <v/>
      </c>
      <c r="CR123" s="13" t="str">
        <f t="array" ref="CR123">iferror(INDEX('Import from defimon'!$1:$100,MATCH(CR$1,'Import from defimon'!$A:$A,0),MATCH($A123,'Import from defimon'!$1:$1,0)))</f>
        <v/>
      </c>
      <c r="CY123" s="13" t="str">
        <f t="array" ref="CY123">iferror(INDEX('Import from defimon'!$1:$100,MATCH(CY$1,'Import from defimon'!$A:$A,0),MATCH($A123,'Import from defimon'!$1:$1,0)))</f>
        <v/>
      </c>
      <c r="CZ123" s="13" t="str">
        <f t="array" ref="CZ123">iferror(INDEX('Import from defimon'!$1:$100,MATCH(CZ$1,'Import from defimon'!$A:$A,0),MATCH($A123,'Import from defimon'!$1:$1,0)))</f>
        <v/>
      </c>
      <c r="DA123" s="13" t="str">
        <f t="array" ref="DA123">iferror(INDEX('Import from defimon'!$1:$100,MATCH(DA$1,'Import from defimon'!$A:$A,0),MATCH($A123,'Import from defimon'!$1:$1,0)))</f>
        <v/>
      </c>
    </row>
    <row r="124" ht="15.75" customHeight="1">
      <c r="AS124" s="13" t="str">
        <f>iferror(VLOOKUP($A124,EAM!H$2:I$14,2,FALSE))</f>
        <v/>
      </c>
      <c r="AU124" s="19"/>
      <c r="AZ124" s="13" t="str">
        <f t="array" ref="AZ124">iferror(INDEX('Import from defimon'!$1:$100,MATCH(AZ$1,'Import from defimon'!$A:$A,0),MATCH($A124,'Import from defimon'!$1:$1,0)))</f>
        <v/>
      </c>
      <c r="BH124" s="13" t="str">
        <f t="array" ref="BH124">iferror(INDEX('Import from defimon'!$1:$100,MATCH(BH$1,'Import from defimon'!$A:$A,0),MATCH($A124,'Import from defimon'!$1:$1,0)))</f>
        <v/>
      </c>
      <c r="BJ124" s="13" t="str">
        <f t="array" ref="BJ124">iferror(INDEX('Import from defimon'!$1:$100,MATCH(BJ$1,'Import from defimon'!$A:$A,0),MATCH($A124,'Import from defimon'!$1:$1,0)))</f>
        <v/>
      </c>
      <c r="BK124" s="13" t="str">
        <f t="array" ref="BK124">iferror(INDEX('Import from defimon'!$1:$100,MATCH(BK$1,'Import from defimon'!$A:$A,0),MATCH($A124,'Import from defimon'!$1:$1,0)))</f>
        <v/>
      </c>
      <c r="BL124" s="13" t="str">
        <f t="array" ref="BL124">iferror(INDEX('Import from defimon'!$1:$100,MATCH(BL$1,'Import from defimon'!$A:$A,0),MATCH($A124,'Import from defimon'!$1:$1,0)))</f>
        <v/>
      </c>
      <c r="BN124" s="13" t="str">
        <f t="array" ref="BN124">iferror(INDEX('Import from defimon'!$1:$100,MATCH(BN$1,'Import from defimon'!$A:$A,0),MATCH($A124,'Import from defimon'!$1:$1,0)))</f>
        <v/>
      </c>
      <c r="BO124" s="13" t="str">
        <f t="array" ref="BO124">iferror(INDEX('Import from defimon'!$1:$100,MATCH(BO$1,'Import from defimon'!$A:$A,0),MATCH($A124,'Import from defimon'!$1:$1,0)))</f>
        <v/>
      </c>
      <c r="BP124" s="13" t="str">
        <f t="array" ref="BP124">iferror(INDEX('Import from defimon'!$1:$100,MATCH(BP$1,'Import from defimon'!$A:$A,0),MATCH($A124,'Import from defimon'!$1:$1,0)))</f>
        <v/>
      </c>
      <c r="BQ124" s="13" t="str">
        <f t="array" ref="BQ124">iferror(INDEX('Import from defimon'!$1:$100,MATCH(BQ$1,'Import from defimon'!$A:$A,0),MATCH($A124,'Import from defimon'!$1:$1,0)))</f>
        <v/>
      </c>
      <c r="BR124" s="13" t="str">
        <f t="array" ref="BR124">iferror(INDEX('Import from defimon'!$1:$100,MATCH(BR$1,'Import from defimon'!$A:$A,0),MATCH($A124,'Import from defimon'!$1:$1,0)))</f>
        <v/>
      </c>
      <c r="BS124" s="13" t="str">
        <f t="array" ref="BS124">iferror(INDEX('Import from defimon'!$1:$100,MATCH(BS$1,'Import from defimon'!$A:$A,0),MATCH($A124,'Import from defimon'!$1:$1,0)))</f>
        <v/>
      </c>
      <c r="BT124" s="13" t="str">
        <f t="array" ref="BT124">iferror(INDEX('Import from defimon'!$1:$100,MATCH(BT$1,'Import from defimon'!$A:$A,0),MATCH($A124,'Import from defimon'!$1:$1,0)))</f>
        <v/>
      </c>
      <c r="BV124" s="13" t="str">
        <f t="array" ref="BV124">iferror(INDEX('Import from defimon'!$1:$100,MATCH(BV$1,'Import from defimon'!$A:$A,0),MATCH($A124,'Import from defimon'!$1:$1,0)))</f>
        <v/>
      </c>
      <c r="BW124" s="13" t="str">
        <f t="array" ref="BW124">iferror(INDEX('Import from defimon'!$1:$100,MATCH(BW$1,'Import from defimon'!$A:$A,0),MATCH($A124,'Import from defimon'!$1:$1,0)))</f>
        <v/>
      </c>
      <c r="BX124" s="13" t="str">
        <f t="array" ref="BX124">iferror(INDEX('Import from defimon'!$1:$100,MATCH(BX$1,'Import from defimon'!$A:$A,0),MATCH($A124,'Import from defimon'!$1:$1,0)))</f>
        <v/>
      </c>
      <c r="CA124" s="13" t="str">
        <f t="array" ref="CA124">iferror(INDEX('Import from defimon'!$1:$100,MATCH(CA$1,'Import from defimon'!$A:$A,0),MATCH($A124,'Import from defimon'!$1:$1,0)))</f>
        <v/>
      </c>
      <c r="CB124" s="13" t="str">
        <f t="array" ref="CB124">iferror(INDEX('Import from defimon'!$1:$100,MATCH(CB$1,'Import from defimon'!$A:$A,0),MATCH($A124,'Import from defimon'!$1:$1,0)))</f>
        <v/>
      </c>
      <c r="CC124" s="13" t="str">
        <f t="array" ref="CC124">iferror(INDEX('Import from defimon'!$1:$100,MATCH(CC$1,'Import from defimon'!$A:$A,0),MATCH($A124,'Import from defimon'!$1:$1,0)))</f>
        <v/>
      </c>
      <c r="CD124" s="13" t="str">
        <f t="array" ref="CD124">iferror(INDEX('Import from defimon'!$1:$100,MATCH(CD$1,'Import from defimon'!$A:$A,0),MATCH($A124,'Import from defimon'!$1:$1,0)))</f>
        <v/>
      </c>
      <c r="CE124" s="13" t="str">
        <f t="array" ref="CE124">iferror(INDEX('Import from defimon'!$1:$100,MATCH(CE$1,'Import from defimon'!$A:$A,0),MATCH($A124,'Import from defimon'!$1:$1,0)))</f>
        <v/>
      </c>
      <c r="CF124" s="13" t="str">
        <f t="array" ref="CF124">iferror(INDEX('Import from defimon'!$1:$100,MATCH(CF$1,'Import from defimon'!$A:$A,0),MATCH($A124,'Import from defimon'!$1:$1,0)))</f>
        <v/>
      </c>
      <c r="CG124" s="13" t="str">
        <f t="array" ref="CG124">iferror(INDEX('Import from defimon'!$1:$100,MATCH(CG$1,'Import from defimon'!$A:$A,0),MATCH($A124,'Import from defimon'!$1:$1,0)))</f>
        <v/>
      </c>
      <c r="CH124" s="13" t="str">
        <f t="array" ref="CH124">iferror(INDEX('Import from defimon'!$1:$100,MATCH(CH$1,'Import from defimon'!$A:$A,0),MATCH($A124,'Import from defimon'!$1:$1,0)))</f>
        <v/>
      </c>
      <c r="CI124" s="13" t="str">
        <f t="array" ref="CI124">iferror(INDEX('Import from defimon'!$1:$100,MATCH(CI$1,'Import from defimon'!$A:$A,0),MATCH($A124,'Import from defimon'!$1:$1,0)))</f>
        <v/>
      </c>
      <c r="CJ124" s="13" t="str">
        <f t="array" ref="CJ124">iferror(INDEX('Import from defimon'!$1:$100,MATCH(CJ$1,'Import from defimon'!$A:$A,0),MATCH($A124,'Import from defimon'!$1:$1,0)))</f>
        <v/>
      </c>
      <c r="CK124" s="13" t="str">
        <f t="array" ref="CK124">iferror(INDEX('Import from defimon'!$1:$100,MATCH(CK$1,'Import from defimon'!$A:$A,0),MATCH($A124,'Import from defimon'!$1:$1,0)))</f>
        <v/>
      </c>
      <c r="CL124" s="13" t="str">
        <f t="array" ref="CL124">iferror(INDEX('Import from defimon'!$1:$100,MATCH(CL$1,'Import from defimon'!$A:$A,0),MATCH($A124,'Import from defimon'!$1:$1,0)))</f>
        <v/>
      </c>
      <c r="CM124" s="13" t="str">
        <f t="array" ref="CM124">iferror(INDEX('Import from defimon'!$1:$100,MATCH(CM$1,'Import from defimon'!$A:$A,0),MATCH($A124,'Import from defimon'!$1:$1,0)))</f>
        <v/>
      </c>
      <c r="CN124" s="13" t="str">
        <f t="array" ref="CN124">iferror(INDEX('Import from defimon'!$1:$100,MATCH(CN$1,'Import from defimon'!$A:$A,0),MATCH($A124,'Import from defimon'!$1:$1,0)))</f>
        <v/>
      </c>
      <c r="CP124" s="13" t="str">
        <f t="array" ref="CP124">iferror(INDEX('Import from defimon'!$1:$100,MATCH(CP$1,'Import from defimon'!$A:$A,0),MATCH($A124,'Import from defimon'!$1:$1,0)))</f>
        <v/>
      </c>
      <c r="CQ124" s="13" t="str">
        <f t="array" ref="CQ124">iferror(INDEX('Import from defimon'!$1:$100,MATCH(CQ$1,'Import from defimon'!$A:$A,0),MATCH($A124,'Import from defimon'!$1:$1,0)))</f>
        <v/>
      </c>
      <c r="CR124" s="13" t="str">
        <f t="array" ref="CR124">iferror(INDEX('Import from defimon'!$1:$100,MATCH(CR$1,'Import from defimon'!$A:$A,0),MATCH($A124,'Import from defimon'!$1:$1,0)))</f>
        <v/>
      </c>
      <c r="CY124" s="13" t="str">
        <f t="array" ref="CY124">iferror(INDEX('Import from defimon'!$1:$100,MATCH(CY$1,'Import from defimon'!$A:$A,0),MATCH($A124,'Import from defimon'!$1:$1,0)))</f>
        <v/>
      </c>
      <c r="CZ124" s="13" t="str">
        <f t="array" ref="CZ124">iferror(INDEX('Import from defimon'!$1:$100,MATCH(CZ$1,'Import from defimon'!$A:$A,0),MATCH($A124,'Import from defimon'!$1:$1,0)))</f>
        <v/>
      </c>
      <c r="DA124" s="13" t="str">
        <f t="array" ref="DA124">iferror(INDEX('Import from defimon'!$1:$100,MATCH(DA$1,'Import from defimon'!$A:$A,0),MATCH($A124,'Import from defimon'!$1:$1,0)))</f>
        <v/>
      </c>
    </row>
    <row r="125" ht="15.75" customHeight="1">
      <c r="AS125" s="13" t="str">
        <f>iferror(VLOOKUP($A125,EAM!H$2:I$14,2,FALSE))</f>
        <v/>
      </c>
      <c r="AU125" s="19"/>
      <c r="AZ125" s="13" t="str">
        <f t="array" ref="AZ125">iferror(INDEX('Import from defimon'!$1:$100,MATCH(AZ$1,'Import from defimon'!$A:$A,0),MATCH($A125,'Import from defimon'!$1:$1,0)))</f>
        <v/>
      </c>
      <c r="BH125" s="13" t="str">
        <f t="array" ref="BH125">iferror(INDEX('Import from defimon'!$1:$100,MATCH(BH$1,'Import from defimon'!$A:$A,0),MATCH($A125,'Import from defimon'!$1:$1,0)))</f>
        <v/>
      </c>
      <c r="BJ125" s="13" t="str">
        <f t="array" ref="BJ125">iferror(INDEX('Import from defimon'!$1:$100,MATCH(BJ$1,'Import from defimon'!$A:$A,0),MATCH($A125,'Import from defimon'!$1:$1,0)))</f>
        <v/>
      </c>
      <c r="BK125" s="13" t="str">
        <f t="array" ref="BK125">iferror(INDEX('Import from defimon'!$1:$100,MATCH(BK$1,'Import from defimon'!$A:$A,0),MATCH($A125,'Import from defimon'!$1:$1,0)))</f>
        <v/>
      </c>
      <c r="BL125" s="13" t="str">
        <f t="array" ref="BL125">iferror(INDEX('Import from defimon'!$1:$100,MATCH(BL$1,'Import from defimon'!$A:$A,0),MATCH($A125,'Import from defimon'!$1:$1,0)))</f>
        <v/>
      </c>
      <c r="BN125" s="13" t="str">
        <f t="array" ref="BN125">iferror(INDEX('Import from defimon'!$1:$100,MATCH(BN$1,'Import from defimon'!$A:$A,0),MATCH($A125,'Import from defimon'!$1:$1,0)))</f>
        <v/>
      </c>
      <c r="BO125" s="13" t="str">
        <f t="array" ref="BO125">iferror(INDEX('Import from defimon'!$1:$100,MATCH(BO$1,'Import from defimon'!$A:$A,0),MATCH($A125,'Import from defimon'!$1:$1,0)))</f>
        <v/>
      </c>
      <c r="BP125" s="13" t="str">
        <f t="array" ref="BP125">iferror(INDEX('Import from defimon'!$1:$100,MATCH(BP$1,'Import from defimon'!$A:$A,0),MATCH($A125,'Import from defimon'!$1:$1,0)))</f>
        <v/>
      </c>
      <c r="BQ125" s="13" t="str">
        <f t="array" ref="BQ125">iferror(INDEX('Import from defimon'!$1:$100,MATCH(BQ$1,'Import from defimon'!$A:$A,0),MATCH($A125,'Import from defimon'!$1:$1,0)))</f>
        <v/>
      </c>
      <c r="BR125" s="13" t="str">
        <f t="array" ref="BR125">iferror(INDEX('Import from defimon'!$1:$100,MATCH(BR$1,'Import from defimon'!$A:$A,0),MATCH($A125,'Import from defimon'!$1:$1,0)))</f>
        <v/>
      </c>
      <c r="BS125" s="13" t="str">
        <f t="array" ref="BS125">iferror(INDEX('Import from defimon'!$1:$100,MATCH(BS$1,'Import from defimon'!$A:$A,0),MATCH($A125,'Import from defimon'!$1:$1,0)))</f>
        <v/>
      </c>
      <c r="BT125" s="13" t="str">
        <f t="array" ref="BT125">iferror(INDEX('Import from defimon'!$1:$100,MATCH(BT$1,'Import from defimon'!$A:$A,0),MATCH($A125,'Import from defimon'!$1:$1,0)))</f>
        <v/>
      </c>
      <c r="BV125" s="13" t="str">
        <f t="array" ref="BV125">iferror(INDEX('Import from defimon'!$1:$100,MATCH(BV$1,'Import from defimon'!$A:$A,0),MATCH($A125,'Import from defimon'!$1:$1,0)))</f>
        <v/>
      </c>
      <c r="BW125" s="13" t="str">
        <f t="array" ref="BW125">iferror(INDEX('Import from defimon'!$1:$100,MATCH(BW$1,'Import from defimon'!$A:$A,0),MATCH($A125,'Import from defimon'!$1:$1,0)))</f>
        <v/>
      </c>
      <c r="BX125" s="13" t="str">
        <f t="array" ref="BX125">iferror(INDEX('Import from defimon'!$1:$100,MATCH(BX$1,'Import from defimon'!$A:$A,0),MATCH($A125,'Import from defimon'!$1:$1,0)))</f>
        <v/>
      </c>
      <c r="CA125" s="13" t="str">
        <f t="array" ref="CA125">iferror(INDEX('Import from defimon'!$1:$100,MATCH(CA$1,'Import from defimon'!$A:$A,0),MATCH($A125,'Import from defimon'!$1:$1,0)))</f>
        <v/>
      </c>
      <c r="CB125" s="13" t="str">
        <f t="array" ref="CB125">iferror(INDEX('Import from defimon'!$1:$100,MATCH(CB$1,'Import from defimon'!$A:$A,0),MATCH($A125,'Import from defimon'!$1:$1,0)))</f>
        <v/>
      </c>
      <c r="CC125" s="13" t="str">
        <f t="array" ref="CC125">iferror(INDEX('Import from defimon'!$1:$100,MATCH(CC$1,'Import from defimon'!$A:$A,0),MATCH($A125,'Import from defimon'!$1:$1,0)))</f>
        <v/>
      </c>
      <c r="CD125" s="13" t="str">
        <f t="array" ref="CD125">iferror(INDEX('Import from defimon'!$1:$100,MATCH(CD$1,'Import from defimon'!$A:$A,0),MATCH($A125,'Import from defimon'!$1:$1,0)))</f>
        <v/>
      </c>
      <c r="CE125" s="13" t="str">
        <f t="array" ref="CE125">iferror(INDEX('Import from defimon'!$1:$100,MATCH(CE$1,'Import from defimon'!$A:$A,0),MATCH($A125,'Import from defimon'!$1:$1,0)))</f>
        <v/>
      </c>
      <c r="CF125" s="13" t="str">
        <f t="array" ref="CF125">iferror(INDEX('Import from defimon'!$1:$100,MATCH(CF$1,'Import from defimon'!$A:$A,0),MATCH($A125,'Import from defimon'!$1:$1,0)))</f>
        <v/>
      </c>
      <c r="CG125" s="13" t="str">
        <f t="array" ref="CG125">iferror(INDEX('Import from defimon'!$1:$100,MATCH(CG$1,'Import from defimon'!$A:$A,0),MATCH($A125,'Import from defimon'!$1:$1,0)))</f>
        <v/>
      </c>
      <c r="CH125" s="13" t="str">
        <f t="array" ref="CH125">iferror(INDEX('Import from defimon'!$1:$100,MATCH(CH$1,'Import from defimon'!$A:$A,0),MATCH($A125,'Import from defimon'!$1:$1,0)))</f>
        <v/>
      </c>
      <c r="CI125" s="13" t="str">
        <f t="array" ref="CI125">iferror(INDEX('Import from defimon'!$1:$100,MATCH(CI$1,'Import from defimon'!$A:$A,0),MATCH($A125,'Import from defimon'!$1:$1,0)))</f>
        <v/>
      </c>
      <c r="CJ125" s="13" t="str">
        <f t="array" ref="CJ125">iferror(INDEX('Import from defimon'!$1:$100,MATCH(CJ$1,'Import from defimon'!$A:$A,0),MATCH($A125,'Import from defimon'!$1:$1,0)))</f>
        <v/>
      </c>
      <c r="CK125" s="13" t="str">
        <f t="array" ref="CK125">iferror(INDEX('Import from defimon'!$1:$100,MATCH(CK$1,'Import from defimon'!$A:$A,0),MATCH($A125,'Import from defimon'!$1:$1,0)))</f>
        <v/>
      </c>
      <c r="CL125" s="13" t="str">
        <f t="array" ref="CL125">iferror(INDEX('Import from defimon'!$1:$100,MATCH(CL$1,'Import from defimon'!$A:$A,0),MATCH($A125,'Import from defimon'!$1:$1,0)))</f>
        <v/>
      </c>
      <c r="CM125" s="13" t="str">
        <f t="array" ref="CM125">iferror(INDEX('Import from defimon'!$1:$100,MATCH(CM$1,'Import from defimon'!$A:$A,0),MATCH($A125,'Import from defimon'!$1:$1,0)))</f>
        <v/>
      </c>
      <c r="CN125" s="13" t="str">
        <f t="array" ref="CN125">iferror(INDEX('Import from defimon'!$1:$100,MATCH(CN$1,'Import from defimon'!$A:$A,0),MATCH($A125,'Import from defimon'!$1:$1,0)))</f>
        <v/>
      </c>
      <c r="CP125" s="13" t="str">
        <f t="array" ref="CP125">iferror(INDEX('Import from defimon'!$1:$100,MATCH(CP$1,'Import from defimon'!$A:$A,0),MATCH($A125,'Import from defimon'!$1:$1,0)))</f>
        <v/>
      </c>
      <c r="CQ125" s="13" t="str">
        <f t="array" ref="CQ125">iferror(INDEX('Import from defimon'!$1:$100,MATCH(CQ$1,'Import from defimon'!$A:$A,0),MATCH($A125,'Import from defimon'!$1:$1,0)))</f>
        <v/>
      </c>
      <c r="CR125" s="13" t="str">
        <f t="array" ref="CR125">iferror(INDEX('Import from defimon'!$1:$100,MATCH(CR$1,'Import from defimon'!$A:$A,0),MATCH($A125,'Import from defimon'!$1:$1,0)))</f>
        <v/>
      </c>
      <c r="CY125" s="13" t="str">
        <f t="array" ref="CY125">iferror(INDEX('Import from defimon'!$1:$100,MATCH(CY$1,'Import from defimon'!$A:$A,0),MATCH($A125,'Import from defimon'!$1:$1,0)))</f>
        <v/>
      </c>
      <c r="CZ125" s="13" t="str">
        <f t="array" ref="CZ125">iferror(INDEX('Import from defimon'!$1:$100,MATCH(CZ$1,'Import from defimon'!$A:$A,0),MATCH($A125,'Import from defimon'!$1:$1,0)))</f>
        <v/>
      </c>
      <c r="DA125" s="13" t="str">
        <f t="array" ref="DA125">iferror(INDEX('Import from defimon'!$1:$100,MATCH(DA$1,'Import from defimon'!$A:$A,0),MATCH($A125,'Import from defimon'!$1:$1,0)))</f>
        <v/>
      </c>
    </row>
    <row r="126" ht="15.75" customHeight="1">
      <c r="AS126" s="13" t="str">
        <f>iferror(VLOOKUP($A126,EAM!H$2:I$14,2,FALSE))</f>
        <v/>
      </c>
      <c r="AU126" s="19"/>
      <c r="AZ126" s="13" t="str">
        <f t="array" ref="AZ126">iferror(INDEX('Import from defimon'!$1:$100,MATCH(AZ$1,'Import from defimon'!$A:$A,0),MATCH($A126,'Import from defimon'!$1:$1,0)))</f>
        <v/>
      </c>
      <c r="BH126" s="13" t="str">
        <f t="array" ref="BH126">iferror(INDEX('Import from defimon'!$1:$100,MATCH(BH$1,'Import from defimon'!$A:$A,0),MATCH($A126,'Import from defimon'!$1:$1,0)))</f>
        <v/>
      </c>
      <c r="BJ126" s="13" t="str">
        <f t="array" ref="BJ126">iferror(INDEX('Import from defimon'!$1:$100,MATCH(BJ$1,'Import from defimon'!$A:$A,0),MATCH($A126,'Import from defimon'!$1:$1,0)))</f>
        <v/>
      </c>
      <c r="BK126" s="13" t="str">
        <f t="array" ref="BK126">iferror(INDEX('Import from defimon'!$1:$100,MATCH(BK$1,'Import from defimon'!$A:$A,0),MATCH($A126,'Import from defimon'!$1:$1,0)))</f>
        <v/>
      </c>
      <c r="BL126" s="13" t="str">
        <f t="array" ref="BL126">iferror(INDEX('Import from defimon'!$1:$100,MATCH(BL$1,'Import from defimon'!$A:$A,0),MATCH($A126,'Import from defimon'!$1:$1,0)))</f>
        <v/>
      </c>
      <c r="BN126" s="13" t="str">
        <f t="array" ref="BN126">iferror(INDEX('Import from defimon'!$1:$100,MATCH(BN$1,'Import from defimon'!$A:$A,0),MATCH($A126,'Import from defimon'!$1:$1,0)))</f>
        <v/>
      </c>
      <c r="BO126" s="13" t="str">
        <f t="array" ref="BO126">iferror(INDEX('Import from defimon'!$1:$100,MATCH(BO$1,'Import from defimon'!$A:$A,0),MATCH($A126,'Import from defimon'!$1:$1,0)))</f>
        <v/>
      </c>
      <c r="BP126" s="13" t="str">
        <f t="array" ref="BP126">iferror(INDEX('Import from defimon'!$1:$100,MATCH(BP$1,'Import from defimon'!$A:$A,0),MATCH($A126,'Import from defimon'!$1:$1,0)))</f>
        <v/>
      </c>
      <c r="BQ126" s="13" t="str">
        <f t="array" ref="BQ126">iferror(INDEX('Import from defimon'!$1:$100,MATCH(BQ$1,'Import from defimon'!$A:$A,0),MATCH($A126,'Import from defimon'!$1:$1,0)))</f>
        <v/>
      </c>
      <c r="BR126" s="13" t="str">
        <f t="array" ref="BR126">iferror(INDEX('Import from defimon'!$1:$100,MATCH(BR$1,'Import from defimon'!$A:$A,0),MATCH($A126,'Import from defimon'!$1:$1,0)))</f>
        <v/>
      </c>
      <c r="BS126" s="13" t="str">
        <f t="array" ref="BS126">iferror(INDEX('Import from defimon'!$1:$100,MATCH(BS$1,'Import from defimon'!$A:$A,0),MATCH($A126,'Import from defimon'!$1:$1,0)))</f>
        <v/>
      </c>
      <c r="BT126" s="13" t="str">
        <f t="array" ref="BT126">iferror(INDEX('Import from defimon'!$1:$100,MATCH(BT$1,'Import from defimon'!$A:$A,0),MATCH($A126,'Import from defimon'!$1:$1,0)))</f>
        <v/>
      </c>
      <c r="BV126" s="13" t="str">
        <f t="array" ref="BV126">iferror(INDEX('Import from defimon'!$1:$100,MATCH(BV$1,'Import from defimon'!$A:$A,0),MATCH($A126,'Import from defimon'!$1:$1,0)))</f>
        <v/>
      </c>
      <c r="BW126" s="13" t="str">
        <f t="array" ref="BW126">iferror(INDEX('Import from defimon'!$1:$100,MATCH(BW$1,'Import from defimon'!$A:$A,0),MATCH($A126,'Import from defimon'!$1:$1,0)))</f>
        <v/>
      </c>
      <c r="BX126" s="13" t="str">
        <f t="array" ref="BX126">iferror(INDEX('Import from defimon'!$1:$100,MATCH(BX$1,'Import from defimon'!$A:$A,0),MATCH($A126,'Import from defimon'!$1:$1,0)))</f>
        <v/>
      </c>
      <c r="CA126" s="13" t="str">
        <f t="array" ref="CA126">iferror(INDEX('Import from defimon'!$1:$100,MATCH(CA$1,'Import from defimon'!$A:$A,0),MATCH($A126,'Import from defimon'!$1:$1,0)))</f>
        <v/>
      </c>
      <c r="CB126" s="13" t="str">
        <f t="array" ref="CB126">iferror(INDEX('Import from defimon'!$1:$100,MATCH(CB$1,'Import from defimon'!$A:$A,0),MATCH($A126,'Import from defimon'!$1:$1,0)))</f>
        <v/>
      </c>
      <c r="CC126" s="13" t="str">
        <f t="array" ref="CC126">iferror(INDEX('Import from defimon'!$1:$100,MATCH(CC$1,'Import from defimon'!$A:$A,0),MATCH($A126,'Import from defimon'!$1:$1,0)))</f>
        <v/>
      </c>
      <c r="CD126" s="13" t="str">
        <f t="array" ref="CD126">iferror(INDEX('Import from defimon'!$1:$100,MATCH(CD$1,'Import from defimon'!$A:$A,0),MATCH($A126,'Import from defimon'!$1:$1,0)))</f>
        <v/>
      </c>
      <c r="CE126" s="13" t="str">
        <f t="array" ref="CE126">iferror(INDEX('Import from defimon'!$1:$100,MATCH(CE$1,'Import from defimon'!$A:$A,0),MATCH($A126,'Import from defimon'!$1:$1,0)))</f>
        <v/>
      </c>
      <c r="CF126" s="13" t="str">
        <f t="array" ref="CF126">iferror(INDEX('Import from defimon'!$1:$100,MATCH(CF$1,'Import from defimon'!$A:$A,0),MATCH($A126,'Import from defimon'!$1:$1,0)))</f>
        <v/>
      </c>
      <c r="CG126" s="13" t="str">
        <f t="array" ref="CG126">iferror(INDEX('Import from defimon'!$1:$100,MATCH(CG$1,'Import from defimon'!$A:$A,0),MATCH($A126,'Import from defimon'!$1:$1,0)))</f>
        <v/>
      </c>
      <c r="CH126" s="13" t="str">
        <f t="array" ref="CH126">iferror(INDEX('Import from defimon'!$1:$100,MATCH(CH$1,'Import from defimon'!$A:$A,0),MATCH($A126,'Import from defimon'!$1:$1,0)))</f>
        <v/>
      </c>
      <c r="CI126" s="13" t="str">
        <f t="array" ref="CI126">iferror(INDEX('Import from defimon'!$1:$100,MATCH(CI$1,'Import from defimon'!$A:$A,0),MATCH($A126,'Import from defimon'!$1:$1,0)))</f>
        <v/>
      </c>
      <c r="CJ126" s="13" t="str">
        <f t="array" ref="CJ126">iferror(INDEX('Import from defimon'!$1:$100,MATCH(CJ$1,'Import from defimon'!$A:$A,0),MATCH($A126,'Import from defimon'!$1:$1,0)))</f>
        <v/>
      </c>
      <c r="CK126" s="13" t="str">
        <f t="array" ref="CK126">iferror(INDEX('Import from defimon'!$1:$100,MATCH(CK$1,'Import from defimon'!$A:$A,0),MATCH($A126,'Import from defimon'!$1:$1,0)))</f>
        <v/>
      </c>
      <c r="CL126" s="13" t="str">
        <f t="array" ref="CL126">iferror(INDEX('Import from defimon'!$1:$100,MATCH(CL$1,'Import from defimon'!$A:$A,0),MATCH($A126,'Import from defimon'!$1:$1,0)))</f>
        <v/>
      </c>
      <c r="CM126" s="13" t="str">
        <f t="array" ref="CM126">iferror(INDEX('Import from defimon'!$1:$100,MATCH(CM$1,'Import from defimon'!$A:$A,0),MATCH($A126,'Import from defimon'!$1:$1,0)))</f>
        <v/>
      </c>
      <c r="CN126" s="13" t="str">
        <f t="array" ref="CN126">iferror(INDEX('Import from defimon'!$1:$100,MATCH(CN$1,'Import from defimon'!$A:$A,0),MATCH($A126,'Import from defimon'!$1:$1,0)))</f>
        <v/>
      </c>
      <c r="CP126" s="13" t="str">
        <f t="array" ref="CP126">iferror(INDEX('Import from defimon'!$1:$100,MATCH(CP$1,'Import from defimon'!$A:$A,0),MATCH($A126,'Import from defimon'!$1:$1,0)))</f>
        <v/>
      </c>
      <c r="CQ126" s="13" t="str">
        <f t="array" ref="CQ126">iferror(INDEX('Import from defimon'!$1:$100,MATCH(CQ$1,'Import from defimon'!$A:$A,0),MATCH($A126,'Import from defimon'!$1:$1,0)))</f>
        <v/>
      </c>
      <c r="CR126" s="13" t="str">
        <f t="array" ref="CR126">iferror(INDEX('Import from defimon'!$1:$100,MATCH(CR$1,'Import from defimon'!$A:$A,0),MATCH($A126,'Import from defimon'!$1:$1,0)))</f>
        <v/>
      </c>
      <c r="CY126" s="13" t="str">
        <f t="array" ref="CY126">iferror(INDEX('Import from defimon'!$1:$100,MATCH(CY$1,'Import from defimon'!$A:$A,0),MATCH($A126,'Import from defimon'!$1:$1,0)))</f>
        <v/>
      </c>
      <c r="CZ126" s="13" t="str">
        <f t="array" ref="CZ126">iferror(INDEX('Import from defimon'!$1:$100,MATCH(CZ$1,'Import from defimon'!$A:$A,0),MATCH($A126,'Import from defimon'!$1:$1,0)))</f>
        <v/>
      </c>
      <c r="DA126" s="13" t="str">
        <f t="array" ref="DA126">iferror(INDEX('Import from defimon'!$1:$100,MATCH(DA$1,'Import from defimon'!$A:$A,0),MATCH($A126,'Import from defimon'!$1:$1,0)))</f>
        <v/>
      </c>
    </row>
    <row r="127" ht="15.75" customHeight="1">
      <c r="AS127" s="13" t="str">
        <f>iferror(VLOOKUP($A127,EAM!H$2:I$14,2,FALSE))</f>
        <v/>
      </c>
      <c r="AU127" s="19"/>
      <c r="AZ127" s="13" t="str">
        <f t="array" ref="AZ127">iferror(INDEX('Import from defimon'!$1:$100,MATCH(AZ$1,'Import from defimon'!$A:$A,0),MATCH($A127,'Import from defimon'!$1:$1,0)))</f>
        <v/>
      </c>
      <c r="BH127" s="13" t="str">
        <f t="array" ref="BH127">iferror(INDEX('Import from defimon'!$1:$100,MATCH(BH$1,'Import from defimon'!$A:$A,0),MATCH($A127,'Import from defimon'!$1:$1,0)))</f>
        <v/>
      </c>
      <c r="BJ127" s="13" t="str">
        <f t="array" ref="BJ127">iferror(INDEX('Import from defimon'!$1:$100,MATCH(BJ$1,'Import from defimon'!$A:$A,0),MATCH($A127,'Import from defimon'!$1:$1,0)))</f>
        <v/>
      </c>
      <c r="BK127" s="13" t="str">
        <f t="array" ref="BK127">iferror(INDEX('Import from defimon'!$1:$100,MATCH(BK$1,'Import from defimon'!$A:$A,0),MATCH($A127,'Import from defimon'!$1:$1,0)))</f>
        <v/>
      </c>
      <c r="BL127" s="13" t="str">
        <f t="array" ref="BL127">iferror(INDEX('Import from defimon'!$1:$100,MATCH(BL$1,'Import from defimon'!$A:$A,0),MATCH($A127,'Import from defimon'!$1:$1,0)))</f>
        <v/>
      </c>
      <c r="BN127" s="13" t="str">
        <f t="array" ref="BN127">iferror(INDEX('Import from defimon'!$1:$100,MATCH(BN$1,'Import from defimon'!$A:$A,0),MATCH($A127,'Import from defimon'!$1:$1,0)))</f>
        <v/>
      </c>
      <c r="BO127" s="13" t="str">
        <f t="array" ref="BO127">iferror(INDEX('Import from defimon'!$1:$100,MATCH(BO$1,'Import from defimon'!$A:$A,0),MATCH($A127,'Import from defimon'!$1:$1,0)))</f>
        <v/>
      </c>
      <c r="BP127" s="13" t="str">
        <f t="array" ref="BP127">iferror(INDEX('Import from defimon'!$1:$100,MATCH(BP$1,'Import from defimon'!$A:$A,0),MATCH($A127,'Import from defimon'!$1:$1,0)))</f>
        <v/>
      </c>
      <c r="BQ127" s="13" t="str">
        <f t="array" ref="BQ127">iferror(INDEX('Import from defimon'!$1:$100,MATCH(BQ$1,'Import from defimon'!$A:$A,0),MATCH($A127,'Import from defimon'!$1:$1,0)))</f>
        <v/>
      </c>
      <c r="BR127" s="13" t="str">
        <f t="array" ref="BR127">iferror(INDEX('Import from defimon'!$1:$100,MATCH(BR$1,'Import from defimon'!$A:$A,0),MATCH($A127,'Import from defimon'!$1:$1,0)))</f>
        <v/>
      </c>
      <c r="BS127" s="13" t="str">
        <f t="array" ref="BS127">iferror(INDEX('Import from defimon'!$1:$100,MATCH(BS$1,'Import from defimon'!$A:$A,0),MATCH($A127,'Import from defimon'!$1:$1,0)))</f>
        <v/>
      </c>
      <c r="BT127" s="13" t="str">
        <f t="array" ref="BT127">iferror(INDEX('Import from defimon'!$1:$100,MATCH(BT$1,'Import from defimon'!$A:$A,0),MATCH($A127,'Import from defimon'!$1:$1,0)))</f>
        <v/>
      </c>
      <c r="BV127" s="13" t="str">
        <f t="array" ref="BV127">iferror(INDEX('Import from defimon'!$1:$100,MATCH(BV$1,'Import from defimon'!$A:$A,0),MATCH($A127,'Import from defimon'!$1:$1,0)))</f>
        <v/>
      </c>
      <c r="BW127" s="13" t="str">
        <f t="array" ref="BW127">iferror(INDEX('Import from defimon'!$1:$100,MATCH(BW$1,'Import from defimon'!$A:$A,0),MATCH($A127,'Import from defimon'!$1:$1,0)))</f>
        <v/>
      </c>
      <c r="BX127" s="13" t="str">
        <f t="array" ref="BX127">iferror(INDEX('Import from defimon'!$1:$100,MATCH(BX$1,'Import from defimon'!$A:$A,0),MATCH($A127,'Import from defimon'!$1:$1,0)))</f>
        <v/>
      </c>
      <c r="CA127" s="13" t="str">
        <f t="array" ref="CA127">iferror(INDEX('Import from defimon'!$1:$100,MATCH(CA$1,'Import from defimon'!$A:$A,0),MATCH($A127,'Import from defimon'!$1:$1,0)))</f>
        <v/>
      </c>
      <c r="CB127" s="13" t="str">
        <f t="array" ref="CB127">iferror(INDEX('Import from defimon'!$1:$100,MATCH(CB$1,'Import from defimon'!$A:$A,0),MATCH($A127,'Import from defimon'!$1:$1,0)))</f>
        <v/>
      </c>
      <c r="CC127" s="13" t="str">
        <f t="array" ref="CC127">iferror(INDEX('Import from defimon'!$1:$100,MATCH(CC$1,'Import from defimon'!$A:$A,0),MATCH($A127,'Import from defimon'!$1:$1,0)))</f>
        <v/>
      </c>
      <c r="CD127" s="13" t="str">
        <f t="array" ref="CD127">iferror(INDEX('Import from defimon'!$1:$100,MATCH(CD$1,'Import from defimon'!$A:$A,0),MATCH($A127,'Import from defimon'!$1:$1,0)))</f>
        <v/>
      </c>
      <c r="CE127" s="13" t="str">
        <f t="array" ref="CE127">iferror(INDEX('Import from defimon'!$1:$100,MATCH(CE$1,'Import from defimon'!$A:$A,0),MATCH($A127,'Import from defimon'!$1:$1,0)))</f>
        <v/>
      </c>
      <c r="CF127" s="13" t="str">
        <f t="array" ref="CF127">iferror(INDEX('Import from defimon'!$1:$100,MATCH(CF$1,'Import from defimon'!$A:$A,0),MATCH($A127,'Import from defimon'!$1:$1,0)))</f>
        <v/>
      </c>
      <c r="CG127" s="13" t="str">
        <f t="array" ref="CG127">iferror(INDEX('Import from defimon'!$1:$100,MATCH(CG$1,'Import from defimon'!$A:$A,0),MATCH($A127,'Import from defimon'!$1:$1,0)))</f>
        <v/>
      </c>
      <c r="CH127" s="13" t="str">
        <f t="array" ref="CH127">iferror(INDEX('Import from defimon'!$1:$100,MATCH(CH$1,'Import from defimon'!$A:$A,0),MATCH($A127,'Import from defimon'!$1:$1,0)))</f>
        <v/>
      </c>
      <c r="CI127" s="13" t="str">
        <f t="array" ref="CI127">iferror(INDEX('Import from defimon'!$1:$100,MATCH(CI$1,'Import from defimon'!$A:$A,0),MATCH($A127,'Import from defimon'!$1:$1,0)))</f>
        <v/>
      </c>
      <c r="CJ127" s="13" t="str">
        <f t="array" ref="CJ127">iferror(INDEX('Import from defimon'!$1:$100,MATCH(CJ$1,'Import from defimon'!$A:$A,0),MATCH($A127,'Import from defimon'!$1:$1,0)))</f>
        <v/>
      </c>
      <c r="CK127" s="13" t="str">
        <f t="array" ref="CK127">iferror(INDEX('Import from defimon'!$1:$100,MATCH(CK$1,'Import from defimon'!$A:$A,0),MATCH($A127,'Import from defimon'!$1:$1,0)))</f>
        <v/>
      </c>
      <c r="CL127" s="13" t="str">
        <f t="array" ref="CL127">iferror(INDEX('Import from defimon'!$1:$100,MATCH(CL$1,'Import from defimon'!$A:$A,0),MATCH($A127,'Import from defimon'!$1:$1,0)))</f>
        <v/>
      </c>
      <c r="CM127" s="13" t="str">
        <f t="array" ref="CM127">iferror(INDEX('Import from defimon'!$1:$100,MATCH(CM$1,'Import from defimon'!$A:$A,0),MATCH($A127,'Import from defimon'!$1:$1,0)))</f>
        <v/>
      </c>
      <c r="CN127" s="13" t="str">
        <f t="array" ref="CN127">iferror(INDEX('Import from defimon'!$1:$100,MATCH(CN$1,'Import from defimon'!$A:$A,0),MATCH($A127,'Import from defimon'!$1:$1,0)))</f>
        <v/>
      </c>
      <c r="CP127" s="13" t="str">
        <f t="array" ref="CP127">iferror(INDEX('Import from defimon'!$1:$100,MATCH(CP$1,'Import from defimon'!$A:$A,0),MATCH($A127,'Import from defimon'!$1:$1,0)))</f>
        <v/>
      </c>
      <c r="CQ127" s="13" t="str">
        <f t="array" ref="CQ127">iferror(INDEX('Import from defimon'!$1:$100,MATCH(CQ$1,'Import from defimon'!$A:$A,0),MATCH($A127,'Import from defimon'!$1:$1,0)))</f>
        <v/>
      </c>
      <c r="CR127" s="13" t="str">
        <f t="array" ref="CR127">iferror(INDEX('Import from defimon'!$1:$100,MATCH(CR$1,'Import from defimon'!$A:$A,0),MATCH($A127,'Import from defimon'!$1:$1,0)))</f>
        <v/>
      </c>
      <c r="CY127" s="13" t="str">
        <f t="array" ref="CY127">iferror(INDEX('Import from defimon'!$1:$100,MATCH(CY$1,'Import from defimon'!$A:$A,0),MATCH($A127,'Import from defimon'!$1:$1,0)))</f>
        <v/>
      </c>
      <c r="CZ127" s="13" t="str">
        <f t="array" ref="CZ127">iferror(INDEX('Import from defimon'!$1:$100,MATCH(CZ$1,'Import from defimon'!$A:$A,0),MATCH($A127,'Import from defimon'!$1:$1,0)))</f>
        <v/>
      </c>
      <c r="DA127" s="13" t="str">
        <f t="array" ref="DA127">iferror(INDEX('Import from defimon'!$1:$100,MATCH(DA$1,'Import from defimon'!$A:$A,0),MATCH($A127,'Import from defimon'!$1:$1,0)))</f>
        <v/>
      </c>
    </row>
    <row r="128" ht="15.75" customHeight="1">
      <c r="AS128" s="13" t="str">
        <f>iferror(VLOOKUP($A128,EAM!H$2:I$14,2,FALSE))</f>
        <v/>
      </c>
      <c r="AU128" s="20"/>
      <c r="AZ128" s="13" t="str">
        <f t="array" ref="AZ128">iferror(INDEX('Import from defimon'!$1:$100,MATCH(AZ$1,'Import from defimon'!$A:$A,0),MATCH($A128,'Import from defimon'!$1:$1,0)))</f>
        <v/>
      </c>
      <c r="BH128" s="13" t="str">
        <f t="array" ref="BH128">iferror(INDEX('Import from defimon'!$1:$100,MATCH(BH$1,'Import from defimon'!$A:$A,0),MATCH($A128,'Import from defimon'!$1:$1,0)))</f>
        <v/>
      </c>
      <c r="BJ128" s="13" t="str">
        <f t="array" ref="BJ128">iferror(INDEX('Import from defimon'!$1:$100,MATCH(BJ$1,'Import from defimon'!$A:$A,0),MATCH($A128,'Import from defimon'!$1:$1,0)))</f>
        <v/>
      </c>
      <c r="BK128" s="13" t="str">
        <f t="array" ref="BK128">iferror(INDEX('Import from defimon'!$1:$100,MATCH(BK$1,'Import from defimon'!$A:$A,0),MATCH($A128,'Import from defimon'!$1:$1,0)))</f>
        <v/>
      </c>
      <c r="BL128" s="13" t="str">
        <f t="array" ref="BL128">iferror(INDEX('Import from defimon'!$1:$100,MATCH(BL$1,'Import from defimon'!$A:$A,0),MATCH($A128,'Import from defimon'!$1:$1,0)))</f>
        <v/>
      </c>
      <c r="BN128" s="13" t="str">
        <f t="array" ref="BN128">iferror(INDEX('Import from defimon'!$1:$100,MATCH(BN$1,'Import from defimon'!$A:$A,0),MATCH($A128,'Import from defimon'!$1:$1,0)))</f>
        <v/>
      </c>
      <c r="BO128" s="13" t="str">
        <f t="array" ref="BO128">iferror(INDEX('Import from defimon'!$1:$100,MATCH(BO$1,'Import from defimon'!$A:$A,0),MATCH($A128,'Import from defimon'!$1:$1,0)))</f>
        <v/>
      </c>
      <c r="BP128" s="13" t="str">
        <f t="array" ref="BP128">iferror(INDEX('Import from defimon'!$1:$100,MATCH(BP$1,'Import from defimon'!$A:$A,0),MATCH($A128,'Import from defimon'!$1:$1,0)))</f>
        <v/>
      </c>
      <c r="BQ128" s="13" t="str">
        <f t="array" ref="BQ128">iferror(INDEX('Import from defimon'!$1:$100,MATCH(BQ$1,'Import from defimon'!$A:$A,0),MATCH($A128,'Import from defimon'!$1:$1,0)))</f>
        <v/>
      </c>
      <c r="BR128" s="13" t="str">
        <f t="array" ref="BR128">iferror(INDEX('Import from defimon'!$1:$100,MATCH(BR$1,'Import from defimon'!$A:$A,0),MATCH($A128,'Import from defimon'!$1:$1,0)))</f>
        <v/>
      </c>
      <c r="BS128" s="13" t="str">
        <f t="array" ref="BS128">iferror(INDEX('Import from defimon'!$1:$100,MATCH(BS$1,'Import from defimon'!$A:$A,0),MATCH($A128,'Import from defimon'!$1:$1,0)))</f>
        <v/>
      </c>
      <c r="BT128" s="13" t="str">
        <f t="array" ref="BT128">iferror(INDEX('Import from defimon'!$1:$100,MATCH(BT$1,'Import from defimon'!$A:$A,0),MATCH($A128,'Import from defimon'!$1:$1,0)))</f>
        <v/>
      </c>
      <c r="BV128" s="13" t="str">
        <f t="array" ref="BV128">iferror(INDEX('Import from defimon'!$1:$100,MATCH(BV$1,'Import from defimon'!$A:$A,0),MATCH($A128,'Import from defimon'!$1:$1,0)))</f>
        <v/>
      </c>
      <c r="BW128" s="13" t="str">
        <f t="array" ref="BW128">iferror(INDEX('Import from defimon'!$1:$100,MATCH(BW$1,'Import from defimon'!$A:$A,0),MATCH($A128,'Import from defimon'!$1:$1,0)))</f>
        <v/>
      </c>
      <c r="BX128" s="13" t="str">
        <f t="array" ref="BX128">iferror(INDEX('Import from defimon'!$1:$100,MATCH(BX$1,'Import from defimon'!$A:$A,0),MATCH($A128,'Import from defimon'!$1:$1,0)))</f>
        <v/>
      </c>
      <c r="CA128" s="13" t="str">
        <f t="array" ref="CA128">iferror(INDEX('Import from defimon'!$1:$100,MATCH(CA$1,'Import from defimon'!$A:$A,0),MATCH($A128,'Import from defimon'!$1:$1,0)))</f>
        <v/>
      </c>
      <c r="CB128" s="13" t="str">
        <f t="array" ref="CB128">iferror(INDEX('Import from defimon'!$1:$100,MATCH(CB$1,'Import from defimon'!$A:$A,0),MATCH($A128,'Import from defimon'!$1:$1,0)))</f>
        <v/>
      </c>
      <c r="CC128" s="13" t="str">
        <f t="array" ref="CC128">iferror(INDEX('Import from defimon'!$1:$100,MATCH(CC$1,'Import from defimon'!$A:$A,0),MATCH($A128,'Import from defimon'!$1:$1,0)))</f>
        <v/>
      </c>
      <c r="CD128" s="13" t="str">
        <f t="array" ref="CD128">iferror(INDEX('Import from defimon'!$1:$100,MATCH(CD$1,'Import from defimon'!$A:$A,0),MATCH($A128,'Import from defimon'!$1:$1,0)))</f>
        <v/>
      </c>
      <c r="CE128" s="13" t="str">
        <f t="array" ref="CE128">iferror(INDEX('Import from defimon'!$1:$100,MATCH(CE$1,'Import from defimon'!$A:$A,0),MATCH($A128,'Import from defimon'!$1:$1,0)))</f>
        <v/>
      </c>
      <c r="CF128" s="13" t="str">
        <f t="array" ref="CF128">iferror(INDEX('Import from defimon'!$1:$100,MATCH(CF$1,'Import from defimon'!$A:$A,0),MATCH($A128,'Import from defimon'!$1:$1,0)))</f>
        <v/>
      </c>
      <c r="CG128" s="13" t="str">
        <f t="array" ref="CG128">iferror(INDEX('Import from defimon'!$1:$100,MATCH(CG$1,'Import from defimon'!$A:$A,0),MATCH($A128,'Import from defimon'!$1:$1,0)))</f>
        <v/>
      </c>
      <c r="CH128" s="13" t="str">
        <f t="array" ref="CH128">iferror(INDEX('Import from defimon'!$1:$100,MATCH(CH$1,'Import from defimon'!$A:$A,0),MATCH($A128,'Import from defimon'!$1:$1,0)))</f>
        <v/>
      </c>
      <c r="CI128" s="13" t="str">
        <f t="array" ref="CI128">iferror(INDEX('Import from defimon'!$1:$100,MATCH(CI$1,'Import from defimon'!$A:$A,0),MATCH($A128,'Import from defimon'!$1:$1,0)))</f>
        <v/>
      </c>
      <c r="CJ128" s="13" t="str">
        <f t="array" ref="CJ128">iferror(INDEX('Import from defimon'!$1:$100,MATCH(CJ$1,'Import from defimon'!$A:$A,0),MATCH($A128,'Import from defimon'!$1:$1,0)))</f>
        <v/>
      </c>
      <c r="CK128" s="13" t="str">
        <f t="array" ref="CK128">iferror(INDEX('Import from defimon'!$1:$100,MATCH(CK$1,'Import from defimon'!$A:$A,0),MATCH($A128,'Import from defimon'!$1:$1,0)))</f>
        <v/>
      </c>
      <c r="CL128" s="13" t="str">
        <f t="array" ref="CL128">iferror(INDEX('Import from defimon'!$1:$100,MATCH(CL$1,'Import from defimon'!$A:$A,0),MATCH($A128,'Import from defimon'!$1:$1,0)))</f>
        <v/>
      </c>
      <c r="CM128" s="13" t="str">
        <f t="array" ref="CM128">iferror(INDEX('Import from defimon'!$1:$100,MATCH(CM$1,'Import from defimon'!$A:$A,0),MATCH($A128,'Import from defimon'!$1:$1,0)))</f>
        <v/>
      </c>
      <c r="CN128" s="13" t="str">
        <f t="array" ref="CN128">iferror(INDEX('Import from defimon'!$1:$100,MATCH(CN$1,'Import from defimon'!$A:$A,0),MATCH($A128,'Import from defimon'!$1:$1,0)))</f>
        <v/>
      </c>
      <c r="CP128" s="13" t="str">
        <f t="array" ref="CP128">iferror(INDEX('Import from defimon'!$1:$100,MATCH(CP$1,'Import from defimon'!$A:$A,0),MATCH($A128,'Import from defimon'!$1:$1,0)))</f>
        <v/>
      </c>
      <c r="CQ128" s="13" t="str">
        <f t="array" ref="CQ128">iferror(INDEX('Import from defimon'!$1:$100,MATCH(CQ$1,'Import from defimon'!$A:$A,0),MATCH($A128,'Import from defimon'!$1:$1,0)))</f>
        <v/>
      </c>
      <c r="CR128" s="13" t="str">
        <f t="array" ref="CR128">iferror(INDEX('Import from defimon'!$1:$100,MATCH(CR$1,'Import from defimon'!$A:$A,0),MATCH($A128,'Import from defimon'!$1:$1,0)))</f>
        <v/>
      </c>
      <c r="CY128" s="13" t="str">
        <f t="array" ref="CY128">iferror(INDEX('Import from defimon'!$1:$100,MATCH(CY$1,'Import from defimon'!$A:$A,0),MATCH($A128,'Import from defimon'!$1:$1,0)))</f>
        <v/>
      </c>
      <c r="CZ128" s="13" t="str">
        <f t="array" ref="CZ128">iferror(INDEX('Import from defimon'!$1:$100,MATCH(CZ$1,'Import from defimon'!$A:$A,0),MATCH($A128,'Import from defimon'!$1:$1,0)))</f>
        <v/>
      </c>
      <c r="DA128" s="13" t="str">
        <f t="array" ref="DA128">iferror(INDEX('Import from defimon'!$1:$100,MATCH(DA$1,'Import from defimon'!$A:$A,0),MATCH($A128,'Import from defimon'!$1:$1,0)))</f>
        <v/>
      </c>
    </row>
    <row r="129" ht="15.75" customHeight="1">
      <c r="AS129" s="13" t="str">
        <f>iferror(VLOOKUP($A129,EAM!H$2:I$14,2,FALSE))</f>
        <v/>
      </c>
      <c r="AU129" s="19"/>
      <c r="AZ129" s="13" t="str">
        <f t="array" ref="AZ129">iferror(INDEX('Import from defimon'!$1:$100,MATCH(AZ$1,'Import from defimon'!$A:$A,0),MATCH($A129,'Import from defimon'!$1:$1,0)))</f>
        <v/>
      </c>
      <c r="BH129" s="13" t="str">
        <f t="array" ref="BH129">iferror(INDEX('Import from defimon'!$1:$100,MATCH(BH$1,'Import from defimon'!$A:$A,0),MATCH($A129,'Import from defimon'!$1:$1,0)))</f>
        <v/>
      </c>
      <c r="BJ129" s="13" t="str">
        <f t="array" ref="BJ129">iferror(INDEX('Import from defimon'!$1:$100,MATCH(BJ$1,'Import from defimon'!$A:$A,0),MATCH($A129,'Import from defimon'!$1:$1,0)))</f>
        <v/>
      </c>
      <c r="BK129" s="13" t="str">
        <f t="array" ref="BK129">iferror(INDEX('Import from defimon'!$1:$100,MATCH(BK$1,'Import from defimon'!$A:$A,0),MATCH($A129,'Import from defimon'!$1:$1,0)))</f>
        <v/>
      </c>
      <c r="BL129" s="13" t="str">
        <f t="array" ref="BL129">iferror(INDEX('Import from defimon'!$1:$100,MATCH(BL$1,'Import from defimon'!$A:$A,0),MATCH($A129,'Import from defimon'!$1:$1,0)))</f>
        <v/>
      </c>
      <c r="BN129" s="13" t="str">
        <f t="array" ref="BN129">iferror(INDEX('Import from defimon'!$1:$100,MATCH(BN$1,'Import from defimon'!$A:$A,0),MATCH($A129,'Import from defimon'!$1:$1,0)))</f>
        <v/>
      </c>
      <c r="BO129" s="13" t="str">
        <f t="array" ref="BO129">iferror(INDEX('Import from defimon'!$1:$100,MATCH(BO$1,'Import from defimon'!$A:$A,0),MATCH($A129,'Import from defimon'!$1:$1,0)))</f>
        <v/>
      </c>
      <c r="BP129" s="13" t="str">
        <f t="array" ref="BP129">iferror(INDEX('Import from defimon'!$1:$100,MATCH(BP$1,'Import from defimon'!$A:$A,0),MATCH($A129,'Import from defimon'!$1:$1,0)))</f>
        <v/>
      </c>
      <c r="BQ129" s="13" t="str">
        <f t="array" ref="BQ129">iferror(INDEX('Import from defimon'!$1:$100,MATCH(BQ$1,'Import from defimon'!$A:$A,0),MATCH($A129,'Import from defimon'!$1:$1,0)))</f>
        <v/>
      </c>
      <c r="BR129" s="13" t="str">
        <f t="array" ref="BR129">iferror(INDEX('Import from defimon'!$1:$100,MATCH(BR$1,'Import from defimon'!$A:$A,0),MATCH($A129,'Import from defimon'!$1:$1,0)))</f>
        <v/>
      </c>
      <c r="BS129" s="13" t="str">
        <f t="array" ref="BS129">iferror(INDEX('Import from defimon'!$1:$100,MATCH(BS$1,'Import from defimon'!$A:$A,0),MATCH($A129,'Import from defimon'!$1:$1,0)))</f>
        <v/>
      </c>
      <c r="BT129" s="13" t="str">
        <f t="array" ref="BT129">iferror(INDEX('Import from defimon'!$1:$100,MATCH(BT$1,'Import from defimon'!$A:$A,0),MATCH($A129,'Import from defimon'!$1:$1,0)))</f>
        <v/>
      </c>
      <c r="BV129" s="13" t="str">
        <f t="array" ref="BV129">iferror(INDEX('Import from defimon'!$1:$100,MATCH(BV$1,'Import from defimon'!$A:$A,0),MATCH($A129,'Import from defimon'!$1:$1,0)))</f>
        <v/>
      </c>
      <c r="BW129" s="13" t="str">
        <f t="array" ref="BW129">iferror(INDEX('Import from defimon'!$1:$100,MATCH(BW$1,'Import from defimon'!$A:$A,0),MATCH($A129,'Import from defimon'!$1:$1,0)))</f>
        <v/>
      </c>
      <c r="BX129" s="13" t="str">
        <f t="array" ref="BX129">iferror(INDEX('Import from defimon'!$1:$100,MATCH(BX$1,'Import from defimon'!$A:$A,0),MATCH($A129,'Import from defimon'!$1:$1,0)))</f>
        <v/>
      </c>
      <c r="CA129" s="13" t="str">
        <f t="array" ref="CA129">iferror(INDEX('Import from defimon'!$1:$100,MATCH(CA$1,'Import from defimon'!$A:$A,0),MATCH($A129,'Import from defimon'!$1:$1,0)))</f>
        <v/>
      </c>
      <c r="CB129" s="13" t="str">
        <f t="array" ref="CB129">iferror(INDEX('Import from defimon'!$1:$100,MATCH(CB$1,'Import from defimon'!$A:$A,0),MATCH($A129,'Import from defimon'!$1:$1,0)))</f>
        <v/>
      </c>
      <c r="CC129" s="13" t="str">
        <f t="array" ref="CC129">iferror(INDEX('Import from defimon'!$1:$100,MATCH(CC$1,'Import from defimon'!$A:$A,0),MATCH($A129,'Import from defimon'!$1:$1,0)))</f>
        <v/>
      </c>
      <c r="CD129" s="13" t="str">
        <f t="array" ref="CD129">iferror(INDEX('Import from defimon'!$1:$100,MATCH(CD$1,'Import from defimon'!$A:$A,0),MATCH($A129,'Import from defimon'!$1:$1,0)))</f>
        <v/>
      </c>
      <c r="CE129" s="13" t="str">
        <f t="array" ref="CE129">iferror(INDEX('Import from defimon'!$1:$100,MATCH(CE$1,'Import from defimon'!$A:$A,0),MATCH($A129,'Import from defimon'!$1:$1,0)))</f>
        <v/>
      </c>
      <c r="CF129" s="13" t="str">
        <f t="array" ref="CF129">iferror(INDEX('Import from defimon'!$1:$100,MATCH(CF$1,'Import from defimon'!$A:$A,0),MATCH($A129,'Import from defimon'!$1:$1,0)))</f>
        <v/>
      </c>
      <c r="CG129" s="13" t="str">
        <f t="array" ref="CG129">iferror(INDEX('Import from defimon'!$1:$100,MATCH(CG$1,'Import from defimon'!$A:$A,0),MATCH($A129,'Import from defimon'!$1:$1,0)))</f>
        <v/>
      </c>
      <c r="CH129" s="13" t="str">
        <f t="array" ref="CH129">iferror(INDEX('Import from defimon'!$1:$100,MATCH(CH$1,'Import from defimon'!$A:$A,0),MATCH($A129,'Import from defimon'!$1:$1,0)))</f>
        <v/>
      </c>
      <c r="CI129" s="13" t="str">
        <f t="array" ref="CI129">iferror(INDEX('Import from defimon'!$1:$100,MATCH(CI$1,'Import from defimon'!$A:$A,0),MATCH($A129,'Import from defimon'!$1:$1,0)))</f>
        <v/>
      </c>
      <c r="CJ129" s="13" t="str">
        <f t="array" ref="CJ129">iferror(INDEX('Import from defimon'!$1:$100,MATCH(CJ$1,'Import from defimon'!$A:$A,0),MATCH($A129,'Import from defimon'!$1:$1,0)))</f>
        <v/>
      </c>
      <c r="CK129" s="13" t="str">
        <f t="array" ref="CK129">iferror(INDEX('Import from defimon'!$1:$100,MATCH(CK$1,'Import from defimon'!$A:$A,0),MATCH($A129,'Import from defimon'!$1:$1,0)))</f>
        <v/>
      </c>
      <c r="CL129" s="13" t="str">
        <f t="array" ref="CL129">iferror(INDEX('Import from defimon'!$1:$100,MATCH(CL$1,'Import from defimon'!$A:$A,0),MATCH($A129,'Import from defimon'!$1:$1,0)))</f>
        <v/>
      </c>
      <c r="CM129" s="13" t="str">
        <f t="array" ref="CM129">iferror(INDEX('Import from defimon'!$1:$100,MATCH(CM$1,'Import from defimon'!$A:$A,0),MATCH($A129,'Import from defimon'!$1:$1,0)))</f>
        <v/>
      </c>
      <c r="CN129" s="13" t="str">
        <f t="array" ref="CN129">iferror(INDEX('Import from defimon'!$1:$100,MATCH(CN$1,'Import from defimon'!$A:$A,0),MATCH($A129,'Import from defimon'!$1:$1,0)))</f>
        <v/>
      </c>
      <c r="CP129" s="13" t="str">
        <f t="array" ref="CP129">iferror(INDEX('Import from defimon'!$1:$100,MATCH(CP$1,'Import from defimon'!$A:$A,0),MATCH($A129,'Import from defimon'!$1:$1,0)))</f>
        <v/>
      </c>
      <c r="CQ129" s="13" t="str">
        <f t="array" ref="CQ129">iferror(INDEX('Import from defimon'!$1:$100,MATCH(CQ$1,'Import from defimon'!$A:$A,0),MATCH($A129,'Import from defimon'!$1:$1,0)))</f>
        <v/>
      </c>
      <c r="CR129" s="13" t="str">
        <f t="array" ref="CR129">iferror(INDEX('Import from defimon'!$1:$100,MATCH(CR$1,'Import from defimon'!$A:$A,0),MATCH($A129,'Import from defimon'!$1:$1,0)))</f>
        <v/>
      </c>
      <c r="CY129" s="13" t="str">
        <f t="array" ref="CY129">iferror(INDEX('Import from defimon'!$1:$100,MATCH(CY$1,'Import from defimon'!$A:$A,0),MATCH($A129,'Import from defimon'!$1:$1,0)))</f>
        <v/>
      </c>
      <c r="CZ129" s="13" t="str">
        <f t="array" ref="CZ129">iferror(INDEX('Import from defimon'!$1:$100,MATCH(CZ$1,'Import from defimon'!$A:$A,0),MATCH($A129,'Import from defimon'!$1:$1,0)))</f>
        <v/>
      </c>
      <c r="DA129" s="13" t="str">
        <f t="array" ref="DA129">iferror(INDEX('Import from defimon'!$1:$100,MATCH(DA$1,'Import from defimon'!$A:$A,0),MATCH($A129,'Import from defimon'!$1:$1,0)))</f>
        <v/>
      </c>
    </row>
    <row r="130" ht="15.75" customHeight="1">
      <c r="AS130" s="13" t="str">
        <f>iferror(VLOOKUP($A130,EAM!H$2:I$14,2,FALSE))</f>
        <v/>
      </c>
      <c r="AU130" s="19"/>
      <c r="AZ130" s="13" t="str">
        <f t="array" ref="AZ130">iferror(INDEX('Import from defimon'!$1:$100,MATCH(AZ$1,'Import from defimon'!$A:$A,0),MATCH($A130,'Import from defimon'!$1:$1,0)))</f>
        <v/>
      </c>
      <c r="BH130" s="13" t="str">
        <f t="array" ref="BH130">iferror(INDEX('Import from defimon'!$1:$100,MATCH(BH$1,'Import from defimon'!$A:$A,0),MATCH($A130,'Import from defimon'!$1:$1,0)))</f>
        <v/>
      </c>
      <c r="BJ130" s="13" t="str">
        <f t="array" ref="BJ130">iferror(INDEX('Import from defimon'!$1:$100,MATCH(BJ$1,'Import from defimon'!$A:$A,0),MATCH($A130,'Import from defimon'!$1:$1,0)))</f>
        <v/>
      </c>
      <c r="BK130" s="13" t="str">
        <f t="array" ref="BK130">iferror(INDEX('Import from defimon'!$1:$100,MATCH(BK$1,'Import from defimon'!$A:$A,0),MATCH($A130,'Import from defimon'!$1:$1,0)))</f>
        <v/>
      </c>
      <c r="BL130" s="13" t="str">
        <f t="array" ref="BL130">iferror(INDEX('Import from defimon'!$1:$100,MATCH(BL$1,'Import from defimon'!$A:$A,0),MATCH($A130,'Import from defimon'!$1:$1,0)))</f>
        <v/>
      </c>
      <c r="BN130" s="13" t="str">
        <f t="array" ref="BN130">iferror(INDEX('Import from defimon'!$1:$100,MATCH(BN$1,'Import from defimon'!$A:$A,0),MATCH($A130,'Import from defimon'!$1:$1,0)))</f>
        <v/>
      </c>
      <c r="BO130" s="13" t="str">
        <f t="array" ref="BO130">iferror(INDEX('Import from defimon'!$1:$100,MATCH(BO$1,'Import from defimon'!$A:$A,0),MATCH($A130,'Import from defimon'!$1:$1,0)))</f>
        <v/>
      </c>
      <c r="BP130" s="13" t="str">
        <f t="array" ref="BP130">iferror(INDEX('Import from defimon'!$1:$100,MATCH(BP$1,'Import from defimon'!$A:$A,0),MATCH($A130,'Import from defimon'!$1:$1,0)))</f>
        <v/>
      </c>
      <c r="BQ130" s="13" t="str">
        <f t="array" ref="BQ130">iferror(INDEX('Import from defimon'!$1:$100,MATCH(BQ$1,'Import from defimon'!$A:$A,0),MATCH($A130,'Import from defimon'!$1:$1,0)))</f>
        <v/>
      </c>
      <c r="BR130" s="13" t="str">
        <f t="array" ref="BR130">iferror(INDEX('Import from defimon'!$1:$100,MATCH(BR$1,'Import from defimon'!$A:$A,0),MATCH($A130,'Import from defimon'!$1:$1,0)))</f>
        <v/>
      </c>
      <c r="BS130" s="13" t="str">
        <f t="array" ref="BS130">iferror(INDEX('Import from defimon'!$1:$100,MATCH(BS$1,'Import from defimon'!$A:$A,0),MATCH($A130,'Import from defimon'!$1:$1,0)))</f>
        <v/>
      </c>
      <c r="BT130" s="13" t="str">
        <f t="array" ref="BT130">iferror(INDEX('Import from defimon'!$1:$100,MATCH(BT$1,'Import from defimon'!$A:$A,0),MATCH($A130,'Import from defimon'!$1:$1,0)))</f>
        <v/>
      </c>
      <c r="BV130" s="13" t="str">
        <f t="array" ref="BV130">iferror(INDEX('Import from defimon'!$1:$100,MATCH(BV$1,'Import from defimon'!$A:$A,0),MATCH($A130,'Import from defimon'!$1:$1,0)))</f>
        <v/>
      </c>
      <c r="BW130" s="13" t="str">
        <f t="array" ref="BW130">iferror(INDEX('Import from defimon'!$1:$100,MATCH(BW$1,'Import from defimon'!$A:$A,0),MATCH($A130,'Import from defimon'!$1:$1,0)))</f>
        <v/>
      </c>
      <c r="BX130" s="13" t="str">
        <f t="array" ref="BX130">iferror(INDEX('Import from defimon'!$1:$100,MATCH(BX$1,'Import from defimon'!$A:$A,0),MATCH($A130,'Import from defimon'!$1:$1,0)))</f>
        <v/>
      </c>
      <c r="CA130" s="13" t="str">
        <f t="array" ref="CA130">iferror(INDEX('Import from defimon'!$1:$100,MATCH(CA$1,'Import from defimon'!$A:$A,0),MATCH($A130,'Import from defimon'!$1:$1,0)))</f>
        <v/>
      </c>
      <c r="CB130" s="13" t="str">
        <f t="array" ref="CB130">iferror(INDEX('Import from defimon'!$1:$100,MATCH(CB$1,'Import from defimon'!$A:$A,0),MATCH($A130,'Import from defimon'!$1:$1,0)))</f>
        <v/>
      </c>
      <c r="CC130" s="13" t="str">
        <f t="array" ref="CC130">iferror(INDEX('Import from defimon'!$1:$100,MATCH(CC$1,'Import from defimon'!$A:$A,0),MATCH($A130,'Import from defimon'!$1:$1,0)))</f>
        <v/>
      </c>
      <c r="CD130" s="13" t="str">
        <f t="array" ref="CD130">iferror(INDEX('Import from defimon'!$1:$100,MATCH(CD$1,'Import from defimon'!$A:$A,0),MATCH($A130,'Import from defimon'!$1:$1,0)))</f>
        <v/>
      </c>
      <c r="CE130" s="13" t="str">
        <f t="array" ref="CE130">iferror(INDEX('Import from defimon'!$1:$100,MATCH(CE$1,'Import from defimon'!$A:$A,0),MATCH($A130,'Import from defimon'!$1:$1,0)))</f>
        <v/>
      </c>
      <c r="CF130" s="13" t="str">
        <f t="array" ref="CF130">iferror(INDEX('Import from defimon'!$1:$100,MATCH(CF$1,'Import from defimon'!$A:$A,0),MATCH($A130,'Import from defimon'!$1:$1,0)))</f>
        <v/>
      </c>
      <c r="CG130" s="13" t="str">
        <f t="array" ref="CG130">iferror(INDEX('Import from defimon'!$1:$100,MATCH(CG$1,'Import from defimon'!$A:$A,0),MATCH($A130,'Import from defimon'!$1:$1,0)))</f>
        <v/>
      </c>
      <c r="CH130" s="13" t="str">
        <f t="array" ref="CH130">iferror(INDEX('Import from defimon'!$1:$100,MATCH(CH$1,'Import from defimon'!$A:$A,0),MATCH($A130,'Import from defimon'!$1:$1,0)))</f>
        <v/>
      </c>
      <c r="CI130" s="13" t="str">
        <f t="array" ref="CI130">iferror(INDEX('Import from defimon'!$1:$100,MATCH(CI$1,'Import from defimon'!$A:$A,0),MATCH($A130,'Import from defimon'!$1:$1,0)))</f>
        <v/>
      </c>
      <c r="CJ130" s="13" t="str">
        <f t="array" ref="CJ130">iferror(INDEX('Import from defimon'!$1:$100,MATCH(CJ$1,'Import from defimon'!$A:$A,0),MATCH($A130,'Import from defimon'!$1:$1,0)))</f>
        <v/>
      </c>
      <c r="CK130" s="13" t="str">
        <f t="array" ref="CK130">iferror(INDEX('Import from defimon'!$1:$100,MATCH(CK$1,'Import from defimon'!$A:$A,0),MATCH($A130,'Import from defimon'!$1:$1,0)))</f>
        <v/>
      </c>
      <c r="CL130" s="13" t="str">
        <f t="array" ref="CL130">iferror(INDEX('Import from defimon'!$1:$100,MATCH(CL$1,'Import from defimon'!$A:$A,0),MATCH($A130,'Import from defimon'!$1:$1,0)))</f>
        <v/>
      </c>
      <c r="CM130" s="13" t="str">
        <f t="array" ref="CM130">iferror(INDEX('Import from defimon'!$1:$100,MATCH(CM$1,'Import from defimon'!$A:$A,0),MATCH($A130,'Import from defimon'!$1:$1,0)))</f>
        <v/>
      </c>
      <c r="CN130" s="13" t="str">
        <f t="array" ref="CN130">iferror(INDEX('Import from defimon'!$1:$100,MATCH(CN$1,'Import from defimon'!$A:$A,0),MATCH($A130,'Import from defimon'!$1:$1,0)))</f>
        <v/>
      </c>
      <c r="CP130" s="13" t="str">
        <f t="array" ref="CP130">iferror(INDEX('Import from defimon'!$1:$100,MATCH(CP$1,'Import from defimon'!$A:$A,0),MATCH($A130,'Import from defimon'!$1:$1,0)))</f>
        <v/>
      </c>
      <c r="CQ130" s="13" t="str">
        <f t="array" ref="CQ130">iferror(INDEX('Import from defimon'!$1:$100,MATCH(CQ$1,'Import from defimon'!$A:$A,0),MATCH($A130,'Import from defimon'!$1:$1,0)))</f>
        <v/>
      </c>
      <c r="CR130" s="13" t="str">
        <f t="array" ref="CR130">iferror(INDEX('Import from defimon'!$1:$100,MATCH(CR$1,'Import from defimon'!$A:$A,0),MATCH($A130,'Import from defimon'!$1:$1,0)))</f>
        <v/>
      </c>
      <c r="CY130" s="13" t="str">
        <f t="array" ref="CY130">iferror(INDEX('Import from defimon'!$1:$100,MATCH(CY$1,'Import from defimon'!$A:$A,0),MATCH($A130,'Import from defimon'!$1:$1,0)))</f>
        <v/>
      </c>
      <c r="CZ130" s="13" t="str">
        <f t="array" ref="CZ130">iferror(INDEX('Import from defimon'!$1:$100,MATCH(CZ$1,'Import from defimon'!$A:$A,0),MATCH($A130,'Import from defimon'!$1:$1,0)))</f>
        <v/>
      </c>
      <c r="DA130" s="13" t="str">
        <f t="array" ref="DA130">iferror(INDEX('Import from defimon'!$1:$100,MATCH(DA$1,'Import from defimon'!$A:$A,0),MATCH($A130,'Import from defimon'!$1:$1,0)))</f>
        <v/>
      </c>
    </row>
    <row r="131" ht="15.75" customHeight="1">
      <c r="AS131" s="13" t="str">
        <f>iferror(VLOOKUP($A131,EAM!H$2:I$14,2,FALSE))</f>
        <v/>
      </c>
      <c r="AU131" s="19"/>
      <c r="AZ131" s="13" t="str">
        <f t="array" ref="AZ131">iferror(INDEX('Import from defimon'!$1:$100,MATCH(AZ$1,'Import from defimon'!$A:$A,0),MATCH($A131,'Import from defimon'!$1:$1,0)))</f>
        <v/>
      </c>
      <c r="BH131" s="13" t="str">
        <f t="array" ref="BH131">iferror(INDEX('Import from defimon'!$1:$100,MATCH(BH$1,'Import from defimon'!$A:$A,0),MATCH($A131,'Import from defimon'!$1:$1,0)))</f>
        <v/>
      </c>
      <c r="BJ131" s="13" t="str">
        <f t="array" ref="BJ131">iferror(INDEX('Import from defimon'!$1:$100,MATCH(BJ$1,'Import from defimon'!$A:$A,0),MATCH($A131,'Import from defimon'!$1:$1,0)))</f>
        <v/>
      </c>
      <c r="BK131" s="13" t="str">
        <f t="array" ref="BK131">iferror(INDEX('Import from defimon'!$1:$100,MATCH(BK$1,'Import from defimon'!$A:$A,0),MATCH($A131,'Import from defimon'!$1:$1,0)))</f>
        <v/>
      </c>
      <c r="BL131" s="13" t="str">
        <f t="array" ref="BL131">iferror(INDEX('Import from defimon'!$1:$100,MATCH(BL$1,'Import from defimon'!$A:$A,0),MATCH($A131,'Import from defimon'!$1:$1,0)))</f>
        <v/>
      </c>
      <c r="BN131" s="13" t="str">
        <f t="array" ref="BN131">iferror(INDEX('Import from defimon'!$1:$100,MATCH(BN$1,'Import from defimon'!$A:$A,0),MATCH($A131,'Import from defimon'!$1:$1,0)))</f>
        <v/>
      </c>
      <c r="BO131" s="13" t="str">
        <f t="array" ref="BO131">iferror(INDEX('Import from defimon'!$1:$100,MATCH(BO$1,'Import from defimon'!$A:$A,0),MATCH($A131,'Import from defimon'!$1:$1,0)))</f>
        <v/>
      </c>
      <c r="BP131" s="13" t="str">
        <f t="array" ref="BP131">iferror(INDEX('Import from defimon'!$1:$100,MATCH(BP$1,'Import from defimon'!$A:$A,0),MATCH($A131,'Import from defimon'!$1:$1,0)))</f>
        <v/>
      </c>
      <c r="BQ131" s="13" t="str">
        <f t="array" ref="BQ131">iferror(INDEX('Import from defimon'!$1:$100,MATCH(BQ$1,'Import from defimon'!$A:$A,0),MATCH($A131,'Import from defimon'!$1:$1,0)))</f>
        <v/>
      </c>
      <c r="BR131" s="13" t="str">
        <f t="array" ref="BR131">iferror(INDEX('Import from defimon'!$1:$100,MATCH(BR$1,'Import from defimon'!$A:$A,0),MATCH($A131,'Import from defimon'!$1:$1,0)))</f>
        <v/>
      </c>
      <c r="BS131" s="13" t="str">
        <f t="array" ref="BS131">iferror(INDEX('Import from defimon'!$1:$100,MATCH(BS$1,'Import from defimon'!$A:$A,0),MATCH($A131,'Import from defimon'!$1:$1,0)))</f>
        <v/>
      </c>
      <c r="BT131" s="13" t="str">
        <f t="array" ref="BT131">iferror(INDEX('Import from defimon'!$1:$100,MATCH(BT$1,'Import from defimon'!$A:$A,0),MATCH($A131,'Import from defimon'!$1:$1,0)))</f>
        <v/>
      </c>
      <c r="BV131" s="13" t="str">
        <f t="array" ref="BV131">iferror(INDEX('Import from defimon'!$1:$100,MATCH(BV$1,'Import from defimon'!$A:$A,0),MATCH($A131,'Import from defimon'!$1:$1,0)))</f>
        <v/>
      </c>
      <c r="BW131" s="13" t="str">
        <f t="array" ref="BW131">iferror(INDEX('Import from defimon'!$1:$100,MATCH(BW$1,'Import from defimon'!$A:$A,0),MATCH($A131,'Import from defimon'!$1:$1,0)))</f>
        <v/>
      </c>
      <c r="BX131" s="13" t="str">
        <f t="array" ref="BX131">iferror(INDEX('Import from defimon'!$1:$100,MATCH(BX$1,'Import from defimon'!$A:$A,0),MATCH($A131,'Import from defimon'!$1:$1,0)))</f>
        <v/>
      </c>
      <c r="CA131" s="13" t="str">
        <f t="array" ref="CA131">iferror(INDEX('Import from defimon'!$1:$100,MATCH(CA$1,'Import from defimon'!$A:$A,0),MATCH($A131,'Import from defimon'!$1:$1,0)))</f>
        <v/>
      </c>
      <c r="CB131" s="13" t="str">
        <f t="array" ref="CB131">iferror(INDEX('Import from defimon'!$1:$100,MATCH(CB$1,'Import from defimon'!$A:$A,0),MATCH($A131,'Import from defimon'!$1:$1,0)))</f>
        <v/>
      </c>
      <c r="CC131" s="13" t="str">
        <f t="array" ref="CC131">iferror(INDEX('Import from defimon'!$1:$100,MATCH(CC$1,'Import from defimon'!$A:$A,0),MATCH($A131,'Import from defimon'!$1:$1,0)))</f>
        <v/>
      </c>
      <c r="CD131" s="13" t="str">
        <f t="array" ref="CD131">iferror(INDEX('Import from defimon'!$1:$100,MATCH(CD$1,'Import from defimon'!$A:$A,0),MATCH($A131,'Import from defimon'!$1:$1,0)))</f>
        <v/>
      </c>
      <c r="CE131" s="13" t="str">
        <f t="array" ref="CE131">iferror(INDEX('Import from defimon'!$1:$100,MATCH(CE$1,'Import from defimon'!$A:$A,0),MATCH($A131,'Import from defimon'!$1:$1,0)))</f>
        <v/>
      </c>
      <c r="CF131" s="13" t="str">
        <f t="array" ref="CF131">iferror(INDEX('Import from defimon'!$1:$100,MATCH(CF$1,'Import from defimon'!$A:$A,0),MATCH($A131,'Import from defimon'!$1:$1,0)))</f>
        <v/>
      </c>
      <c r="CG131" s="13" t="str">
        <f t="array" ref="CG131">iferror(INDEX('Import from defimon'!$1:$100,MATCH(CG$1,'Import from defimon'!$A:$A,0),MATCH($A131,'Import from defimon'!$1:$1,0)))</f>
        <v/>
      </c>
      <c r="CH131" s="13" t="str">
        <f t="array" ref="CH131">iferror(INDEX('Import from defimon'!$1:$100,MATCH(CH$1,'Import from defimon'!$A:$A,0),MATCH($A131,'Import from defimon'!$1:$1,0)))</f>
        <v/>
      </c>
      <c r="CI131" s="13" t="str">
        <f t="array" ref="CI131">iferror(INDEX('Import from defimon'!$1:$100,MATCH(CI$1,'Import from defimon'!$A:$A,0),MATCH($A131,'Import from defimon'!$1:$1,0)))</f>
        <v/>
      </c>
      <c r="CJ131" s="13" t="str">
        <f t="array" ref="CJ131">iferror(INDEX('Import from defimon'!$1:$100,MATCH(CJ$1,'Import from defimon'!$A:$A,0),MATCH($A131,'Import from defimon'!$1:$1,0)))</f>
        <v/>
      </c>
      <c r="CK131" s="13" t="str">
        <f t="array" ref="CK131">iferror(INDEX('Import from defimon'!$1:$100,MATCH(CK$1,'Import from defimon'!$A:$A,0),MATCH($A131,'Import from defimon'!$1:$1,0)))</f>
        <v/>
      </c>
      <c r="CL131" s="13" t="str">
        <f t="array" ref="CL131">iferror(INDEX('Import from defimon'!$1:$100,MATCH(CL$1,'Import from defimon'!$A:$A,0),MATCH($A131,'Import from defimon'!$1:$1,0)))</f>
        <v/>
      </c>
      <c r="CM131" s="13" t="str">
        <f t="array" ref="CM131">iferror(INDEX('Import from defimon'!$1:$100,MATCH(CM$1,'Import from defimon'!$A:$A,0),MATCH($A131,'Import from defimon'!$1:$1,0)))</f>
        <v/>
      </c>
      <c r="CN131" s="13" t="str">
        <f t="array" ref="CN131">iferror(INDEX('Import from defimon'!$1:$100,MATCH(CN$1,'Import from defimon'!$A:$A,0),MATCH($A131,'Import from defimon'!$1:$1,0)))</f>
        <v/>
      </c>
      <c r="CP131" s="13" t="str">
        <f t="array" ref="CP131">iferror(INDEX('Import from defimon'!$1:$100,MATCH(CP$1,'Import from defimon'!$A:$A,0),MATCH($A131,'Import from defimon'!$1:$1,0)))</f>
        <v/>
      </c>
      <c r="CQ131" s="13" t="str">
        <f t="array" ref="CQ131">iferror(INDEX('Import from defimon'!$1:$100,MATCH(CQ$1,'Import from defimon'!$A:$A,0),MATCH($A131,'Import from defimon'!$1:$1,0)))</f>
        <v/>
      </c>
      <c r="CR131" s="13" t="str">
        <f t="array" ref="CR131">iferror(INDEX('Import from defimon'!$1:$100,MATCH(CR$1,'Import from defimon'!$A:$A,0),MATCH($A131,'Import from defimon'!$1:$1,0)))</f>
        <v/>
      </c>
      <c r="CY131" s="13" t="str">
        <f t="array" ref="CY131">iferror(INDEX('Import from defimon'!$1:$100,MATCH(CY$1,'Import from defimon'!$A:$A,0),MATCH($A131,'Import from defimon'!$1:$1,0)))</f>
        <v/>
      </c>
      <c r="CZ131" s="13" t="str">
        <f t="array" ref="CZ131">iferror(INDEX('Import from defimon'!$1:$100,MATCH(CZ$1,'Import from defimon'!$A:$A,0),MATCH($A131,'Import from defimon'!$1:$1,0)))</f>
        <v/>
      </c>
      <c r="DA131" s="13" t="str">
        <f t="array" ref="DA131">iferror(INDEX('Import from defimon'!$1:$100,MATCH(DA$1,'Import from defimon'!$A:$A,0),MATCH($A131,'Import from defimon'!$1:$1,0)))</f>
        <v/>
      </c>
    </row>
    <row r="132" ht="15.75" customHeight="1">
      <c r="AS132" s="13" t="str">
        <f>iferror(VLOOKUP($A132,EAM!H$2:I$14,2,FALSE))</f>
        <v/>
      </c>
      <c r="AU132" s="19"/>
      <c r="AZ132" s="13" t="str">
        <f t="array" ref="AZ132">iferror(INDEX('Import from defimon'!$1:$100,MATCH(AZ$1,'Import from defimon'!$A:$A,0),MATCH($A132,'Import from defimon'!$1:$1,0)))</f>
        <v/>
      </c>
      <c r="BH132" s="13" t="str">
        <f t="array" ref="BH132">iferror(INDEX('Import from defimon'!$1:$100,MATCH(BH$1,'Import from defimon'!$A:$A,0),MATCH($A132,'Import from defimon'!$1:$1,0)))</f>
        <v/>
      </c>
      <c r="BJ132" s="13" t="str">
        <f t="array" ref="BJ132">iferror(INDEX('Import from defimon'!$1:$100,MATCH(BJ$1,'Import from defimon'!$A:$A,0),MATCH($A132,'Import from defimon'!$1:$1,0)))</f>
        <v/>
      </c>
      <c r="BK132" s="13" t="str">
        <f t="array" ref="BK132">iferror(INDEX('Import from defimon'!$1:$100,MATCH(BK$1,'Import from defimon'!$A:$A,0),MATCH($A132,'Import from defimon'!$1:$1,0)))</f>
        <v/>
      </c>
      <c r="BL132" s="13" t="str">
        <f t="array" ref="BL132">iferror(INDEX('Import from defimon'!$1:$100,MATCH(BL$1,'Import from defimon'!$A:$A,0),MATCH($A132,'Import from defimon'!$1:$1,0)))</f>
        <v/>
      </c>
      <c r="BN132" s="13" t="str">
        <f t="array" ref="BN132">iferror(INDEX('Import from defimon'!$1:$100,MATCH(BN$1,'Import from defimon'!$A:$A,0),MATCH($A132,'Import from defimon'!$1:$1,0)))</f>
        <v/>
      </c>
      <c r="BO132" s="13" t="str">
        <f t="array" ref="BO132">iferror(INDEX('Import from defimon'!$1:$100,MATCH(BO$1,'Import from defimon'!$A:$A,0),MATCH($A132,'Import from defimon'!$1:$1,0)))</f>
        <v/>
      </c>
      <c r="BP132" s="13" t="str">
        <f t="array" ref="BP132">iferror(INDEX('Import from defimon'!$1:$100,MATCH(BP$1,'Import from defimon'!$A:$A,0),MATCH($A132,'Import from defimon'!$1:$1,0)))</f>
        <v/>
      </c>
      <c r="BQ132" s="13" t="str">
        <f t="array" ref="BQ132">iferror(INDEX('Import from defimon'!$1:$100,MATCH(BQ$1,'Import from defimon'!$A:$A,0),MATCH($A132,'Import from defimon'!$1:$1,0)))</f>
        <v/>
      </c>
      <c r="BR132" s="13" t="str">
        <f t="array" ref="BR132">iferror(INDEX('Import from defimon'!$1:$100,MATCH(BR$1,'Import from defimon'!$A:$A,0),MATCH($A132,'Import from defimon'!$1:$1,0)))</f>
        <v/>
      </c>
      <c r="BS132" s="13" t="str">
        <f t="array" ref="BS132">iferror(INDEX('Import from defimon'!$1:$100,MATCH(BS$1,'Import from defimon'!$A:$A,0),MATCH($A132,'Import from defimon'!$1:$1,0)))</f>
        <v/>
      </c>
      <c r="BT132" s="13" t="str">
        <f t="array" ref="BT132">iferror(INDEX('Import from defimon'!$1:$100,MATCH(BT$1,'Import from defimon'!$A:$A,0),MATCH($A132,'Import from defimon'!$1:$1,0)))</f>
        <v/>
      </c>
      <c r="BV132" s="13" t="str">
        <f t="array" ref="BV132">iferror(INDEX('Import from defimon'!$1:$100,MATCH(BV$1,'Import from defimon'!$A:$A,0),MATCH($A132,'Import from defimon'!$1:$1,0)))</f>
        <v/>
      </c>
      <c r="BW132" s="13" t="str">
        <f t="array" ref="BW132">iferror(INDEX('Import from defimon'!$1:$100,MATCH(BW$1,'Import from defimon'!$A:$A,0),MATCH($A132,'Import from defimon'!$1:$1,0)))</f>
        <v/>
      </c>
      <c r="BX132" s="13" t="str">
        <f t="array" ref="BX132">iferror(INDEX('Import from defimon'!$1:$100,MATCH(BX$1,'Import from defimon'!$A:$A,0),MATCH($A132,'Import from defimon'!$1:$1,0)))</f>
        <v/>
      </c>
      <c r="CA132" s="13" t="str">
        <f t="array" ref="CA132">iferror(INDEX('Import from defimon'!$1:$100,MATCH(CA$1,'Import from defimon'!$A:$A,0),MATCH($A132,'Import from defimon'!$1:$1,0)))</f>
        <v/>
      </c>
      <c r="CB132" s="13" t="str">
        <f t="array" ref="CB132">iferror(INDEX('Import from defimon'!$1:$100,MATCH(CB$1,'Import from defimon'!$A:$A,0),MATCH($A132,'Import from defimon'!$1:$1,0)))</f>
        <v/>
      </c>
      <c r="CC132" s="13" t="str">
        <f t="array" ref="CC132">iferror(INDEX('Import from defimon'!$1:$100,MATCH(CC$1,'Import from defimon'!$A:$A,0),MATCH($A132,'Import from defimon'!$1:$1,0)))</f>
        <v/>
      </c>
      <c r="CD132" s="13" t="str">
        <f t="array" ref="CD132">iferror(INDEX('Import from defimon'!$1:$100,MATCH(CD$1,'Import from defimon'!$A:$A,0),MATCH($A132,'Import from defimon'!$1:$1,0)))</f>
        <v/>
      </c>
      <c r="CE132" s="13" t="str">
        <f t="array" ref="CE132">iferror(INDEX('Import from defimon'!$1:$100,MATCH(CE$1,'Import from defimon'!$A:$A,0),MATCH($A132,'Import from defimon'!$1:$1,0)))</f>
        <v/>
      </c>
      <c r="CF132" s="13" t="str">
        <f t="array" ref="CF132">iferror(INDEX('Import from defimon'!$1:$100,MATCH(CF$1,'Import from defimon'!$A:$A,0),MATCH($A132,'Import from defimon'!$1:$1,0)))</f>
        <v/>
      </c>
      <c r="CG132" s="13" t="str">
        <f t="array" ref="CG132">iferror(INDEX('Import from defimon'!$1:$100,MATCH(CG$1,'Import from defimon'!$A:$A,0),MATCH($A132,'Import from defimon'!$1:$1,0)))</f>
        <v/>
      </c>
      <c r="CH132" s="13" t="str">
        <f t="array" ref="CH132">iferror(INDEX('Import from defimon'!$1:$100,MATCH(CH$1,'Import from defimon'!$A:$A,0),MATCH($A132,'Import from defimon'!$1:$1,0)))</f>
        <v/>
      </c>
      <c r="CI132" s="13" t="str">
        <f t="array" ref="CI132">iferror(INDEX('Import from defimon'!$1:$100,MATCH(CI$1,'Import from defimon'!$A:$A,0),MATCH($A132,'Import from defimon'!$1:$1,0)))</f>
        <v/>
      </c>
      <c r="CJ132" s="13" t="str">
        <f t="array" ref="CJ132">iferror(INDEX('Import from defimon'!$1:$100,MATCH(CJ$1,'Import from defimon'!$A:$A,0),MATCH($A132,'Import from defimon'!$1:$1,0)))</f>
        <v/>
      </c>
      <c r="CK132" s="13" t="str">
        <f t="array" ref="CK132">iferror(INDEX('Import from defimon'!$1:$100,MATCH(CK$1,'Import from defimon'!$A:$A,0),MATCH($A132,'Import from defimon'!$1:$1,0)))</f>
        <v/>
      </c>
      <c r="CL132" s="13" t="str">
        <f t="array" ref="CL132">iferror(INDEX('Import from defimon'!$1:$100,MATCH(CL$1,'Import from defimon'!$A:$A,0),MATCH($A132,'Import from defimon'!$1:$1,0)))</f>
        <v/>
      </c>
      <c r="CM132" s="13" t="str">
        <f t="array" ref="CM132">iferror(INDEX('Import from defimon'!$1:$100,MATCH(CM$1,'Import from defimon'!$A:$A,0),MATCH($A132,'Import from defimon'!$1:$1,0)))</f>
        <v/>
      </c>
      <c r="CN132" s="13" t="str">
        <f t="array" ref="CN132">iferror(INDEX('Import from defimon'!$1:$100,MATCH(CN$1,'Import from defimon'!$A:$A,0),MATCH($A132,'Import from defimon'!$1:$1,0)))</f>
        <v/>
      </c>
      <c r="CP132" s="13" t="str">
        <f t="array" ref="CP132">iferror(INDEX('Import from defimon'!$1:$100,MATCH(CP$1,'Import from defimon'!$A:$A,0),MATCH($A132,'Import from defimon'!$1:$1,0)))</f>
        <v/>
      </c>
      <c r="CQ132" s="13" t="str">
        <f t="array" ref="CQ132">iferror(INDEX('Import from defimon'!$1:$100,MATCH(CQ$1,'Import from defimon'!$A:$A,0),MATCH($A132,'Import from defimon'!$1:$1,0)))</f>
        <v/>
      </c>
      <c r="CR132" s="13" t="str">
        <f t="array" ref="CR132">iferror(INDEX('Import from defimon'!$1:$100,MATCH(CR$1,'Import from defimon'!$A:$A,0),MATCH($A132,'Import from defimon'!$1:$1,0)))</f>
        <v/>
      </c>
      <c r="CY132" s="13" t="str">
        <f t="array" ref="CY132">iferror(INDEX('Import from defimon'!$1:$100,MATCH(CY$1,'Import from defimon'!$A:$A,0),MATCH($A132,'Import from defimon'!$1:$1,0)))</f>
        <v/>
      </c>
      <c r="CZ132" s="13" t="str">
        <f t="array" ref="CZ132">iferror(INDEX('Import from defimon'!$1:$100,MATCH(CZ$1,'Import from defimon'!$A:$A,0),MATCH($A132,'Import from defimon'!$1:$1,0)))</f>
        <v/>
      </c>
      <c r="DA132" s="13" t="str">
        <f t="array" ref="DA132">iferror(INDEX('Import from defimon'!$1:$100,MATCH(DA$1,'Import from defimon'!$A:$A,0),MATCH($A132,'Import from defimon'!$1:$1,0)))</f>
        <v/>
      </c>
    </row>
    <row r="133" ht="15.75" customHeight="1">
      <c r="AS133" s="13" t="str">
        <f>iferror(VLOOKUP($A133,EAM!H$2:I$14,2,FALSE))</f>
        <v/>
      </c>
      <c r="AU133" s="20"/>
      <c r="AZ133" s="13" t="str">
        <f t="array" ref="AZ133">iferror(INDEX('Import from defimon'!$1:$100,MATCH(AZ$1,'Import from defimon'!$A:$A,0),MATCH($A133,'Import from defimon'!$1:$1,0)))</f>
        <v/>
      </c>
      <c r="BH133" s="13" t="str">
        <f t="array" ref="BH133">iferror(INDEX('Import from defimon'!$1:$100,MATCH(BH$1,'Import from defimon'!$A:$A,0),MATCH($A133,'Import from defimon'!$1:$1,0)))</f>
        <v/>
      </c>
      <c r="BJ133" s="13" t="str">
        <f t="array" ref="BJ133">iferror(INDEX('Import from defimon'!$1:$100,MATCH(BJ$1,'Import from defimon'!$A:$A,0),MATCH($A133,'Import from defimon'!$1:$1,0)))</f>
        <v/>
      </c>
      <c r="BK133" s="13" t="str">
        <f t="array" ref="BK133">iferror(INDEX('Import from defimon'!$1:$100,MATCH(BK$1,'Import from defimon'!$A:$A,0),MATCH($A133,'Import from defimon'!$1:$1,0)))</f>
        <v/>
      </c>
      <c r="BL133" s="13" t="str">
        <f t="array" ref="BL133">iferror(INDEX('Import from defimon'!$1:$100,MATCH(BL$1,'Import from defimon'!$A:$A,0),MATCH($A133,'Import from defimon'!$1:$1,0)))</f>
        <v/>
      </c>
      <c r="BN133" s="13" t="str">
        <f t="array" ref="BN133">iferror(INDEX('Import from defimon'!$1:$100,MATCH(BN$1,'Import from defimon'!$A:$A,0),MATCH($A133,'Import from defimon'!$1:$1,0)))</f>
        <v/>
      </c>
      <c r="BO133" s="13" t="str">
        <f t="array" ref="BO133">iferror(INDEX('Import from defimon'!$1:$100,MATCH(BO$1,'Import from defimon'!$A:$A,0),MATCH($A133,'Import from defimon'!$1:$1,0)))</f>
        <v/>
      </c>
      <c r="BP133" s="13" t="str">
        <f t="array" ref="BP133">iferror(INDEX('Import from defimon'!$1:$100,MATCH(BP$1,'Import from defimon'!$A:$A,0),MATCH($A133,'Import from defimon'!$1:$1,0)))</f>
        <v/>
      </c>
      <c r="BQ133" s="13" t="str">
        <f t="array" ref="BQ133">iferror(INDEX('Import from defimon'!$1:$100,MATCH(BQ$1,'Import from defimon'!$A:$A,0),MATCH($A133,'Import from defimon'!$1:$1,0)))</f>
        <v/>
      </c>
      <c r="BR133" s="13" t="str">
        <f t="array" ref="BR133">iferror(INDEX('Import from defimon'!$1:$100,MATCH(BR$1,'Import from defimon'!$A:$A,0),MATCH($A133,'Import from defimon'!$1:$1,0)))</f>
        <v/>
      </c>
      <c r="BS133" s="13" t="str">
        <f t="array" ref="BS133">iferror(INDEX('Import from defimon'!$1:$100,MATCH(BS$1,'Import from defimon'!$A:$A,0),MATCH($A133,'Import from defimon'!$1:$1,0)))</f>
        <v/>
      </c>
      <c r="BT133" s="13" t="str">
        <f t="array" ref="BT133">iferror(INDEX('Import from defimon'!$1:$100,MATCH(BT$1,'Import from defimon'!$A:$A,0),MATCH($A133,'Import from defimon'!$1:$1,0)))</f>
        <v/>
      </c>
      <c r="BV133" s="13" t="str">
        <f t="array" ref="BV133">iferror(INDEX('Import from defimon'!$1:$100,MATCH(BV$1,'Import from defimon'!$A:$A,0),MATCH($A133,'Import from defimon'!$1:$1,0)))</f>
        <v/>
      </c>
      <c r="BW133" s="13" t="str">
        <f t="array" ref="BW133">iferror(INDEX('Import from defimon'!$1:$100,MATCH(BW$1,'Import from defimon'!$A:$A,0),MATCH($A133,'Import from defimon'!$1:$1,0)))</f>
        <v/>
      </c>
      <c r="BX133" s="13" t="str">
        <f t="array" ref="BX133">iferror(INDEX('Import from defimon'!$1:$100,MATCH(BX$1,'Import from defimon'!$A:$A,0),MATCH($A133,'Import from defimon'!$1:$1,0)))</f>
        <v/>
      </c>
      <c r="CA133" s="13" t="str">
        <f t="array" ref="CA133">iferror(INDEX('Import from defimon'!$1:$100,MATCH(CA$1,'Import from defimon'!$A:$A,0),MATCH($A133,'Import from defimon'!$1:$1,0)))</f>
        <v/>
      </c>
      <c r="CB133" s="13" t="str">
        <f t="array" ref="CB133">iferror(INDEX('Import from defimon'!$1:$100,MATCH(CB$1,'Import from defimon'!$A:$A,0),MATCH($A133,'Import from defimon'!$1:$1,0)))</f>
        <v/>
      </c>
      <c r="CC133" s="13" t="str">
        <f t="array" ref="CC133">iferror(INDEX('Import from defimon'!$1:$100,MATCH(CC$1,'Import from defimon'!$A:$A,0),MATCH($A133,'Import from defimon'!$1:$1,0)))</f>
        <v/>
      </c>
      <c r="CD133" s="13" t="str">
        <f t="array" ref="CD133">iferror(INDEX('Import from defimon'!$1:$100,MATCH(CD$1,'Import from defimon'!$A:$A,0),MATCH($A133,'Import from defimon'!$1:$1,0)))</f>
        <v/>
      </c>
      <c r="CE133" s="13" t="str">
        <f t="array" ref="CE133">iferror(INDEX('Import from defimon'!$1:$100,MATCH(CE$1,'Import from defimon'!$A:$A,0),MATCH($A133,'Import from defimon'!$1:$1,0)))</f>
        <v/>
      </c>
      <c r="CF133" s="13" t="str">
        <f t="array" ref="CF133">iferror(INDEX('Import from defimon'!$1:$100,MATCH(CF$1,'Import from defimon'!$A:$A,0),MATCH($A133,'Import from defimon'!$1:$1,0)))</f>
        <v/>
      </c>
      <c r="CG133" s="13" t="str">
        <f t="array" ref="CG133">iferror(INDEX('Import from defimon'!$1:$100,MATCH(CG$1,'Import from defimon'!$A:$A,0),MATCH($A133,'Import from defimon'!$1:$1,0)))</f>
        <v/>
      </c>
      <c r="CH133" s="13" t="str">
        <f t="array" ref="CH133">iferror(INDEX('Import from defimon'!$1:$100,MATCH(CH$1,'Import from defimon'!$A:$A,0),MATCH($A133,'Import from defimon'!$1:$1,0)))</f>
        <v/>
      </c>
      <c r="CI133" s="13" t="str">
        <f t="array" ref="CI133">iferror(INDEX('Import from defimon'!$1:$100,MATCH(CI$1,'Import from defimon'!$A:$A,0),MATCH($A133,'Import from defimon'!$1:$1,0)))</f>
        <v/>
      </c>
      <c r="CJ133" s="13" t="str">
        <f t="array" ref="CJ133">iferror(INDEX('Import from defimon'!$1:$100,MATCH(CJ$1,'Import from defimon'!$A:$A,0),MATCH($A133,'Import from defimon'!$1:$1,0)))</f>
        <v/>
      </c>
      <c r="CK133" s="13" t="str">
        <f t="array" ref="CK133">iferror(INDEX('Import from defimon'!$1:$100,MATCH(CK$1,'Import from defimon'!$A:$A,0),MATCH($A133,'Import from defimon'!$1:$1,0)))</f>
        <v/>
      </c>
      <c r="CL133" s="13" t="str">
        <f t="array" ref="CL133">iferror(INDEX('Import from defimon'!$1:$100,MATCH(CL$1,'Import from defimon'!$A:$A,0),MATCH($A133,'Import from defimon'!$1:$1,0)))</f>
        <v/>
      </c>
      <c r="CM133" s="13" t="str">
        <f t="array" ref="CM133">iferror(INDEX('Import from defimon'!$1:$100,MATCH(CM$1,'Import from defimon'!$A:$A,0),MATCH($A133,'Import from defimon'!$1:$1,0)))</f>
        <v/>
      </c>
      <c r="CN133" s="13" t="str">
        <f t="array" ref="CN133">iferror(INDEX('Import from defimon'!$1:$100,MATCH(CN$1,'Import from defimon'!$A:$A,0),MATCH($A133,'Import from defimon'!$1:$1,0)))</f>
        <v/>
      </c>
      <c r="CP133" s="13" t="str">
        <f t="array" ref="CP133">iferror(INDEX('Import from defimon'!$1:$100,MATCH(CP$1,'Import from defimon'!$A:$A,0),MATCH($A133,'Import from defimon'!$1:$1,0)))</f>
        <v/>
      </c>
      <c r="CQ133" s="13" t="str">
        <f t="array" ref="CQ133">iferror(INDEX('Import from defimon'!$1:$100,MATCH(CQ$1,'Import from defimon'!$A:$A,0),MATCH($A133,'Import from defimon'!$1:$1,0)))</f>
        <v/>
      </c>
      <c r="CR133" s="13" t="str">
        <f t="array" ref="CR133">iferror(INDEX('Import from defimon'!$1:$100,MATCH(CR$1,'Import from defimon'!$A:$A,0),MATCH($A133,'Import from defimon'!$1:$1,0)))</f>
        <v/>
      </c>
      <c r="CY133" s="13" t="str">
        <f t="array" ref="CY133">iferror(INDEX('Import from defimon'!$1:$100,MATCH(CY$1,'Import from defimon'!$A:$A,0),MATCH($A133,'Import from defimon'!$1:$1,0)))</f>
        <v/>
      </c>
      <c r="CZ133" s="13" t="str">
        <f t="array" ref="CZ133">iferror(INDEX('Import from defimon'!$1:$100,MATCH(CZ$1,'Import from defimon'!$A:$A,0),MATCH($A133,'Import from defimon'!$1:$1,0)))</f>
        <v/>
      </c>
      <c r="DA133" s="13" t="str">
        <f t="array" ref="DA133">iferror(INDEX('Import from defimon'!$1:$100,MATCH(DA$1,'Import from defimon'!$A:$A,0),MATCH($A133,'Import from defimon'!$1:$1,0)))</f>
        <v/>
      </c>
    </row>
    <row r="134" ht="15.75" customHeight="1">
      <c r="AS134" s="13" t="str">
        <f>iferror(VLOOKUP($A134,EAM!H$2:I$14,2,FALSE))</f>
        <v/>
      </c>
      <c r="AU134" s="19"/>
      <c r="AZ134" s="13" t="str">
        <f t="array" ref="AZ134">iferror(INDEX('Import from defimon'!$1:$100,MATCH(AZ$1,'Import from defimon'!$A:$A,0),MATCH($A134,'Import from defimon'!$1:$1,0)))</f>
        <v/>
      </c>
      <c r="BH134" s="13" t="str">
        <f t="array" ref="BH134">iferror(INDEX('Import from defimon'!$1:$100,MATCH(BH$1,'Import from defimon'!$A:$A,0),MATCH($A134,'Import from defimon'!$1:$1,0)))</f>
        <v/>
      </c>
      <c r="BJ134" s="13" t="str">
        <f t="array" ref="BJ134">iferror(INDEX('Import from defimon'!$1:$100,MATCH(BJ$1,'Import from defimon'!$A:$A,0),MATCH($A134,'Import from defimon'!$1:$1,0)))</f>
        <v/>
      </c>
      <c r="BK134" s="13" t="str">
        <f t="array" ref="BK134">iferror(INDEX('Import from defimon'!$1:$100,MATCH(BK$1,'Import from defimon'!$A:$A,0),MATCH($A134,'Import from defimon'!$1:$1,0)))</f>
        <v/>
      </c>
      <c r="BL134" s="13" t="str">
        <f t="array" ref="BL134">iferror(INDEX('Import from defimon'!$1:$100,MATCH(BL$1,'Import from defimon'!$A:$A,0),MATCH($A134,'Import from defimon'!$1:$1,0)))</f>
        <v/>
      </c>
      <c r="BN134" s="13" t="str">
        <f t="array" ref="BN134">iferror(INDEX('Import from defimon'!$1:$100,MATCH(BN$1,'Import from defimon'!$A:$A,0),MATCH($A134,'Import from defimon'!$1:$1,0)))</f>
        <v/>
      </c>
      <c r="BO134" s="13" t="str">
        <f t="array" ref="BO134">iferror(INDEX('Import from defimon'!$1:$100,MATCH(BO$1,'Import from defimon'!$A:$A,0),MATCH($A134,'Import from defimon'!$1:$1,0)))</f>
        <v/>
      </c>
      <c r="BP134" s="13" t="str">
        <f t="array" ref="BP134">iferror(INDEX('Import from defimon'!$1:$100,MATCH(BP$1,'Import from defimon'!$A:$A,0),MATCH($A134,'Import from defimon'!$1:$1,0)))</f>
        <v/>
      </c>
      <c r="BQ134" s="13" t="str">
        <f t="array" ref="BQ134">iferror(INDEX('Import from defimon'!$1:$100,MATCH(BQ$1,'Import from defimon'!$A:$A,0),MATCH($A134,'Import from defimon'!$1:$1,0)))</f>
        <v/>
      </c>
      <c r="BR134" s="13" t="str">
        <f t="array" ref="BR134">iferror(INDEX('Import from defimon'!$1:$100,MATCH(BR$1,'Import from defimon'!$A:$A,0),MATCH($A134,'Import from defimon'!$1:$1,0)))</f>
        <v/>
      </c>
      <c r="BS134" s="13" t="str">
        <f t="array" ref="BS134">iferror(INDEX('Import from defimon'!$1:$100,MATCH(BS$1,'Import from defimon'!$A:$A,0),MATCH($A134,'Import from defimon'!$1:$1,0)))</f>
        <v/>
      </c>
      <c r="BT134" s="13" t="str">
        <f t="array" ref="BT134">iferror(INDEX('Import from defimon'!$1:$100,MATCH(BT$1,'Import from defimon'!$A:$A,0),MATCH($A134,'Import from defimon'!$1:$1,0)))</f>
        <v/>
      </c>
      <c r="BV134" s="13" t="str">
        <f t="array" ref="BV134">iferror(INDEX('Import from defimon'!$1:$100,MATCH(BV$1,'Import from defimon'!$A:$A,0),MATCH($A134,'Import from defimon'!$1:$1,0)))</f>
        <v/>
      </c>
      <c r="BW134" s="13" t="str">
        <f t="array" ref="BW134">iferror(INDEX('Import from defimon'!$1:$100,MATCH(BW$1,'Import from defimon'!$A:$A,0),MATCH($A134,'Import from defimon'!$1:$1,0)))</f>
        <v/>
      </c>
      <c r="BX134" s="13" t="str">
        <f t="array" ref="BX134">iferror(INDEX('Import from defimon'!$1:$100,MATCH(BX$1,'Import from defimon'!$A:$A,0),MATCH($A134,'Import from defimon'!$1:$1,0)))</f>
        <v/>
      </c>
      <c r="CA134" s="13" t="str">
        <f t="array" ref="CA134">iferror(INDEX('Import from defimon'!$1:$100,MATCH(CA$1,'Import from defimon'!$A:$A,0),MATCH($A134,'Import from defimon'!$1:$1,0)))</f>
        <v/>
      </c>
      <c r="CB134" s="13" t="str">
        <f t="array" ref="CB134">iferror(INDEX('Import from defimon'!$1:$100,MATCH(CB$1,'Import from defimon'!$A:$A,0),MATCH($A134,'Import from defimon'!$1:$1,0)))</f>
        <v/>
      </c>
      <c r="CC134" s="13" t="str">
        <f t="array" ref="CC134">iferror(INDEX('Import from defimon'!$1:$100,MATCH(CC$1,'Import from defimon'!$A:$A,0),MATCH($A134,'Import from defimon'!$1:$1,0)))</f>
        <v/>
      </c>
      <c r="CD134" s="13" t="str">
        <f t="array" ref="CD134">iferror(INDEX('Import from defimon'!$1:$100,MATCH(CD$1,'Import from defimon'!$A:$A,0),MATCH($A134,'Import from defimon'!$1:$1,0)))</f>
        <v/>
      </c>
      <c r="CE134" s="13" t="str">
        <f t="array" ref="CE134">iferror(INDEX('Import from defimon'!$1:$100,MATCH(CE$1,'Import from defimon'!$A:$A,0),MATCH($A134,'Import from defimon'!$1:$1,0)))</f>
        <v/>
      </c>
      <c r="CF134" s="13" t="str">
        <f t="array" ref="CF134">iferror(INDEX('Import from defimon'!$1:$100,MATCH(CF$1,'Import from defimon'!$A:$A,0),MATCH($A134,'Import from defimon'!$1:$1,0)))</f>
        <v/>
      </c>
      <c r="CG134" s="13" t="str">
        <f t="array" ref="CG134">iferror(INDEX('Import from defimon'!$1:$100,MATCH(CG$1,'Import from defimon'!$A:$A,0),MATCH($A134,'Import from defimon'!$1:$1,0)))</f>
        <v/>
      </c>
      <c r="CH134" s="13" t="str">
        <f t="array" ref="CH134">iferror(INDEX('Import from defimon'!$1:$100,MATCH(CH$1,'Import from defimon'!$A:$A,0),MATCH($A134,'Import from defimon'!$1:$1,0)))</f>
        <v/>
      </c>
      <c r="CI134" s="13" t="str">
        <f t="array" ref="CI134">iferror(INDEX('Import from defimon'!$1:$100,MATCH(CI$1,'Import from defimon'!$A:$A,0),MATCH($A134,'Import from defimon'!$1:$1,0)))</f>
        <v/>
      </c>
      <c r="CJ134" s="13" t="str">
        <f t="array" ref="CJ134">iferror(INDEX('Import from defimon'!$1:$100,MATCH(CJ$1,'Import from defimon'!$A:$A,0),MATCH($A134,'Import from defimon'!$1:$1,0)))</f>
        <v/>
      </c>
      <c r="CK134" s="13" t="str">
        <f t="array" ref="CK134">iferror(INDEX('Import from defimon'!$1:$100,MATCH(CK$1,'Import from defimon'!$A:$A,0),MATCH($A134,'Import from defimon'!$1:$1,0)))</f>
        <v/>
      </c>
      <c r="CL134" s="13" t="str">
        <f t="array" ref="CL134">iferror(INDEX('Import from defimon'!$1:$100,MATCH(CL$1,'Import from defimon'!$A:$A,0),MATCH($A134,'Import from defimon'!$1:$1,0)))</f>
        <v/>
      </c>
      <c r="CM134" s="13" t="str">
        <f t="array" ref="CM134">iferror(INDEX('Import from defimon'!$1:$100,MATCH(CM$1,'Import from defimon'!$A:$A,0),MATCH($A134,'Import from defimon'!$1:$1,0)))</f>
        <v/>
      </c>
      <c r="CN134" s="13" t="str">
        <f t="array" ref="CN134">iferror(INDEX('Import from defimon'!$1:$100,MATCH(CN$1,'Import from defimon'!$A:$A,0),MATCH($A134,'Import from defimon'!$1:$1,0)))</f>
        <v/>
      </c>
      <c r="CP134" s="13" t="str">
        <f t="array" ref="CP134">iferror(INDEX('Import from defimon'!$1:$100,MATCH(CP$1,'Import from defimon'!$A:$A,0),MATCH($A134,'Import from defimon'!$1:$1,0)))</f>
        <v/>
      </c>
      <c r="CQ134" s="13" t="str">
        <f t="array" ref="CQ134">iferror(INDEX('Import from defimon'!$1:$100,MATCH(CQ$1,'Import from defimon'!$A:$A,0),MATCH($A134,'Import from defimon'!$1:$1,0)))</f>
        <v/>
      </c>
      <c r="CR134" s="13" t="str">
        <f t="array" ref="CR134">iferror(INDEX('Import from defimon'!$1:$100,MATCH(CR$1,'Import from defimon'!$A:$A,0),MATCH($A134,'Import from defimon'!$1:$1,0)))</f>
        <v/>
      </c>
      <c r="CY134" s="13" t="str">
        <f t="array" ref="CY134">iferror(INDEX('Import from defimon'!$1:$100,MATCH(CY$1,'Import from defimon'!$A:$A,0),MATCH($A134,'Import from defimon'!$1:$1,0)))</f>
        <v/>
      </c>
      <c r="CZ134" s="13" t="str">
        <f t="array" ref="CZ134">iferror(INDEX('Import from defimon'!$1:$100,MATCH(CZ$1,'Import from defimon'!$A:$A,0),MATCH($A134,'Import from defimon'!$1:$1,0)))</f>
        <v/>
      </c>
      <c r="DA134" s="13" t="str">
        <f t="array" ref="DA134">iferror(INDEX('Import from defimon'!$1:$100,MATCH(DA$1,'Import from defimon'!$A:$A,0),MATCH($A134,'Import from defimon'!$1:$1,0)))</f>
        <v/>
      </c>
    </row>
    <row r="135" ht="15.75" customHeight="1">
      <c r="AS135" s="13" t="str">
        <f>iferror(VLOOKUP($A135,EAM!H$2:I$14,2,FALSE))</f>
        <v/>
      </c>
      <c r="AU135" s="19"/>
      <c r="AZ135" s="13" t="str">
        <f t="array" ref="AZ135">iferror(INDEX('Import from defimon'!$1:$100,MATCH(AZ$1,'Import from defimon'!$A:$A,0),MATCH($A135,'Import from defimon'!$1:$1,0)))</f>
        <v/>
      </c>
      <c r="BH135" s="13" t="str">
        <f t="array" ref="BH135">iferror(INDEX('Import from defimon'!$1:$100,MATCH(BH$1,'Import from defimon'!$A:$A,0),MATCH($A135,'Import from defimon'!$1:$1,0)))</f>
        <v/>
      </c>
      <c r="BJ135" s="13" t="str">
        <f t="array" ref="BJ135">iferror(INDEX('Import from defimon'!$1:$100,MATCH(BJ$1,'Import from defimon'!$A:$A,0),MATCH($A135,'Import from defimon'!$1:$1,0)))</f>
        <v/>
      </c>
      <c r="BK135" s="13" t="str">
        <f t="array" ref="BK135">iferror(INDEX('Import from defimon'!$1:$100,MATCH(BK$1,'Import from defimon'!$A:$A,0),MATCH($A135,'Import from defimon'!$1:$1,0)))</f>
        <v/>
      </c>
      <c r="BL135" s="13" t="str">
        <f t="array" ref="BL135">iferror(INDEX('Import from defimon'!$1:$100,MATCH(BL$1,'Import from defimon'!$A:$A,0),MATCH($A135,'Import from defimon'!$1:$1,0)))</f>
        <v/>
      </c>
      <c r="BN135" s="13" t="str">
        <f t="array" ref="BN135">iferror(INDEX('Import from defimon'!$1:$100,MATCH(BN$1,'Import from defimon'!$A:$A,0),MATCH($A135,'Import from defimon'!$1:$1,0)))</f>
        <v/>
      </c>
      <c r="BO135" s="13" t="str">
        <f t="array" ref="BO135">iferror(INDEX('Import from defimon'!$1:$100,MATCH(BO$1,'Import from defimon'!$A:$A,0),MATCH($A135,'Import from defimon'!$1:$1,0)))</f>
        <v/>
      </c>
      <c r="BP135" s="13" t="str">
        <f t="array" ref="BP135">iferror(INDEX('Import from defimon'!$1:$100,MATCH(BP$1,'Import from defimon'!$A:$A,0),MATCH($A135,'Import from defimon'!$1:$1,0)))</f>
        <v/>
      </c>
      <c r="BQ135" s="13" t="str">
        <f t="array" ref="BQ135">iferror(INDEX('Import from defimon'!$1:$100,MATCH(BQ$1,'Import from defimon'!$A:$A,0),MATCH($A135,'Import from defimon'!$1:$1,0)))</f>
        <v/>
      </c>
      <c r="BR135" s="13" t="str">
        <f t="array" ref="BR135">iferror(INDEX('Import from defimon'!$1:$100,MATCH(BR$1,'Import from defimon'!$A:$A,0),MATCH($A135,'Import from defimon'!$1:$1,0)))</f>
        <v/>
      </c>
      <c r="BS135" s="13" t="str">
        <f t="array" ref="BS135">iferror(INDEX('Import from defimon'!$1:$100,MATCH(BS$1,'Import from defimon'!$A:$A,0),MATCH($A135,'Import from defimon'!$1:$1,0)))</f>
        <v/>
      </c>
      <c r="BT135" s="13" t="str">
        <f t="array" ref="BT135">iferror(INDEX('Import from defimon'!$1:$100,MATCH(BT$1,'Import from defimon'!$A:$A,0),MATCH($A135,'Import from defimon'!$1:$1,0)))</f>
        <v/>
      </c>
      <c r="BV135" s="13" t="str">
        <f t="array" ref="BV135">iferror(INDEX('Import from defimon'!$1:$100,MATCH(BV$1,'Import from defimon'!$A:$A,0),MATCH($A135,'Import from defimon'!$1:$1,0)))</f>
        <v/>
      </c>
      <c r="BW135" s="13" t="str">
        <f t="array" ref="BW135">iferror(INDEX('Import from defimon'!$1:$100,MATCH(BW$1,'Import from defimon'!$A:$A,0),MATCH($A135,'Import from defimon'!$1:$1,0)))</f>
        <v/>
      </c>
      <c r="BX135" s="13" t="str">
        <f t="array" ref="BX135">iferror(INDEX('Import from defimon'!$1:$100,MATCH(BX$1,'Import from defimon'!$A:$A,0),MATCH($A135,'Import from defimon'!$1:$1,0)))</f>
        <v/>
      </c>
      <c r="CA135" s="13" t="str">
        <f t="array" ref="CA135">iferror(INDEX('Import from defimon'!$1:$100,MATCH(CA$1,'Import from defimon'!$A:$A,0),MATCH($A135,'Import from defimon'!$1:$1,0)))</f>
        <v/>
      </c>
      <c r="CB135" s="13" t="str">
        <f t="array" ref="CB135">iferror(INDEX('Import from defimon'!$1:$100,MATCH(CB$1,'Import from defimon'!$A:$A,0),MATCH($A135,'Import from defimon'!$1:$1,0)))</f>
        <v/>
      </c>
      <c r="CC135" s="13" t="str">
        <f t="array" ref="CC135">iferror(INDEX('Import from defimon'!$1:$100,MATCH(CC$1,'Import from defimon'!$A:$A,0),MATCH($A135,'Import from defimon'!$1:$1,0)))</f>
        <v/>
      </c>
      <c r="CD135" s="13" t="str">
        <f t="array" ref="CD135">iferror(INDEX('Import from defimon'!$1:$100,MATCH(CD$1,'Import from defimon'!$A:$A,0),MATCH($A135,'Import from defimon'!$1:$1,0)))</f>
        <v/>
      </c>
      <c r="CE135" s="13" t="str">
        <f t="array" ref="CE135">iferror(INDEX('Import from defimon'!$1:$100,MATCH(CE$1,'Import from defimon'!$A:$A,0),MATCH($A135,'Import from defimon'!$1:$1,0)))</f>
        <v/>
      </c>
      <c r="CF135" s="13" t="str">
        <f t="array" ref="CF135">iferror(INDEX('Import from defimon'!$1:$100,MATCH(CF$1,'Import from defimon'!$A:$A,0),MATCH($A135,'Import from defimon'!$1:$1,0)))</f>
        <v/>
      </c>
      <c r="CG135" s="13" t="str">
        <f t="array" ref="CG135">iferror(INDEX('Import from defimon'!$1:$100,MATCH(CG$1,'Import from defimon'!$A:$A,0),MATCH($A135,'Import from defimon'!$1:$1,0)))</f>
        <v/>
      </c>
      <c r="CH135" s="13" t="str">
        <f t="array" ref="CH135">iferror(INDEX('Import from defimon'!$1:$100,MATCH(CH$1,'Import from defimon'!$A:$A,0),MATCH($A135,'Import from defimon'!$1:$1,0)))</f>
        <v/>
      </c>
      <c r="CI135" s="13" t="str">
        <f t="array" ref="CI135">iferror(INDEX('Import from defimon'!$1:$100,MATCH(CI$1,'Import from defimon'!$A:$A,0),MATCH($A135,'Import from defimon'!$1:$1,0)))</f>
        <v/>
      </c>
      <c r="CJ135" s="13" t="str">
        <f t="array" ref="CJ135">iferror(INDEX('Import from defimon'!$1:$100,MATCH(CJ$1,'Import from defimon'!$A:$A,0),MATCH($A135,'Import from defimon'!$1:$1,0)))</f>
        <v/>
      </c>
      <c r="CK135" s="13" t="str">
        <f t="array" ref="CK135">iferror(INDEX('Import from defimon'!$1:$100,MATCH(CK$1,'Import from defimon'!$A:$A,0),MATCH($A135,'Import from defimon'!$1:$1,0)))</f>
        <v/>
      </c>
      <c r="CL135" s="13" t="str">
        <f t="array" ref="CL135">iferror(INDEX('Import from defimon'!$1:$100,MATCH(CL$1,'Import from defimon'!$A:$A,0),MATCH($A135,'Import from defimon'!$1:$1,0)))</f>
        <v/>
      </c>
      <c r="CM135" s="13" t="str">
        <f t="array" ref="CM135">iferror(INDEX('Import from defimon'!$1:$100,MATCH(CM$1,'Import from defimon'!$A:$A,0),MATCH($A135,'Import from defimon'!$1:$1,0)))</f>
        <v/>
      </c>
      <c r="CN135" s="13" t="str">
        <f t="array" ref="CN135">iferror(INDEX('Import from defimon'!$1:$100,MATCH(CN$1,'Import from defimon'!$A:$A,0),MATCH($A135,'Import from defimon'!$1:$1,0)))</f>
        <v/>
      </c>
      <c r="CP135" s="13" t="str">
        <f t="array" ref="CP135">iferror(INDEX('Import from defimon'!$1:$100,MATCH(CP$1,'Import from defimon'!$A:$A,0),MATCH($A135,'Import from defimon'!$1:$1,0)))</f>
        <v/>
      </c>
      <c r="CQ135" s="13" t="str">
        <f t="array" ref="CQ135">iferror(INDEX('Import from defimon'!$1:$100,MATCH(CQ$1,'Import from defimon'!$A:$A,0),MATCH($A135,'Import from defimon'!$1:$1,0)))</f>
        <v/>
      </c>
      <c r="CR135" s="13" t="str">
        <f t="array" ref="CR135">iferror(INDEX('Import from defimon'!$1:$100,MATCH(CR$1,'Import from defimon'!$A:$A,0),MATCH($A135,'Import from defimon'!$1:$1,0)))</f>
        <v/>
      </c>
      <c r="CY135" s="13" t="str">
        <f t="array" ref="CY135">iferror(INDEX('Import from defimon'!$1:$100,MATCH(CY$1,'Import from defimon'!$A:$A,0),MATCH($A135,'Import from defimon'!$1:$1,0)))</f>
        <v/>
      </c>
      <c r="CZ135" s="13" t="str">
        <f t="array" ref="CZ135">iferror(INDEX('Import from defimon'!$1:$100,MATCH(CZ$1,'Import from defimon'!$A:$A,0),MATCH($A135,'Import from defimon'!$1:$1,0)))</f>
        <v/>
      </c>
      <c r="DA135" s="13" t="str">
        <f t="array" ref="DA135">iferror(INDEX('Import from defimon'!$1:$100,MATCH(DA$1,'Import from defimon'!$A:$A,0),MATCH($A135,'Import from defimon'!$1:$1,0)))</f>
        <v/>
      </c>
    </row>
    <row r="136" ht="15.75" customHeight="1">
      <c r="AS136" s="13" t="str">
        <f>iferror(VLOOKUP($A136,EAM!H$2:I$14,2,FALSE))</f>
        <v/>
      </c>
      <c r="AU136" s="19"/>
      <c r="AZ136" s="13" t="str">
        <f t="array" ref="AZ136">iferror(INDEX('Import from defimon'!$1:$100,MATCH(AZ$1,'Import from defimon'!$A:$A,0),MATCH($A136,'Import from defimon'!$1:$1,0)))</f>
        <v/>
      </c>
      <c r="BH136" s="13" t="str">
        <f t="array" ref="BH136">iferror(INDEX('Import from defimon'!$1:$100,MATCH(BH$1,'Import from defimon'!$A:$A,0),MATCH($A136,'Import from defimon'!$1:$1,0)))</f>
        <v/>
      </c>
      <c r="BJ136" s="13" t="str">
        <f t="array" ref="BJ136">iferror(INDEX('Import from defimon'!$1:$100,MATCH(BJ$1,'Import from defimon'!$A:$A,0),MATCH($A136,'Import from defimon'!$1:$1,0)))</f>
        <v/>
      </c>
      <c r="BK136" s="13" t="str">
        <f t="array" ref="BK136">iferror(INDEX('Import from defimon'!$1:$100,MATCH(BK$1,'Import from defimon'!$A:$A,0),MATCH($A136,'Import from defimon'!$1:$1,0)))</f>
        <v/>
      </c>
      <c r="BL136" s="13" t="str">
        <f t="array" ref="BL136">iferror(INDEX('Import from defimon'!$1:$100,MATCH(BL$1,'Import from defimon'!$A:$A,0),MATCH($A136,'Import from defimon'!$1:$1,0)))</f>
        <v/>
      </c>
      <c r="BN136" s="13" t="str">
        <f t="array" ref="BN136">iferror(INDEX('Import from defimon'!$1:$100,MATCH(BN$1,'Import from defimon'!$A:$A,0),MATCH($A136,'Import from defimon'!$1:$1,0)))</f>
        <v/>
      </c>
      <c r="BO136" s="13" t="str">
        <f t="array" ref="BO136">iferror(INDEX('Import from defimon'!$1:$100,MATCH(BO$1,'Import from defimon'!$A:$A,0),MATCH($A136,'Import from defimon'!$1:$1,0)))</f>
        <v/>
      </c>
      <c r="BP136" s="13" t="str">
        <f t="array" ref="BP136">iferror(INDEX('Import from defimon'!$1:$100,MATCH(BP$1,'Import from defimon'!$A:$A,0),MATCH($A136,'Import from defimon'!$1:$1,0)))</f>
        <v/>
      </c>
      <c r="BQ136" s="13" t="str">
        <f t="array" ref="BQ136">iferror(INDEX('Import from defimon'!$1:$100,MATCH(BQ$1,'Import from defimon'!$A:$A,0),MATCH($A136,'Import from defimon'!$1:$1,0)))</f>
        <v/>
      </c>
      <c r="BR136" s="13" t="str">
        <f t="array" ref="BR136">iferror(INDEX('Import from defimon'!$1:$100,MATCH(BR$1,'Import from defimon'!$A:$A,0),MATCH($A136,'Import from defimon'!$1:$1,0)))</f>
        <v/>
      </c>
      <c r="BS136" s="13" t="str">
        <f t="array" ref="BS136">iferror(INDEX('Import from defimon'!$1:$100,MATCH(BS$1,'Import from defimon'!$A:$A,0),MATCH($A136,'Import from defimon'!$1:$1,0)))</f>
        <v/>
      </c>
      <c r="BT136" s="13" t="str">
        <f t="array" ref="BT136">iferror(INDEX('Import from defimon'!$1:$100,MATCH(BT$1,'Import from defimon'!$A:$A,0),MATCH($A136,'Import from defimon'!$1:$1,0)))</f>
        <v/>
      </c>
      <c r="BV136" s="13" t="str">
        <f t="array" ref="BV136">iferror(INDEX('Import from defimon'!$1:$100,MATCH(BV$1,'Import from defimon'!$A:$A,0),MATCH($A136,'Import from defimon'!$1:$1,0)))</f>
        <v/>
      </c>
      <c r="BW136" s="13" t="str">
        <f t="array" ref="BW136">iferror(INDEX('Import from defimon'!$1:$100,MATCH(BW$1,'Import from defimon'!$A:$A,0),MATCH($A136,'Import from defimon'!$1:$1,0)))</f>
        <v/>
      </c>
      <c r="BX136" s="13" t="str">
        <f t="array" ref="BX136">iferror(INDEX('Import from defimon'!$1:$100,MATCH(BX$1,'Import from defimon'!$A:$A,0),MATCH($A136,'Import from defimon'!$1:$1,0)))</f>
        <v/>
      </c>
      <c r="CA136" s="13" t="str">
        <f t="array" ref="CA136">iferror(INDEX('Import from defimon'!$1:$100,MATCH(CA$1,'Import from defimon'!$A:$A,0),MATCH($A136,'Import from defimon'!$1:$1,0)))</f>
        <v/>
      </c>
      <c r="CB136" s="13" t="str">
        <f t="array" ref="CB136">iferror(INDEX('Import from defimon'!$1:$100,MATCH(CB$1,'Import from defimon'!$A:$A,0),MATCH($A136,'Import from defimon'!$1:$1,0)))</f>
        <v/>
      </c>
      <c r="CC136" s="13" t="str">
        <f t="array" ref="CC136">iferror(INDEX('Import from defimon'!$1:$100,MATCH(CC$1,'Import from defimon'!$A:$A,0),MATCH($A136,'Import from defimon'!$1:$1,0)))</f>
        <v/>
      </c>
      <c r="CD136" s="13" t="str">
        <f t="array" ref="CD136">iferror(INDEX('Import from defimon'!$1:$100,MATCH(CD$1,'Import from defimon'!$A:$A,0),MATCH($A136,'Import from defimon'!$1:$1,0)))</f>
        <v/>
      </c>
      <c r="CE136" s="13" t="str">
        <f t="array" ref="CE136">iferror(INDEX('Import from defimon'!$1:$100,MATCH(CE$1,'Import from defimon'!$A:$A,0),MATCH($A136,'Import from defimon'!$1:$1,0)))</f>
        <v/>
      </c>
      <c r="CF136" s="13" t="str">
        <f t="array" ref="CF136">iferror(INDEX('Import from defimon'!$1:$100,MATCH(CF$1,'Import from defimon'!$A:$A,0),MATCH($A136,'Import from defimon'!$1:$1,0)))</f>
        <v/>
      </c>
      <c r="CG136" s="13" t="str">
        <f t="array" ref="CG136">iferror(INDEX('Import from defimon'!$1:$100,MATCH(CG$1,'Import from defimon'!$A:$A,0),MATCH($A136,'Import from defimon'!$1:$1,0)))</f>
        <v/>
      </c>
      <c r="CH136" s="13" t="str">
        <f t="array" ref="CH136">iferror(INDEX('Import from defimon'!$1:$100,MATCH(CH$1,'Import from defimon'!$A:$A,0),MATCH($A136,'Import from defimon'!$1:$1,0)))</f>
        <v/>
      </c>
      <c r="CI136" s="13" t="str">
        <f t="array" ref="CI136">iferror(INDEX('Import from defimon'!$1:$100,MATCH(CI$1,'Import from defimon'!$A:$A,0),MATCH($A136,'Import from defimon'!$1:$1,0)))</f>
        <v/>
      </c>
      <c r="CJ136" s="13" t="str">
        <f t="array" ref="CJ136">iferror(INDEX('Import from defimon'!$1:$100,MATCH(CJ$1,'Import from defimon'!$A:$A,0),MATCH($A136,'Import from defimon'!$1:$1,0)))</f>
        <v/>
      </c>
      <c r="CK136" s="13" t="str">
        <f t="array" ref="CK136">iferror(INDEX('Import from defimon'!$1:$100,MATCH(CK$1,'Import from defimon'!$A:$A,0),MATCH($A136,'Import from defimon'!$1:$1,0)))</f>
        <v/>
      </c>
      <c r="CL136" s="13" t="str">
        <f t="array" ref="CL136">iferror(INDEX('Import from defimon'!$1:$100,MATCH(CL$1,'Import from defimon'!$A:$A,0),MATCH($A136,'Import from defimon'!$1:$1,0)))</f>
        <v/>
      </c>
      <c r="CM136" s="13" t="str">
        <f t="array" ref="CM136">iferror(INDEX('Import from defimon'!$1:$100,MATCH(CM$1,'Import from defimon'!$A:$A,0),MATCH($A136,'Import from defimon'!$1:$1,0)))</f>
        <v/>
      </c>
      <c r="CN136" s="13" t="str">
        <f t="array" ref="CN136">iferror(INDEX('Import from defimon'!$1:$100,MATCH(CN$1,'Import from defimon'!$A:$A,0),MATCH($A136,'Import from defimon'!$1:$1,0)))</f>
        <v/>
      </c>
      <c r="CP136" s="13" t="str">
        <f t="array" ref="CP136">iferror(INDEX('Import from defimon'!$1:$100,MATCH(CP$1,'Import from defimon'!$A:$A,0),MATCH($A136,'Import from defimon'!$1:$1,0)))</f>
        <v/>
      </c>
      <c r="CQ136" s="13" t="str">
        <f t="array" ref="CQ136">iferror(INDEX('Import from defimon'!$1:$100,MATCH(CQ$1,'Import from defimon'!$A:$A,0),MATCH($A136,'Import from defimon'!$1:$1,0)))</f>
        <v/>
      </c>
      <c r="CR136" s="13" t="str">
        <f t="array" ref="CR136">iferror(INDEX('Import from defimon'!$1:$100,MATCH(CR$1,'Import from defimon'!$A:$A,0),MATCH($A136,'Import from defimon'!$1:$1,0)))</f>
        <v/>
      </c>
      <c r="CY136" s="13" t="str">
        <f t="array" ref="CY136">iferror(INDEX('Import from defimon'!$1:$100,MATCH(CY$1,'Import from defimon'!$A:$A,0),MATCH($A136,'Import from defimon'!$1:$1,0)))</f>
        <v/>
      </c>
      <c r="CZ136" s="13" t="str">
        <f t="array" ref="CZ136">iferror(INDEX('Import from defimon'!$1:$100,MATCH(CZ$1,'Import from defimon'!$A:$A,0),MATCH($A136,'Import from defimon'!$1:$1,0)))</f>
        <v/>
      </c>
      <c r="DA136" s="13" t="str">
        <f t="array" ref="DA136">iferror(INDEX('Import from defimon'!$1:$100,MATCH(DA$1,'Import from defimon'!$A:$A,0),MATCH($A136,'Import from defimon'!$1:$1,0)))</f>
        <v/>
      </c>
    </row>
    <row r="137" ht="15.75" customHeight="1">
      <c r="AS137" s="13" t="str">
        <f>iferror(VLOOKUP($A137,EAM!H$2:I$14,2,FALSE))</f>
        <v/>
      </c>
      <c r="AU137" s="19"/>
      <c r="AZ137" s="13" t="str">
        <f t="array" ref="AZ137">iferror(INDEX('Import from defimon'!$1:$100,MATCH(AZ$1,'Import from defimon'!$A:$A,0),MATCH($A137,'Import from defimon'!$1:$1,0)))</f>
        <v/>
      </c>
      <c r="BH137" s="13" t="str">
        <f t="array" ref="BH137">iferror(INDEX('Import from defimon'!$1:$100,MATCH(BH$1,'Import from defimon'!$A:$A,0),MATCH($A137,'Import from defimon'!$1:$1,0)))</f>
        <v/>
      </c>
      <c r="BJ137" s="13" t="str">
        <f t="array" ref="BJ137">iferror(INDEX('Import from defimon'!$1:$100,MATCH(BJ$1,'Import from defimon'!$A:$A,0),MATCH($A137,'Import from defimon'!$1:$1,0)))</f>
        <v/>
      </c>
      <c r="BK137" s="13" t="str">
        <f t="array" ref="BK137">iferror(INDEX('Import from defimon'!$1:$100,MATCH(BK$1,'Import from defimon'!$A:$A,0),MATCH($A137,'Import from defimon'!$1:$1,0)))</f>
        <v/>
      </c>
      <c r="BL137" s="13" t="str">
        <f t="array" ref="BL137">iferror(INDEX('Import from defimon'!$1:$100,MATCH(BL$1,'Import from defimon'!$A:$A,0),MATCH($A137,'Import from defimon'!$1:$1,0)))</f>
        <v/>
      </c>
      <c r="BN137" s="13" t="str">
        <f t="array" ref="BN137">iferror(INDEX('Import from defimon'!$1:$100,MATCH(BN$1,'Import from defimon'!$A:$A,0),MATCH($A137,'Import from defimon'!$1:$1,0)))</f>
        <v/>
      </c>
      <c r="BO137" s="13" t="str">
        <f t="array" ref="BO137">iferror(INDEX('Import from defimon'!$1:$100,MATCH(BO$1,'Import from defimon'!$A:$A,0),MATCH($A137,'Import from defimon'!$1:$1,0)))</f>
        <v/>
      </c>
      <c r="BP137" s="13" t="str">
        <f t="array" ref="BP137">iferror(INDEX('Import from defimon'!$1:$100,MATCH(BP$1,'Import from defimon'!$A:$A,0),MATCH($A137,'Import from defimon'!$1:$1,0)))</f>
        <v/>
      </c>
      <c r="BQ137" s="13" t="str">
        <f t="array" ref="BQ137">iferror(INDEX('Import from defimon'!$1:$100,MATCH(BQ$1,'Import from defimon'!$A:$A,0),MATCH($A137,'Import from defimon'!$1:$1,0)))</f>
        <v/>
      </c>
      <c r="BR137" s="13" t="str">
        <f t="array" ref="BR137">iferror(INDEX('Import from defimon'!$1:$100,MATCH(BR$1,'Import from defimon'!$A:$A,0),MATCH($A137,'Import from defimon'!$1:$1,0)))</f>
        <v/>
      </c>
      <c r="BS137" s="13" t="str">
        <f t="array" ref="BS137">iferror(INDEX('Import from defimon'!$1:$100,MATCH(BS$1,'Import from defimon'!$A:$A,0),MATCH($A137,'Import from defimon'!$1:$1,0)))</f>
        <v/>
      </c>
      <c r="BT137" s="13" t="str">
        <f t="array" ref="BT137">iferror(INDEX('Import from defimon'!$1:$100,MATCH(BT$1,'Import from defimon'!$A:$A,0),MATCH($A137,'Import from defimon'!$1:$1,0)))</f>
        <v/>
      </c>
      <c r="BV137" s="13" t="str">
        <f t="array" ref="BV137">iferror(INDEX('Import from defimon'!$1:$100,MATCH(BV$1,'Import from defimon'!$A:$A,0),MATCH($A137,'Import from defimon'!$1:$1,0)))</f>
        <v/>
      </c>
      <c r="BW137" s="13" t="str">
        <f t="array" ref="BW137">iferror(INDEX('Import from defimon'!$1:$100,MATCH(BW$1,'Import from defimon'!$A:$A,0),MATCH($A137,'Import from defimon'!$1:$1,0)))</f>
        <v/>
      </c>
      <c r="BX137" s="13" t="str">
        <f t="array" ref="BX137">iferror(INDEX('Import from defimon'!$1:$100,MATCH(BX$1,'Import from defimon'!$A:$A,0),MATCH($A137,'Import from defimon'!$1:$1,0)))</f>
        <v/>
      </c>
      <c r="CA137" s="13" t="str">
        <f t="array" ref="CA137">iferror(INDEX('Import from defimon'!$1:$100,MATCH(CA$1,'Import from defimon'!$A:$A,0),MATCH($A137,'Import from defimon'!$1:$1,0)))</f>
        <v/>
      </c>
      <c r="CB137" s="13" t="str">
        <f t="array" ref="CB137">iferror(INDEX('Import from defimon'!$1:$100,MATCH(CB$1,'Import from defimon'!$A:$A,0),MATCH($A137,'Import from defimon'!$1:$1,0)))</f>
        <v/>
      </c>
      <c r="CC137" s="13" t="str">
        <f t="array" ref="CC137">iferror(INDEX('Import from defimon'!$1:$100,MATCH(CC$1,'Import from defimon'!$A:$A,0),MATCH($A137,'Import from defimon'!$1:$1,0)))</f>
        <v/>
      </c>
      <c r="CD137" s="13" t="str">
        <f t="array" ref="CD137">iferror(INDEX('Import from defimon'!$1:$100,MATCH(CD$1,'Import from defimon'!$A:$A,0),MATCH($A137,'Import from defimon'!$1:$1,0)))</f>
        <v/>
      </c>
      <c r="CE137" s="13" t="str">
        <f t="array" ref="CE137">iferror(INDEX('Import from defimon'!$1:$100,MATCH(CE$1,'Import from defimon'!$A:$A,0),MATCH($A137,'Import from defimon'!$1:$1,0)))</f>
        <v/>
      </c>
      <c r="CF137" s="13" t="str">
        <f t="array" ref="CF137">iferror(INDEX('Import from defimon'!$1:$100,MATCH(CF$1,'Import from defimon'!$A:$A,0),MATCH($A137,'Import from defimon'!$1:$1,0)))</f>
        <v/>
      </c>
      <c r="CG137" s="13" t="str">
        <f t="array" ref="CG137">iferror(INDEX('Import from defimon'!$1:$100,MATCH(CG$1,'Import from defimon'!$A:$A,0),MATCH($A137,'Import from defimon'!$1:$1,0)))</f>
        <v/>
      </c>
      <c r="CH137" s="13" t="str">
        <f t="array" ref="CH137">iferror(INDEX('Import from defimon'!$1:$100,MATCH(CH$1,'Import from defimon'!$A:$A,0),MATCH($A137,'Import from defimon'!$1:$1,0)))</f>
        <v/>
      </c>
      <c r="CI137" s="13" t="str">
        <f t="array" ref="CI137">iferror(INDEX('Import from defimon'!$1:$100,MATCH(CI$1,'Import from defimon'!$A:$A,0),MATCH($A137,'Import from defimon'!$1:$1,0)))</f>
        <v/>
      </c>
      <c r="CJ137" s="13" t="str">
        <f t="array" ref="CJ137">iferror(INDEX('Import from defimon'!$1:$100,MATCH(CJ$1,'Import from defimon'!$A:$A,0),MATCH($A137,'Import from defimon'!$1:$1,0)))</f>
        <v/>
      </c>
      <c r="CK137" s="13" t="str">
        <f t="array" ref="CK137">iferror(INDEX('Import from defimon'!$1:$100,MATCH(CK$1,'Import from defimon'!$A:$A,0),MATCH($A137,'Import from defimon'!$1:$1,0)))</f>
        <v/>
      </c>
      <c r="CL137" s="13" t="str">
        <f t="array" ref="CL137">iferror(INDEX('Import from defimon'!$1:$100,MATCH(CL$1,'Import from defimon'!$A:$A,0),MATCH($A137,'Import from defimon'!$1:$1,0)))</f>
        <v/>
      </c>
      <c r="CM137" s="13" t="str">
        <f t="array" ref="CM137">iferror(INDEX('Import from defimon'!$1:$100,MATCH(CM$1,'Import from defimon'!$A:$A,0),MATCH($A137,'Import from defimon'!$1:$1,0)))</f>
        <v/>
      </c>
      <c r="CN137" s="13" t="str">
        <f t="array" ref="CN137">iferror(INDEX('Import from defimon'!$1:$100,MATCH(CN$1,'Import from defimon'!$A:$A,0),MATCH($A137,'Import from defimon'!$1:$1,0)))</f>
        <v/>
      </c>
      <c r="CP137" s="13" t="str">
        <f t="array" ref="CP137">iferror(INDEX('Import from defimon'!$1:$100,MATCH(CP$1,'Import from defimon'!$A:$A,0),MATCH($A137,'Import from defimon'!$1:$1,0)))</f>
        <v/>
      </c>
      <c r="CQ137" s="13" t="str">
        <f t="array" ref="CQ137">iferror(INDEX('Import from defimon'!$1:$100,MATCH(CQ$1,'Import from defimon'!$A:$A,0),MATCH($A137,'Import from defimon'!$1:$1,0)))</f>
        <v/>
      </c>
      <c r="CR137" s="13" t="str">
        <f t="array" ref="CR137">iferror(INDEX('Import from defimon'!$1:$100,MATCH(CR$1,'Import from defimon'!$A:$A,0),MATCH($A137,'Import from defimon'!$1:$1,0)))</f>
        <v/>
      </c>
      <c r="CY137" s="13" t="str">
        <f t="array" ref="CY137">iferror(INDEX('Import from defimon'!$1:$100,MATCH(CY$1,'Import from defimon'!$A:$A,0),MATCH($A137,'Import from defimon'!$1:$1,0)))</f>
        <v/>
      </c>
      <c r="CZ137" s="13" t="str">
        <f t="array" ref="CZ137">iferror(INDEX('Import from defimon'!$1:$100,MATCH(CZ$1,'Import from defimon'!$A:$A,0),MATCH($A137,'Import from defimon'!$1:$1,0)))</f>
        <v/>
      </c>
      <c r="DA137" s="13" t="str">
        <f t="array" ref="DA137">iferror(INDEX('Import from defimon'!$1:$100,MATCH(DA$1,'Import from defimon'!$A:$A,0),MATCH($A137,'Import from defimon'!$1:$1,0)))</f>
        <v/>
      </c>
    </row>
    <row r="138" ht="15.75" customHeight="1">
      <c r="AS138" s="13" t="str">
        <f>iferror(VLOOKUP($A138,EAM!H$2:I$14,2))</f>
        <v/>
      </c>
      <c r="AU138" s="19"/>
      <c r="AZ138" s="13" t="str">
        <f t="array" ref="AZ138">iferror(INDEX('Import from defimon'!$1:$100,MATCH(AZ$1,'Import from defimon'!$A:$A,0),MATCH($A138,'Import from defimon'!$1:$1,0)))</f>
        <v/>
      </c>
      <c r="BH138" s="13" t="str">
        <f t="array" ref="BH138">iferror(INDEX('Import from defimon'!$1:$100,MATCH(BH$1,'Import from defimon'!$A:$A,0),MATCH($A138,'Import from defimon'!$1:$1,0)))</f>
        <v/>
      </c>
      <c r="BJ138" s="13" t="str">
        <f t="array" ref="BJ138">iferror(INDEX('Import from defimon'!$1:$100,MATCH(BJ$1,'Import from defimon'!$A:$A,0),MATCH($A138,'Import from defimon'!$1:$1,0)))</f>
        <v/>
      </c>
      <c r="BK138" s="13" t="str">
        <f t="array" ref="BK138">iferror(INDEX('Import from defimon'!$1:$100,MATCH(BK$1,'Import from defimon'!$A:$A,0),MATCH($A138,'Import from defimon'!$1:$1,0)))</f>
        <v/>
      </c>
      <c r="BL138" s="13" t="str">
        <f t="array" ref="BL138">iferror(INDEX('Import from defimon'!$1:$100,MATCH(BL$1,'Import from defimon'!$A:$A,0),MATCH($A138,'Import from defimon'!$1:$1,0)))</f>
        <v/>
      </c>
      <c r="BN138" s="13" t="str">
        <f t="array" ref="BN138">iferror(INDEX('Import from defimon'!$1:$100,MATCH(BN$1,'Import from defimon'!$A:$A,0),MATCH($A138,'Import from defimon'!$1:$1,0)))</f>
        <v/>
      </c>
      <c r="BO138" s="13" t="str">
        <f t="array" ref="BO138">iferror(INDEX('Import from defimon'!$1:$100,MATCH(BO$1,'Import from defimon'!$A:$A,0),MATCH($A138,'Import from defimon'!$1:$1,0)))</f>
        <v/>
      </c>
      <c r="BP138" s="13" t="str">
        <f t="array" ref="BP138">iferror(INDEX('Import from defimon'!$1:$100,MATCH(BP$1,'Import from defimon'!$A:$A,0),MATCH($A138,'Import from defimon'!$1:$1,0)))</f>
        <v/>
      </c>
      <c r="BQ138" s="13" t="str">
        <f t="array" ref="BQ138">iferror(INDEX('Import from defimon'!$1:$100,MATCH(BQ$1,'Import from defimon'!$A:$A,0),MATCH($A138,'Import from defimon'!$1:$1,0)))</f>
        <v/>
      </c>
      <c r="BR138" s="13" t="str">
        <f t="array" ref="BR138">iferror(INDEX('Import from defimon'!$1:$100,MATCH(BR$1,'Import from defimon'!$A:$A,0),MATCH($A138,'Import from defimon'!$1:$1,0)))</f>
        <v/>
      </c>
      <c r="BS138" s="13" t="str">
        <f t="array" ref="BS138">iferror(INDEX('Import from defimon'!$1:$100,MATCH(BS$1,'Import from defimon'!$A:$A,0),MATCH($A138,'Import from defimon'!$1:$1,0)))</f>
        <v/>
      </c>
      <c r="BT138" s="13" t="str">
        <f t="array" ref="BT138">iferror(INDEX('Import from defimon'!$1:$100,MATCH(BT$1,'Import from defimon'!$A:$A,0),MATCH($A138,'Import from defimon'!$1:$1,0)))</f>
        <v/>
      </c>
      <c r="BV138" s="13" t="str">
        <f t="array" ref="BV138">iferror(INDEX('Import from defimon'!$1:$100,MATCH(BV$1,'Import from defimon'!$A:$A,0),MATCH($A138,'Import from defimon'!$1:$1,0)))</f>
        <v/>
      </c>
      <c r="BW138" s="13" t="str">
        <f t="array" ref="BW138">iferror(INDEX('Import from defimon'!$1:$100,MATCH(BW$1,'Import from defimon'!$A:$A,0),MATCH($A138,'Import from defimon'!$1:$1,0)))</f>
        <v/>
      </c>
      <c r="BX138" s="13" t="str">
        <f t="array" ref="BX138">iferror(INDEX('Import from defimon'!$1:$100,MATCH(BX$1,'Import from defimon'!$A:$A,0),MATCH($A138,'Import from defimon'!$1:$1,0)))</f>
        <v/>
      </c>
      <c r="CA138" s="13" t="str">
        <f t="array" ref="CA138">iferror(INDEX('Import from defimon'!$1:$100,MATCH(CA$1,'Import from defimon'!$A:$A,0),MATCH($A138,'Import from defimon'!$1:$1,0)))</f>
        <v/>
      </c>
      <c r="CB138" s="13" t="str">
        <f t="array" ref="CB138">iferror(INDEX('Import from defimon'!$1:$100,MATCH(CB$1,'Import from defimon'!$A:$A,0),MATCH($A138,'Import from defimon'!$1:$1,0)))</f>
        <v/>
      </c>
      <c r="CC138" s="13" t="str">
        <f t="array" ref="CC138">iferror(INDEX('Import from defimon'!$1:$100,MATCH(CC$1,'Import from defimon'!$A:$A,0),MATCH($A138,'Import from defimon'!$1:$1,0)))</f>
        <v/>
      </c>
      <c r="CD138" s="13" t="str">
        <f t="array" ref="CD138">iferror(INDEX('Import from defimon'!$1:$100,MATCH(CD$1,'Import from defimon'!$A:$A,0),MATCH($A138,'Import from defimon'!$1:$1,0)))</f>
        <v/>
      </c>
      <c r="CE138" s="13" t="str">
        <f t="array" ref="CE138">iferror(INDEX('Import from defimon'!$1:$100,MATCH(CE$1,'Import from defimon'!$A:$A,0),MATCH($A138,'Import from defimon'!$1:$1,0)))</f>
        <v/>
      </c>
      <c r="CF138" s="13" t="str">
        <f t="array" ref="CF138">iferror(INDEX('Import from defimon'!$1:$100,MATCH(CF$1,'Import from defimon'!$A:$A,0),MATCH($A138,'Import from defimon'!$1:$1,0)))</f>
        <v/>
      </c>
      <c r="CG138" s="13" t="str">
        <f t="array" ref="CG138">iferror(INDEX('Import from defimon'!$1:$100,MATCH(CG$1,'Import from defimon'!$A:$A,0),MATCH($A138,'Import from defimon'!$1:$1,0)))</f>
        <v/>
      </c>
      <c r="CH138" s="13" t="str">
        <f t="array" ref="CH138">iferror(INDEX('Import from defimon'!$1:$100,MATCH(CH$1,'Import from defimon'!$A:$A,0),MATCH($A138,'Import from defimon'!$1:$1,0)))</f>
        <v/>
      </c>
      <c r="CI138" s="13" t="str">
        <f t="array" ref="CI138">iferror(INDEX('Import from defimon'!$1:$100,MATCH(CI$1,'Import from defimon'!$A:$A,0),MATCH($A138,'Import from defimon'!$1:$1,0)))</f>
        <v/>
      </c>
      <c r="CJ138" s="13" t="str">
        <f t="array" ref="CJ138">iferror(INDEX('Import from defimon'!$1:$100,MATCH(CJ$1,'Import from defimon'!$A:$A,0),MATCH($A138,'Import from defimon'!$1:$1,0)))</f>
        <v/>
      </c>
      <c r="CK138" s="13" t="str">
        <f t="array" ref="CK138">iferror(INDEX('Import from defimon'!$1:$100,MATCH(CK$1,'Import from defimon'!$A:$A,0),MATCH($A138,'Import from defimon'!$1:$1,0)))</f>
        <v/>
      </c>
      <c r="CL138" s="13" t="str">
        <f t="array" ref="CL138">iferror(INDEX('Import from defimon'!$1:$100,MATCH(CL$1,'Import from defimon'!$A:$A,0),MATCH($A138,'Import from defimon'!$1:$1,0)))</f>
        <v/>
      </c>
      <c r="CM138" s="13" t="str">
        <f t="array" ref="CM138">iferror(INDEX('Import from defimon'!$1:$100,MATCH(CM$1,'Import from defimon'!$A:$A,0),MATCH($A138,'Import from defimon'!$1:$1,0)))</f>
        <v/>
      </c>
      <c r="CN138" s="13" t="str">
        <f t="array" ref="CN138">iferror(INDEX('Import from defimon'!$1:$100,MATCH(CN$1,'Import from defimon'!$A:$A,0),MATCH($A138,'Import from defimon'!$1:$1,0)))</f>
        <v/>
      </c>
      <c r="CP138" s="13" t="str">
        <f t="array" ref="CP138">iferror(INDEX('Import from defimon'!$1:$100,MATCH(CP$1,'Import from defimon'!$A:$A,0),MATCH($A138,'Import from defimon'!$1:$1,0)))</f>
        <v/>
      </c>
      <c r="CQ138" s="13" t="str">
        <f t="array" ref="CQ138">iferror(INDEX('Import from defimon'!$1:$100,MATCH(CQ$1,'Import from defimon'!$A:$A,0),MATCH($A138,'Import from defimon'!$1:$1,0)))</f>
        <v/>
      </c>
      <c r="CR138" s="13" t="str">
        <f t="array" ref="CR138">iferror(INDEX('Import from defimon'!$1:$100,MATCH(CR$1,'Import from defimon'!$A:$A,0),MATCH($A138,'Import from defimon'!$1:$1,0)))</f>
        <v/>
      </c>
      <c r="CY138" s="13" t="str">
        <f t="array" ref="CY138">iferror(INDEX('Import from defimon'!$1:$100,MATCH(CY$1,'Import from defimon'!$A:$A,0),MATCH($A138,'Import from defimon'!$1:$1,0)))</f>
        <v/>
      </c>
      <c r="CZ138" s="13" t="str">
        <f t="array" ref="CZ138">iferror(INDEX('Import from defimon'!$1:$100,MATCH(CZ$1,'Import from defimon'!$A:$A,0),MATCH($A138,'Import from defimon'!$1:$1,0)))</f>
        <v/>
      </c>
      <c r="DA138" s="13" t="str">
        <f t="array" ref="DA138">iferror(INDEX('Import from defimon'!$1:$100,MATCH(DA$1,'Import from defimon'!$A:$A,0),MATCH($A138,'Import from defimon'!$1:$1,0)))</f>
        <v/>
      </c>
    </row>
    <row r="139" ht="15.75" customHeight="1">
      <c r="AS139" s="13" t="str">
        <f>iferror(VLOOKUP($A139,EAM!H$2:I$14,2))</f>
        <v/>
      </c>
      <c r="AU139" s="20"/>
      <c r="AZ139" s="13" t="str">
        <f t="array" ref="AZ139">iferror(INDEX('Import from defimon'!$1:$100,MATCH(AZ$1,'Import from defimon'!$A:$A,0),MATCH($A139,'Import from defimon'!$1:$1,0)))</f>
        <v/>
      </c>
      <c r="BH139" s="13" t="str">
        <f t="array" ref="BH139">iferror(INDEX('Import from defimon'!$1:$100,MATCH(BH$1,'Import from defimon'!$A:$A,0),MATCH($A139,'Import from defimon'!$1:$1,0)))</f>
        <v/>
      </c>
      <c r="BJ139" s="13" t="str">
        <f t="array" ref="BJ139">iferror(INDEX('Import from defimon'!$1:$100,MATCH(BJ$1,'Import from defimon'!$A:$A,0),MATCH($A139,'Import from defimon'!$1:$1,0)))</f>
        <v/>
      </c>
      <c r="BK139" s="13" t="str">
        <f t="array" ref="BK139">iferror(INDEX('Import from defimon'!$1:$100,MATCH(BK$1,'Import from defimon'!$A:$A,0),MATCH($A139,'Import from defimon'!$1:$1,0)))</f>
        <v/>
      </c>
      <c r="BL139" s="13" t="str">
        <f t="array" ref="BL139">iferror(INDEX('Import from defimon'!$1:$100,MATCH(BL$1,'Import from defimon'!$A:$A,0),MATCH($A139,'Import from defimon'!$1:$1,0)))</f>
        <v/>
      </c>
      <c r="BN139" s="13" t="str">
        <f t="array" ref="BN139">iferror(INDEX('Import from defimon'!$1:$100,MATCH(BN$1,'Import from defimon'!$A:$A,0),MATCH($A139,'Import from defimon'!$1:$1,0)))</f>
        <v/>
      </c>
      <c r="BO139" s="13" t="str">
        <f t="array" ref="BO139">iferror(INDEX('Import from defimon'!$1:$100,MATCH(BO$1,'Import from defimon'!$A:$A,0),MATCH($A139,'Import from defimon'!$1:$1,0)))</f>
        <v/>
      </c>
      <c r="BP139" s="13" t="str">
        <f t="array" ref="BP139">iferror(INDEX('Import from defimon'!$1:$100,MATCH(BP$1,'Import from defimon'!$A:$A,0),MATCH($A139,'Import from defimon'!$1:$1,0)))</f>
        <v/>
      </c>
      <c r="BQ139" s="13" t="str">
        <f t="array" ref="BQ139">iferror(INDEX('Import from defimon'!$1:$100,MATCH(BQ$1,'Import from defimon'!$A:$A,0),MATCH($A139,'Import from defimon'!$1:$1,0)))</f>
        <v/>
      </c>
      <c r="BR139" s="13" t="str">
        <f t="array" ref="BR139">iferror(INDEX('Import from defimon'!$1:$100,MATCH(BR$1,'Import from defimon'!$A:$A,0),MATCH($A139,'Import from defimon'!$1:$1,0)))</f>
        <v/>
      </c>
      <c r="BS139" s="13" t="str">
        <f t="array" ref="BS139">iferror(INDEX('Import from defimon'!$1:$100,MATCH(BS$1,'Import from defimon'!$A:$A,0),MATCH($A139,'Import from defimon'!$1:$1,0)))</f>
        <v/>
      </c>
      <c r="BT139" s="13" t="str">
        <f t="array" ref="BT139">iferror(INDEX('Import from defimon'!$1:$100,MATCH(BT$1,'Import from defimon'!$A:$A,0),MATCH($A139,'Import from defimon'!$1:$1,0)))</f>
        <v/>
      </c>
      <c r="BV139" s="13" t="str">
        <f t="array" ref="BV139">iferror(INDEX('Import from defimon'!$1:$100,MATCH(BV$1,'Import from defimon'!$A:$A,0),MATCH($A139,'Import from defimon'!$1:$1,0)))</f>
        <v/>
      </c>
      <c r="BW139" s="13" t="str">
        <f t="array" ref="BW139">iferror(INDEX('Import from defimon'!$1:$100,MATCH(BW$1,'Import from defimon'!$A:$A,0),MATCH($A139,'Import from defimon'!$1:$1,0)))</f>
        <v/>
      </c>
      <c r="BX139" s="13" t="str">
        <f t="array" ref="BX139">iferror(INDEX('Import from defimon'!$1:$100,MATCH(BX$1,'Import from defimon'!$A:$A,0),MATCH($A139,'Import from defimon'!$1:$1,0)))</f>
        <v/>
      </c>
      <c r="CA139" s="13" t="str">
        <f t="array" ref="CA139">iferror(INDEX('Import from defimon'!$1:$100,MATCH(CA$1,'Import from defimon'!$A:$A,0),MATCH($A139,'Import from defimon'!$1:$1,0)))</f>
        <v/>
      </c>
      <c r="CB139" s="13" t="str">
        <f t="array" ref="CB139">iferror(INDEX('Import from defimon'!$1:$100,MATCH(CB$1,'Import from defimon'!$A:$A,0),MATCH($A139,'Import from defimon'!$1:$1,0)))</f>
        <v/>
      </c>
      <c r="CC139" s="13" t="str">
        <f t="array" ref="CC139">iferror(INDEX('Import from defimon'!$1:$100,MATCH(CC$1,'Import from defimon'!$A:$A,0),MATCH($A139,'Import from defimon'!$1:$1,0)))</f>
        <v/>
      </c>
      <c r="CD139" s="13" t="str">
        <f t="array" ref="CD139">iferror(INDEX('Import from defimon'!$1:$100,MATCH(CD$1,'Import from defimon'!$A:$A,0),MATCH($A139,'Import from defimon'!$1:$1,0)))</f>
        <v/>
      </c>
      <c r="CE139" s="13" t="str">
        <f t="array" ref="CE139">iferror(INDEX('Import from defimon'!$1:$100,MATCH(CE$1,'Import from defimon'!$A:$A,0),MATCH($A139,'Import from defimon'!$1:$1,0)))</f>
        <v/>
      </c>
      <c r="CF139" s="13" t="str">
        <f t="array" ref="CF139">iferror(INDEX('Import from defimon'!$1:$100,MATCH(CF$1,'Import from defimon'!$A:$A,0),MATCH($A139,'Import from defimon'!$1:$1,0)))</f>
        <v/>
      </c>
      <c r="CG139" s="13" t="str">
        <f t="array" ref="CG139">iferror(INDEX('Import from defimon'!$1:$100,MATCH(CG$1,'Import from defimon'!$A:$A,0),MATCH($A139,'Import from defimon'!$1:$1,0)))</f>
        <v/>
      </c>
      <c r="CH139" s="13" t="str">
        <f t="array" ref="CH139">iferror(INDEX('Import from defimon'!$1:$100,MATCH(CH$1,'Import from defimon'!$A:$A,0),MATCH($A139,'Import from defimon'!$1:$1,0)))</f>
        <v/>
      </c>
      <c r="CI139" s="13" t="str">
        <f t="array" ref="CI139">iferror(INDEX('Import from defimon'!$1:$100,MATCH(CI$1,'Import from defimon'!$A:$A,0),MATCH($A139,'Import from defimon'!$1:$1,0)))</f>
        <v/>
      </c>
      <c r="CJ139" s="13" t="str">
        <f t="array" ref="CJ139">iferror(INDEX('Import from defimon'!$1:$100,MATCH(CJ$1,'Import from defimon'!$A:$A,0),MATCH($A139,'Import from defimon'!$1:$1,0)))</f>
        <v/>
      </c>
      <c r="CK139" s="13" t="str">
        <f t="array" ref="CK139">iferror(INDEX('Import from defimon'!$1:$100,MATCH(CK$1,'Import from defimon'!$A:$A,0),MATCH($A139,'Import from defimon'!$1:$1,0)))</f>
        <v/>
      </c>
      <c r="CL139" s="13" t="str">
        <f t="array" ref="CL139">iferror(INDEX('Import from defimon'!$1:$100,MATCH(CL$1,'Import from defimon'!$A:$A,0),MATCH($A139,'Import from defimon'!$1:$1,0)))</f>
        <v/>
      </c>
      <c r="CM139" s="13" t="str">
        <f t="array" ref="CM139">iferror(INDEX('Import from defimon'!$1:$100,MATCH(CM$1,'Import from defimon'!$A:$A,0),MATCH($A139,'Import from defimon'!$1:$1,0)))</f>
        <v/>
      </c>
      <c r="CN139" s="13" t="str">
        <f t="array" ref="CN139">iferror(INDEX('Import from defimon'!$1:$100,MATCH(CN$1,'Import from defimon'!$A:$A,0),MATCH($A139,'Import from defimon'!$1:$1,0)))</f>
        <v/>
      </c>
      <c r="CP139" s="13" t="str">
        <f t="array" ref="CP139">iferror(INDEX('Import from defimon'!$1:$100,MATCH(CP$1,'Import from defimon'!$A:$A,0),MATCH($A139,'Import from defimon'!$1:$1,0)))</f>
        <v/>
      </c>
      <c r="CQ139" s="13" t="str">
        <f t="array" ref="CQ139">iferror(INDEX('Import from defimon'!$1:$100,MATCH(CQ$1,'Import from defimon'!$A:$A,0),MATCH($A139,'Import from defimon'!$1:$1,0)))</f>
        <v/>
      </c>
      <c r="CR139" s="13" t="str">
        <f t="array" ref="CR139">iferror(INDEX('Import from defimon'!$1:$100,MATCH(CR$1,'Import from defimon'!$A:$A,0),MATCH($A139,'Import from defimon'!$1:$1,0)))</f>
        <v/>
      </c>
      <c r="CY139" s="13" t="str">
        <f t="array" ref="CY139">iferror(INDEX('Import from defimon'!$1:$100,MATCH(CY$1,'Import from defimon'!$A:$A,0),MATCH($A139,'Import from defimon'!$1:$1,0)))</f>
        <v/>
      </c>
      <c r="CZ139" s="13" t="str">
        <f t="array" ref="CZ139">iferror(INDEX('Import from defimon'!$1:$100,MATCH(CZ$1,'Import from defimon'!$A:$A,0),MATCH($A139,'Import from defimon'!$1:$1,0)))</f>
        <v/>
      </c>
      <c r="DA139" s="13" t="str">
        <f t="array" ref="DA139">iferror(INDEX('Import from defimon'!$1:$100,MATCH(DA$1,'Import from defimon'!$A:$A,0),MATCH($A139,'Import from defimon'!$1:$1,0)))</f>
        <v/>
      </c>
    </row>
    <row r="140" ht="15.75" customHeight="1">
      <c r="AS140" s="13" t="str">
        <f>iferror(VLOOKUP($A140,EAM!H$2:I$14,2))</f>
        <v/>
      </c>
      <c r="AU140" s="19"/>
    </row>
    <row r="141" ht="15.75" customHeight="1">
      <c r="AS141" s="13" t="str">
        <f>iferror(VLOOKUP($A141,EAM!H$2:I$14,2))</f>
        <v/>
      </c>
      <c r="AU141" s="19"/>
    </row>
    <row r="142" ht="15.75" customHeight="1">
      <c r="AS142" s="13" t="str">
        <f>iferror(VLOOKUP($A142,EAM!H$2:I$14,2))</f>
        <v/>
      </c>
      <c r="AU142" s="19"/>
    </row>
    <row r="143" ht="15.75" customHeight="1">
      <c r="AS143" s="13" t="str">
        <f>iferror(VLOOKUP($A143,EAM!H$2:I$14,2))</f>
        <v/>
      </c>
      <c r="AU143" s="19"/>
    </row>
    <row r="144" ht="15.75" customHeight="1">
      <c r="AS144" s="13" t="str">
        <f>iferror(VLOOKUP($A144,EAM!H$2:I$14,2))</f>
        <v/>
      </c>
      <c r="AU144" s="19"/>
    </row>
    <row r="145" ht="15.75" customHeight="1">
      <c r="AS145" s="13" t="str">
        <f>iferror(VLOOKUP($A145,EAM!H$2:I$14,2))</f>
        <v/>
      </c>
      <c r="AU145" s="20"/>
    </row>
    <row r="146" ht="15.75" customHeight="1">
      <c r="AS146" s="13" t="str">
        <f>iferror(VLOOKUP($A146,EAM!H$2:I$14,2))</f>
        <v/>
      </c>
      <c r="AU146" s="19"/>
    </row>
    <row r="147" ht="15.75" customHeight="1">
      <c r="AS147" s="13" t="str">
        <f>iferror(VLOOKUP($A147,EAM!H$2:I$14,2))</f>
        <v/>
      </c>
      <c r="AU147" s="19"/>
    </row>
    <row r="148" ht="15.75" customHeight="1">
      <c r="AS148" s="13" t="str">
        <f>iferror(VLOOKUP($A148,EAM!H$2:I$14,2))</f>
        <v/>
      </c>
      <c r="AU148" s="19"/>
    </row>
    <row r="149" ht="15.75" customHeight="1">
      <c r="AS149" s="13" t="str">
        <f>iferror(VLOOKUP($A149,EAM!H$2:I$14,2))</f>
        <v/>
      </c>
      <c r="AU149" s="19"/>
    </row>
    <row r="150" ht="15.75" customHeight="1">
      <c r="AS150" s="13" t="str">
        <f>iferror(VLOOKUP($A150,EAM!H$2:I$14,2))</f>
        <v/>
      </c>
      <c r="AU150" s="19"/>
    </row>
    <row r="151" ht="15.75" customHeight="1">
      <c r="AS151" s="13" t="str">
        <f>iferror(VLOOKUP($A151,EAM!H$2:I$14,2))</f>
        <v/>
      </c>
      <c r="AU151" s="20"/>
    </row>
    <row r="152" ht="15.75" customHeight="1">
      <c r="AS152" s="13" t="str">
        <f>iferror(VLOOKUP($A152,EAM!H$2:I$14,2))</f>
        <v/>
      </c>
      <c r="AU152" s="19"/>
    </row>
    <row r="153" ht="15.75" customHeight="1">
      <c r="AS153" s="13" t="str">
        <f>iferror(VLOOKUP($A153,EAM!H$2:I$14,2))</f>
        <v/>
      </c>
      <c r="AU153" s="19"/>
    </row>
    <row r="154" ht="15.75" customHeight="1">
      <c r="AS154" s="13" t="str">
        <f>iferror(VLOOKUP($A154,EAM!H$2:I$14,2))</f>
        <v/>
      </c>
      <c r="AU154" s="19"/>
    </row>
    <row r="155" ht="15.75" customHeight="1">
      <c r="AS155" s="13" t="str">
        <f>iferror(VLOOKUP($A155,EAM!H$2:I$14,2))</f>
        <v/>
      </c>
      <c r="AU155" s="19"/>
    </row>
    <row r="156" ht="15.75" customHeight="1">
      <c r="AS156" s="13" t="str">
        <f>iferror(VLOOKUP($A156,EAM!H$2:I$14,2))</f>
        <v/>
      </c>
      <c r="AU156" s="19"/>
    </row>
    <row r="157" ht="15.75" customHeight="1">
      <c r="AS157" s="13" t="str">
        <f>iferror(VLOOKUP($A157,EAM!H$2:I$14,2))</f>
        <v/>
      </c>
      <c r="AU157" s="19"/>
    </row>
    <row r="158" ht="15.75" customHeight="1">
      <c r="AS158" s="13" t="str">
        <f>iferror(VLOOKUP($A158,EAM!H$2:I$14,2))</f>
        <v/>
      </c>
      <c r="AU158" s="20"/>
    </row>
    <row r="159" ht="15.75" customHeight="1">
      <c r="AS159" s="13" t="str">
        <f>iferror(VLOOKUP($A159,EAM!H$2:I$14,2))</f>
        <v/>
      </c>
      <c r="AU159" s="19"/>
    </row>
    <row r="160" ht="15.75" customHeight="1">
      <c r="AS160" s="13" t="str">
        <f>iferror(VLOOKUP($A160,EAM!H$2:I$14,2))</f>
        <v/>
      </c>
      <c r="AU160" s="19"/>
    </row>
    <row r="161" ht="15.75" customHeight="1">
      <c r="AS161" s="13" t="str">
        <f>iferror(VLOOKUP($A161,EAM!H$2:I$14,2))</f>
        <v/>
      </c>
      <c r="AU161" s="19"/>
    </row>
    <row r="162" ht="15.75" customHeight="1">
      <c r="AS162" s="13" t="str">
        <f>iferror(VLOOKUP($A162,EAM!H$2:I$14,2))</f>
        <v/>
      </c>
      <c r="AU162" s="19"/>
    </row>
    <row r="163" ht="15.75" customHeight="1">
      <c r="AS163" s="13" t="str">
        <f>iferror(VLOOKUP($A163,EAM!H$2:I$14,2))</f>
        <v/>
      </c>
      <c r="AU163" s="19"/>
    </row>
    <row r="164" ht="15.75" customHeight="1">
      <c r="AS164" s="13" t="str">
        <f>iferror(VLOOKUP($A164,EAM!H$2:I$14,2))</f>
        <v/>
      </c>
      <c r="AU164" s="20"/>
    </row>
    <row r="165" ht="15.75" customHeight="1">
      <c r="AS165" s="13" t="str">
        <f>iferror(VLOOKUP($A165,EAM!H$2:I$14,2))</f>
        <v/>
      </c>
      <c r="AU165" s="19"/>
    </row>
    <row r="166" ht="15.75" customHeight="1">
      <c r="AS166" s="13" t="str">
        <f>iferror(VLOOKUP($A166,EAM!H$2:I$14,2))</f>
        <v/>
      </c>
      <c r="AU166" s="19"/>
    </row>
    <row r="167" ht="15.75" customHeight="1">
      <c r="AS167" s="13" t="str">
        <f>iferror(VLOOKUP($A167,EAM!H$2:I$14,2))</f>
        <v/>
      </c>
      <c r="AU167" s="19"/>
    </row>
    <row r="168" ht="15.75" customHeight="1">
      <c r="AS168" s="13" t="str">
        <f>iferror(VLOOKUP($A168,EAM!H$2:I$14,2))</f>
        <v/>
      </c>
      <c r="AU168" s="19"/>
    </row>
    <row r="169" ht="15.75" customHeight="1">
      <c r="AS169" s="13" t="str">
        <f>iferror(VLOOKUP($A169,EAM!H$2:I$14,2))</f>
        <v/>
      </c>
      <c r="AU169" s="20"/>
    </row>
    <row r="170" ht="15.75" customHeight="1">
      <c r="AS170" s="13" t="str">
        <f>iferror(VLOOKUP($A170,EAM!H$2:I$14,2))</f>
        <v/>
      </c>
      <c r="AU170" s="19"/>
    </row>
    <row r="171" ht="15.75" customHeight="1">
      <c r="AS171" s="13" t="str">
        <f>iferror(VLOOKUP($A171,EAM!H$2:I$14,2))</f>
        <v/>
      </c>
      <c r="AU171" s="19"/>
    </row>
    <row r="172" ht="15.75" customHeight="1">
      <c r="AS172" s="13" t="str">
        <f>iferror(VLOOKUP($A172,EAM!H$2:I$14,2))</f>
        <v/>
      </c>
      <c r="AU172" s="19"/>
    </row>
    <row r="173" ht="15.75" customHeight="1">
      <c r="AS173" s="13" t="str">
        <f>iferror(VLOOKUP($A173,EAM!H$2:I$14,2))</f>
        <v/>
      </c>
      <c r="AU173" s="19"/>
    </row>
    <row r="174" ht="15.75" customHeight="1">
      <c r="AS174" s="13" t="str">
        <f>iferror(VLOOKUP($A174,EAM!H$2:I$14,2))</f>
        <v/>
      </c>
      <c r="AU174" s="19"/>
    </row>
    <row r="175" ht="15.75" customHeight="1">
      <c r="AS175" s="13" t="str">
        <f>iferror(VLOOKUP($A175,EAM!H$2:I$14,2))</f>
        <v/>
      </c>
      <c r="AU175" s="20"/>
    </row>
    <row r="176" ht="15.75" customHeight="1">
      <c r="AS176" s="13" t="str">
        <f>iferror(VLOOKUP($A176,EAM!H$2:I$14,2))</f>
        <v/>
      </c>
      <c r="AU176" s="19"/>
    </row>
    <row r="177" ht="15.75" customHeight="1">
      <c r="AS177" s="13" t="str">
        <f>iferror(VLOOKUP($A177,EAM!H$2:I$14,2))</f>
        <v/>
      </c>
      <c r="AU177" s="19"/>
    </row>
    <row r="178" ht="15.75" customHeight="1">
      <c r="AS178" s="13" t="str">
        <f>iferror(VLOOKUP($A178,EAM!H$2:I$14,2))</f>
        <v/>
      </c>
      <c r="AU178" s="19"/>
    </row>
    <row r="179" ht="15.75" customHeight="1">
      <c r="AS179" s="13" t="str">
        <f>iferror(VLOOKUP($A179,EAM!H$2:I$14,2))</f>
        <v/>
      </c>
      <c r="AU179" s="19"/>
    </row>
    <row r="180" ht="15.75" customHeight="1">
      <c r="AS180" s="13" t="str">
        <f>iferror(VLOOKUP($A180,EAM!H$2:I$14,2))</f>
        <v/>
      </c>
      <c r="AU180" s="19"/>
    </row>
    <row r="181" ht="15.75" customHeight="1">
      <c r="AS181" s="13" t="str">
        <f>iferror(VLOOKUP($A181,EAM!H$2:I$14,2))</f>
        <v/>
      </c>
      <c r="AU181" s="20"/>
    </row>
    <row r="182" ht="15.75" customHeight="1">
      <c r="AS182" s="13" t="str">
        <f>iferror(VLOOKUP($A182,EAM!H$2:I$14,2))</f>
        <v/>
      </c>
      <c r="AU182" s="19"/>
    </row>
    <row r="183" ht="15.75" customHeight="1">
      <c r="AS183" s="13" t="str">
        <f>iferror(VLOOKUP($A183,EAM!H$2:I$14,2))</f>
        <v/>
      </c>
      <c r="AU183" s="19"/>
    </row>
    <row r="184" ht="15.75" customHeight="1">
      <c r="AS184" s="13" t="str">
        <f>iferror(VLOOKUP($A184,EAM!H$2:I$14,2))</f>
        <v/>
      </c>
      <c r="AU184" s="19"/>
    </row>
    <row r="185" ht="15.75" customHeight="1">
      <c r="AS185" s="13" t="str">
        <f>iferror(VLOOKUP($A185,EAM!H$2:I$14,2))</f>
        <v/>
      </c>
      <c r="AU185" s="19"/>
    </row>
    <row r="186" ht="15.75" customHeight="1">
      <c r="AS186" s="13" t="str">
        <f>iferror(VLOOKUP($A186,EAM!H$2:I$14,2))</f>
        <v/>
      </c>
      <c r="AU186" s="19"/>
    </row>
    <row r="187" ht="15.75" customHeight="1">
      <c r="AS187" s="13" t="str">
        <f>iferror(VLOOKUP($A187,EAM!H$2:I$14,2))</f>
        <v/>
      </c>
      <c r="AU187" s="19"/>
    </row>
    <row r="188" ht="15.75" customHeight="1">
      <c r="AS188" s="13" t="str">
        <f>iferror(VLOOKUP($A188,EAM!H$2:I$14,2))</f>
        <v/>
      </c>
      <c r="AU188" s="20"/>
    </row>
    <row r="189" ht="15.75" customHeight="1">
      <c r="AS189" s="13" t="str">
        <f>iferror(VLOOKUP($A189,EAM!H$2:I$14,2))</f>
        <v/>
      </c>
      <c r="AU189" s="19"/>
    </row>
    <row r="190" ht="15.75" customHeight="1">
      <c r="AS190" s="13" t="str">
        <f>iferror(VLOOKUP($A190,EAM!H$2:I$14,2))</f>
        <v/>
      </c>
      <c r="AU190" s="19"/>
    </row>
    <row r="191" ht="15.75" customHeight="1">
      <c r="AS191" s="13" t="str">
        <f>iferror(VLOOKUP($A191,EAM!H$2:I$14,2))</f>
        <v/>
      </c>
      <c r="AU191" s="19"/>
    </row>
    <row r="192" ht="15.75" customHeight="1">
      <c r="AS192" s="13" t="str">
        <f>iferror(VLOOKUP($A192,EAM!H$2:I$14,2))</f>
        <v/>
      </c>
      <c r="AU192" s="19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>
      <c r="AE1016" s="7" t="s">
        <v>258</v>
      </c>
    </row>
  </sheetData>
  <customSheetViews>
    <customSheetView guid="{2A8717CA-57B9-47E9-A07B-A7E1BA3B9A03}" filter="1" showAutoFilter="1">
      <autoFilter ref="$A$3:$DB$99"/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3" width="13.25"/>
    <col customWidth="1" min="4" max="4" width="19.13"/>
    <col customWidth="1" min="5" max="5" width="9.75"/>
    <col customWidth="1" min="6" max="6" width="10.63"/>
    <col customWidth="1" min="7" max="7" width="8.25"/>
    <col customWidth="1" min="8" max="8" width="8.63"/>
    <col customWidth="1" min="9" max="9" width="13.88"/>
    <col customWidth="1" min="10" max="10" width="9.25"/>
    <col customWidth="1" min="11" max="11" width="9.13"/>
    <col customWidth="1" min="12" max="12" width="8.25"/>
    <col customWidth="1" min="13" max="13" width="6.38"/>
    <col customWidth="1" min="14" max="14" width="8.13"/>
    <col customWidth="1" min="15" max="23" width="7.75"/>
    <col customWidth="1" min="24" max="24" width="8.5"/>
    <col customWidth="1" min="25" max="25" width="8.63"/>
    <col customWidth="1" min="26" max="26" width="13.63"/>
    <col customWidth="1" min="27" max="27" width="12.38"/>
    <col customWidth="1" min="28" max="28" width="9.38"/>
    <col customWidth="1" min="29" max="29" width="12.25"/>
    <col customWidth="1" min="30" max="30" width="15.75"/>
    <col customWidth="1" min="31" max="31" width="18.38"/>
    <col customWidth="1" min="32" max="32" width="11.38"/>
    <col customWidth="1" min="33" max="33" width="12.38"/>
    <col customWidth="1" min="34" max="34" width="11.88"/>
    <col customWidth="1" min="35" max="35" width="11.75"/>
    <col customWidth="1" min="36" max="36" width="10.25"/>
    <col customWidth="1" min="37" max="37" width="10.0"/>
    <col customWidth="1" min="38" max="38" width="13.0"/>
    <col customWidth="1" min="39" max="39" width="12.25"/>
    <col customWidth="1" min="40" max="40" width="11.5"/>
    <col customWidth="1" min="41" max="41" width="6.38"/>
    <col customWidth="1" min="42" max="42" width="12.63"/>
    <col customWidth="1" min="43" max="43" width="11.63"/>
    <col customWidth="1" min="44" max="44" width="7.88"/>
    <col customWidth="1" min="45" max="45" width="12.0"/>
    <col customWidth="1" min="46" max="46" width="7.0"/>
    <col customWidth="1" min="47" max="47" width="6.38"/>
    <col customWidth="1" min="48" max="48" width="5.5"/>
    <col customWidth="1" min="49" max="49" width="16.38"/>
    <col customWidth="1" min="50" max="50" width="22.13"/>
    <col customWidth="1" min="51" max="51" width="6.88"/>
    <col customWidth="1" min="52" max="52" width="19.63"/>
    <col customWidth="1" min="53" max="53" width="19.75"/>
    <col customWidth="1" min="54" max="54" width="14.63"/>
    <col customWidth="1" min="55" max="56" width="9.63"/>
    <col customWidth="1" min="57" max="57" width="11.88"/>
    <col customWidth="1" min="58" max="58" width="16.25"/>
    <col customWidth="1" min="59" max="59" width="13.25"/>
    <col customWidth="1" min="60" max="60" width="19.5"/>
    <col customWidth="1" min="61" max="61" width="15.5"/>
    <col customWidth="1" min="62" max="62" width="17.0"/>
    <col customWidth="1" min="63" max="63" width="15.25"/>
    <col customWidth="1" min="64" max="64" width="15.5"/>
    <col customWidth="1" min="65" max="65" width="16.38"/>
    <col customWidth="1" min="66" max="68" width="14.13"/>
    <col customWidth="1" min="69" max="69" width="15.75"/>
    <col customWidth="1" min="70" max="70" width="16.13"/>
    <col customWidth="1" min="71" max="71" width="14.0"/>
    <col customWidth="1" min="72" max="72" width="15.63"/>
    <col customWidth="1" min="73" max="73" width="17.5"/>
    <col customWidth="1" min="74" max="74" width="16.38"/>
    <col customWidth="1" min="75" max="75" width="17.0"/>
    <col customWidth="1" min="76" max="76" width="16.5"/>
    <col customWidth="1" min="77" max="77" width="16.25"/>
    <col customWidth="1" min="78" max="78" width="16.63"/>
    <col customWidth="1" min="79" max="79" width="15.5"/>
    <col customWidth="1" min="80" max="80" width="16.13"/>
    <col customWidth="1" min="81" max="81" width="17.13"/>
    <col customWidth="1" min="82" max="82" width="15.0"/>
    <col customWidth="1" min="83" max="83" width="18.63"/>
    <col customWidth="1" min="84" max="84" width="14.13"/>
    <col customWidth="1" min="85" max="85" width="15.38"/>
    <col customWidth="1" min="86" max="86" width="16.88"/>
    <col customWidth="1" min="87" max="87" width="14.63"/>
    <col customWidth="1" min="88" max="88" width="14.0"/>
    <col customWidth="1" min="89" max="89" width="14.63"/>
    <col customWidth="1" min="90" max="90" width="20.0"/>
    <col customWidth="1" min="91" max="91" width="15.13"/>
    <col customWidth="1" min="92" max="92" width="16.25"/>
    <col customWidth="1" min="93" max="93" width="15.0"/>
    <col customWidth="1" min="94" max="94" width="25.5"/>
    <col customWidth="1" min="95" max="95" width="26.38"/>
    <col customWidth="1" min="96" max="96" width="22.0"/>
    <col customWidth="1" min="97" max="97" width="12.0"/>
    <col customWidth="1" min="98" max="98" width="16.0"/>
    <col customWidth="1" min="99" max="99" width="5.5"/>
    <col customWidth="1" min="100" max="100" width="14.25"/>
    <col customWidth="1" min="101" max="101" width="14.88"/>
    <col customWidth="1" min="102" max="102" width="15.38"/>
    <col customWidth="1" min="103" max="12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21" t="s">
        <v>30</v>
      </c>
      <c r="AC1" s="1" t="s">
        <v>31</v>
      </c>
      <c r="AD1" s="1" t="s">
        <v>24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22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23" t="s">
        <v>61</v>
      </c>
      <c r="BI1" s="1" t="s">
        <v>62</v>
      </c>
      <c r="BJ1" s="1" t="s">
        <v>63</v>
      </c>
      <c r="BK1" s="2" t="s">
        <v>259</v>
      </c>
      <c r="BL1" s="1" t="s">
        <v>65</v>
      </c>
      <c r="BM1" s="1" t="s">
        <v>260</v>
      </c>
      <c r="BN1" s="23" t="s">
        <v>67</v>
      </c>
      <c r="BO1" s="23" t="s">
        <v>68</v>
      </c>
      <c r="BP1" s="1" t="s">
        <v>261</v>
      </c>
      <c r="BQ1" s="1" t="s">
        <v>70</v>
      </c>
      <c r="BR1" s="1" t="s">
        <v>71</v>
      </c>
      <c r="BS1" s="2" t="s">
        <v>262</v>
      </c>
      <c r="BT1" s="1" t="s">
        <v>73</v>
      </c>
      <c r="BU1" s="1" t="s">
        <v>263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112</v>
      </c>
      <c r="CA1" s="1" t="s">
        <v>80</v>
      </c>
      <c r="CB1" s="1" t="s">
        <v>264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265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233</v>
      </c>
      <c r="CV1" s="1" t="s">
        <v>101</v>
      </c>
      <c r="CW1" s="1" t="s">
        <v>102</v>
      </c>
      <c r="CX1" s="1" t="s">
        <v>103</v>
      </c>
      <c r="CY1" s="24" t="s">
        <v>104</v>
      </c>
      <c r="CZ1" s="25" t="s">
        <v>105</v>
      </c>
      <c r="DA1" s="25" t="s">
        <v>106</v>
      </c>
      <c r="DB1" s="25" t="s">
        <v>107</v>
      </c>
      <c r="DC1" s="25" t="s">
        <v>108</v>
      </c>
      <c r="DD1" s="25" t="s">
        <v>266</v>
      </c>
      <c r="DE1" s="25" t="s">
        <v>110</v>
      </c>
      <c r="DF1" s="25" t="s">
        <v>113</v>
      </c>
      <c r="DG1" s="25" t="s">
        <v>114</v>
      </c>
      <c r="DH1" s="26" t="s">
        <v>115</v>
      </c>
      <c r="DI1" s="26" t="s">
        <v>116</v>
      </c>
      <c r="DJ1" s="26" t="s">
        <v>117</v>
      </c>
      <c r="DK1" s="26" t="s">
        <v>118</v>
      </c>
      <c r="DL1" s="26" t="s">
        <v>119</v>
      </c>
      <c r="DM1" s="26" t="s">
        <v>120</v>
      </c>
      <c r="DN1" s="26" t="s">
        <v>267</v>
      </c>
      <c r="DO1" s="25" t="s">
        <v>122</v>
      </c>
      <c r="DP1" s="25" t="s">
        <v>123</v>
      </c>
      <c r="DQ1" s="25" t="s">
        <v>124</v>
      </c>
      <c r="DR1" s="25" t="s">
        <v>125</v>
      </c>
      <c r="DS1" s="27" t="s">
        <v>126</v>
      </c>
      <c r="DT1" s="25" t="s">
        <v>134</v>
      </c>
    </row>
    <row r="2">
      <c r="A2" s="7" t="s">
        <v>139</v>
      </c>
      <c r="B2" s="7" t="s">
        <v>140</v>
      </c>
      <c r="C2" s="7" t="s">
        <v>140</v>
      </c>
      <c r="D2" s="7" t="s">
        <v>140</v>
      </c>
      <c r="E2" s="7" t="s">
        <v>140</v>
      </c>
      <c r="F2" s="7" t="s">
        <v>6</v>
      </c>
      <c r="G2" s="7" t="s">
        <v>7</v>
      </c>
      <c r="H2" s="7" t="s">
        <v>141</v>
      </c>
      <c r="I2" s="7" t="s">
        <v>9</v>
      </c>
      <c r="J2" s="7" t="s">
        <v>140</v>
      </c>
      <c r="K2" s="7" t="s">
        <v>142</v>
      </c>
      <c r="L2" s="7" t="s">
        <v>143</v>
      </c>
      <c r="M2" s="7" t="s">
        <v>143</v>
      </c>
      <c r="N2" s="7" t="s">
        <v>144</v>
      </c>
      <c r="O2" s="7" t="s">
        <v>144</v>
      </c>
      <c r="P2" s="7" t="s">
        <v>145</v>
      </c>
      <c r="Q2" s="7" t="s">
        <v>144</v>
      </c>
      <c r="R2" s="7" t="s">
        <v>144</v>
      </c>
      <c r="S2" s="7" t="s">
        <v>144</v>
      </c>
      <c r="T2" s="7" t="s">
        <v>144</v>
      </c>
      <c r="U2" s="7" t="s">
        <v>144</v>
      </c>
      <c r="V2" s="7" t="s">
        <v>144</v>
      </c>
      <c r="W2" s="7" t="s">
        <v>144</v>
      </c>
      <c r="X2" s="7" t="s">
        <v>144</v>
      </c>
      <c r="Y2" s="7" t="s">
        <v>144</v>
      </c>
      <c r="Z2" s="7" t="s">
        <v>144</v>
      </c>
      <c r="AA2" s="7" t="s">
        <v>144</v>
      </c>
      <c r="AB2" s="7" t="s">
        <v>144</v>
      </c>
      <c r="AC2" s="7" t="s">
        <v>144</v>
      </c>
      <c r="AD2" s="7" t="s">
        <v>144</v>
      </c>
      <c r="AE2" s="7" t="s">
        <v>144</v>
      </c>
      <c r="AF2" s="7" t="s">
        <v>144</v>
      </c>
      <c r="AG2" s="7" t="s">
        <v>144</v>
      </c>
      <c r="AH2" s="7" t="s">
        <v>144</v>
      </c>
      <c r="AI2" s="7" t="s">
        <v>144</v>
      </c>
      <c r="AJ2" s="7" t="s">
        <v>144</v>
      </c>
      <c r="AK2" s="7" t="s">
        <v>146</v>
      </c>
      <c r="AL2" s="7" t="s">
        <v>146</v>
      </c>
      <c r="AM2" s="7" t="s">
        <v>146</v>
      </c>
      <c r="AN2" s="7" t="s">
        <v>146</v>
      </c>
      <c r="AO2" s="7" t="s">
        <v>42</v>
      </c>
      <c r="AP2" s="7" t="s">
        <v>147</v>
      </c>
      <c r="AQ2" s="7" t="s">
        <v>148</v>
      </c>
      <c r="AR2" s="7" t="s">
        <v>144</v>
      </c>
      <c r="AS2" s="7" t="s">
        <v>144</v>
      </c>
      <c r="AT2" s="7" t="s">
        <v>144</v>
      </c>
      <c r="AU2" s="7" t="s">
        <v>144</v>
      </c>
      <c r="AV2" s="7" t="s">
        <v>144</v>
      </c>
      <c r="AW2" s="7" t="s">
        <v>145</v>
      </c>
      <c r="AX2" s="7" t="s">
        <v>145</v>
      </c>
      <c r="AY2" s="7" t="s">
        <v>145</v>
      </c>
      <c r="AZ2" s="8" t="s">
        <v>9</v>
      </c>
      <c r="BA2" s="7" t="s">
        <v>145</v>
      </c>
      <c r="BB2" s="7" t="s">
        <v>149</v>
      </c>
      <c r="BC2" s="7" t="s">
        <v>145</v>
      </c>
      <c r="BD2" s="7" t="s">
        <v>145</v>
      </c>
      <c r="BE2" s="7" t="s">
        <v>145</v>
      </c>
      <c r="BF2" s="7" t="s">
        <v>145</v>
      </c>
      <c r="BG2" s="7" t="s">
        <v>145</v>
      </c>
      <c r="BH2" s="7" t="s">
        <v>145</v>
      </c>
      <c r="BI2" s="7" t="s">
        <v>145</v>
      </c>
      <c r="BJ2" s="8" t="s">
        <v>9</v>
      </c>
      <c r="BK2" s="7" t="s">
        <v>145</v>
      </c>
      <c r="BL2" s="7" t="s">
        <v>145</v>
      </c>
      <c r="BM2" s="7" t="s">
        <v>145</v>
      </c>
      <c r="BN2" s="7" t="s">
        <v>145</v>
      </c>
      <c r="BO2" s="7" t="s">
        <v>145</v>
      </c>
      <c r="BP2" s="7" t="s">
        <v>145</v>
      </c>
      <c r="BQ2" s="7" t="s">
        <v>145</v>
      </c>
      <c r="BR2" s="7" t="s">
        <v>145</v>
      </c>
      <c r="BS2" s="7" t="s">
        <v>145</v>
      </c>
      <c r="BT2" s="7" t="s">
        <v>145</v>
      </c>
      <c r="BU2" s="7" t="s">
        <v>145</v>
      </c>
      <c r="BV2" s="7" t="s">
        <v>145</v>
      </c>
      <c r="BW2" s="7" t="s">
        <v>145</v>
      </c>
      <c r="BX2" s="7" t="s">
        <v>145</v>
      </c>
      <c r="BY2" s="7" t="s">
        <v>145</v>
      </c>
      <c r="BZ2" s="7" t="s">
        <v>145</v>
      </c>
      <c r="CA2" s="7" t="s">
        <v>145</v>
      </c>
      <c r="CB2" s="7" t="s">
        <v>145</v>
      </c>
      <c r="CC2" s="7" t="s">
        <v>145</v>
      </c>
      <c r="CD2" s="7" t="s">
        <v>145</v>
      </c>
      <c r="CE2" s="7" t="s">
        <v>145</v>
      </c>
      <c r="CF2" s="7" t="s">
        <v>145</v>
      </c>
      <c r="CG2" s="7" t="s">
        <v>145</v>
      </c>
      <c r="CH2" s="7" t="s">
        <v>145</v>
      </c>
      <c r="CI2" s="7" t="s">
        <v>145</v>
      </c>
      <c r="CJ2" s="7" t="s">
        <v>145</v>
      </c>
      <c r="CK2" s="7" t="s">
        <v>145</v>
      </c>
      <c r="CL2" s="7" t="s">
        <v>146</v>
      </c>
      <c r="CM2" s="7" t="s">
        <v>145</v>
      </c>
      <c r="CN2" s="7" t="s">
        <v>145</v>
      </c>
      <c r="CO2" s="7" t="s">
        <v>145</v>
      </c>
      <c r="CP2" s="7" t="s">
        <v>145</v>
      </c>
      <c r="CQ2" s="7" t="s">
        <v>145</v>
      </c>
      <c r="CR2" s="7" t="s">
        <v>145</v>
      </c>
      <c r="CS2" s="7" t="s">
        <v>145</v>
      </c>
      <c r="CT2" s="7" t="s">
        <v>145</v>
      </c>
      <c r="CU2" s="7" t="s">
        <v>145</v>
      </c>
      <c r="CV2" s="7" t="s">
        <v>145</v>
      </c>
      <c r="CW2" s="7" t="s">
        <v>145</v>
      </c>
      <c r="CX2" s="7" t="s">
        <v>145</v>
      </c>
      <c r="CY2" s="7" t="s">
        <v>145</v>
      </c>
      <c r="CZ2" s="7" t="s">
        <v>144</v>
      </c>
      <c r="DA2" s="7" t="s">
        <v>145</v>
      </c>
      <c r="DB2" s="7" t="s">
        <v>145</v>
      </c>
      <c r="DC2" s="7" t="s">
        <v>145</v>
      </c>
      <c r="DD2" s="7" t="s">
        <v>145</v>
      </c>
      <c r="DE2" s="7" t="s">
        <v>145</v>
      </c>
      <c r="DF2" s="7" t="s">
        <v>145</v>
      </c>
      <c r="DG2" s="7" t="s">
        <v>146</v>
      </c>
      <c r="DH2" s="7" t="s">
        <v>145</v>
      </c>
      <c r="DI2" s="7" t="s">
        <v>145</v>
      </c>
      <c r="DJ2" s="7" t="s">
        <v>145</v>
      </c>
      <c r="DK2" s="7" t="s">
        <v>145</v>
      </c>
      <c r="DL2" s="7" t="s">
        <v>145</v>
      </c>
      <c r="DM2" s="7" t="s">
        <v>145</v>
      </c>
      <c r="DN2" s="7" t="s">
        <v>145</v>
      </c>
      <c r="DO2" s="7" t="s">
        <v>146</v>
      </c>
      <c r="DP2" s="7" t="s">
        <v>145</v>
      </c>
      <c r="DQ2" s="7" t="s">
        <v>146</v>
      </c>
      <c r="DR2" s="7" t="s">
        <v>146</v>
      </c>
      <c r="DS2" s="7" t="s">
        <v>151</v>
      </c>
      <c r="DT2" s="7" t="s">
        <v>146</v>
      </c>
    </row>
    <row r="3">
      <c r="A3" s="7" t="s">
        <v>268</v>
      </c>
      <c r="B3" s="9" t="s">
        <v>154</v>
      </c>
      <c r="C3" s="9" t="s">
        <v>154</v>
      </c>
      <c r="D3" s="7">
        <v>1.0</v>
      </c>
      <c r="E3" s="9" t="s">
        <v>154</v>
      </c>
      <c r="F3" s="9" t="s">
        <v>154</v>
      </c>
      <c r="G3" s="7">
        <v>1.0</v>
      </c>
      <c r="H3" s="9" t="s">
        <v>155</v>
      </c>
      <c r="I3" s="9" t="s">
        <v>156</v>
      </c>
      <c r="J3" s="9" t="s">
        <v>156</v>
      </c>
      <c r="K3" s="9" t="s">
        <v>156</v>
      </c>
      <c r="L3" s="9" t="s">
        <v>156</v>
      </c>
      <c r="M3" s="9" t="s">
        <v>156</v>
      </c>
      <c r="N3" s="9" t="s">
        <v>155</v>
      </c>
      <c r="O3" s="9" t="s">
        <v>155</v>
      </c>
      <c r="P3" s="10">
        <v>2.0</v>
      </c>
      <c r="Q3" s="9" t="s">
        <v>155</v>
      </c>
      <c r="R3" s="9" t="s">
        <v>155</v>
      </c>
      <c r="S3" s="9" t="s">
        <v>155</v>
      </c>
      <c r="T3" s="9" t="s">
        <v>155</v>
      </c>
      <c r="U3" s="9" t="s">
        <v>155</v>
      </c>
      <c r="V3" s="9" t="s">
        <v>155</v>
      </c>
      <c r="W3" s="9" t="s">
        <v>155</v>
      </c>
      <c r="X3" s="9" t="s">
        <v>155</v>
      </c>
      <c r="Y3" s="9" t="s">
        <v>155</v>
      </c>
      <c r="Z3" s="9" t="s">
        <v>155</v>
      </c>
      <c r="AA3" s="9" t="s">
        <v>155</v>
      </c>
      <c r="AB3" s="7">
        <v>2.0</v>
      </c>
      <c r="AC3" s="9" t="s">
        <v>155</v>
      </c>
      <c r="AD3" s="9" t="s">
        <v>155</v>
      </c>
      <c r="AE3" s="9" t="s">
        <v>155</v>
      </c>
      <c r="AF3" s="9" t="s">
        <v>155</v>
      </c>
      <c r="AG3" s="9" t="s">
        <v>157</v>
      </c>
      <c r="AH3" s="9" t="s">
        <v>157</v>
      </c>
      <c r="AI3" s="9" t="s">
        <v>156</v>
      </c>
      <c r="AJ3" s="9" t="s">
        <v>156</v>
      </c>
      <c r="AK3" s="9" t="s">
        <v>156</v>
      </c>
      <c r="AL3" s="9" t="s">
        <v>156</v>
      </c>
      <c r="AM3" s="7">
        <v>2.0</v>
      </c>
      <c r="AN3" s="9" t="s">
        <v>156</v>
      </c>
      <c r="AO3" s="9" t="s">
        <v>156</v>
      </c>
      <c r="AP3" s="9" t="s">
        <v>155</v>
      </c>
      <c r="AQ3" s="9" t="s">
        <v>156</v>
      </c>
      <c r="AR3" s="7">
        <v>4.0</v>
      </c>
      <c r="AS3" s="9" t="s">
        <v>156</v>
      </c>
      <c r="AT3" s="9" t="s">
        <v>156</v>
      </c>
      <c r="AU3" s="9" t="s">
        <v>155</v>
      </c>
      <c r="AV3" s="9" t="s">
        <v>156</v>
      </c>
      <c r="AW3" s="9" t="s">
        <v>157</v>
      </c>
      <c r="AX3" s="9" t="s">
        <v>156</v>
      </c>
      <c r="AY3" s="9" t="s">
        <v>157</v>
      </c>
      <c r="AZ3" s="9" t="s">
        <v>156</v>
      </c>
      <c r="BA3" s="9" t="s">
        <v>157</v>
      </c>
      <c r="BB3" s="9" t="s">
        <v>154</v>
      </c>
      <c r="BC3" s="9" t="s">
        <v>156</v>
      </c>
      <c r="BD3" s="9" t="s">
        <v>156</v>
      </c>
      <c r="BE3" s="9" t="s">
        <v>157</v>
      </c>
      <c r="BF3" s="9" t="s">
        <v>157</v>
      </c>
      <c r="BG3" s="9" t="s">
        <v>156</v>
      </c>
      <c r="BH3" s="9" t="s">
        <v>157</v>
      </c>
      <c r="BI3" s="9" t="s">
        <v>157</v>
      </c>
      <c r="BJ3" s="9" t="s">
        <v>155</v>
      </c>
      <c r="BK3" s="9" t="s">
        <v>157</v>
      </c>
      <c r="BL3" s="9" t="s">
        <v>157</v>
      </c>
      <c r="BM3" s="9" t="s">
        <v>157</v>
      </c>
      <c r="BN3" s="9" t="s">
        <v>157</v>
      </c>
      <c r="BO3" s="9" t="s">
        <v>157</v>
      </c>
      <c r="BP3" s="9" t="s">
        <v>157</v>
      </c>
      <c r="BQ3" s="9" t="s">
        <v>157</v>
      </c>
      <c r="BR3" s="9" t="s">
        <v>157</v>
      </c>
      <c r="BS3" s="9" t="s">
        <v>157</v>
      </c>
      <c r="BT3" s="9" t="s">
        <v>157</v>
      </c>
      <c r="BU3" s="9" t="s">
        <v>157</v>
      </c>
      <c r="BV3" s="9" t="s">
        <v>157</v>
      </c>
      <c r="BW3" s="9" t="s">
        <v>157</v>
      </c>
      <c r="BX3" s="9" t="s">
        <v>157</v>
      </c>
      <c r="BY3" s="9" t="s">
        <v>157</v>
      </c>
      <c r="BZ3" s="9" t="s">
        <v>157</v>
      </c>
      <c r="CA3" s="9" t="s">
        <v>157</v>
      </c>
      <c r="CB3" s="9" t="s">
        <v>157</v>
      </c>
      <c r="CC3" s="9" t="s">
        <v>157</v>
      </c>
      <c r="CD3" s="9" t="s">
        <v>157</v>
      </c>
      <c r="CE3" s="9" t="s">
        <v>157</v>
      </c>
      <c r="CF3" s="9" t="s">
        <v>157</v>
      </c>
      <c r="CG3" s="9" t="s">
        <v>157</v>
      </c>
      <c r="CH3" s="9" t="s">
        <v>157</v>
      </c>
      <c r="CI3" s="9" t="s">
        <v>157</v>
      </c>
      <c r="CJ3" s="9" t="s">
        <v>157</v>
      </c>
      <c r="CK3" s="9" t="s">
        <v>157</v>
      </c>
      <c r="CL3" s="9" t="s">
        <v>156</v>
      </c>
      <c r="CM3" s="9" t="s">
        <v>157</v>
      </c>
      <c r="CN3" s="9" t="s">
        <v>157</v>
      </c>
      <c r="CO3" s="9" t="s">
        <v>157</v>
      </c>
      <c r="CP3" s="9" t="s">
        <v>157</v>
      </c>
      <c r="CQ3" s="9" t="s">
        <v>157</v>
      </c>
      <c r="CR3" s="9" t="s">
        <v>157</v>
      </c>
      <c r="CS3" s="9" t="s">
        <v>157</v>
      </c>
      <c r="CT3" s="9" t="s">
        <v>155</v>
      </c>
      <c r="CU3" s="9" t="s">
        <v>156</v>
      </c>
      <c r="CV3" s="9" t="s">
        <v>157</v>
      </c>
      <c r="CW3" s="9" t="s">
        <v>157</v>
      </c>
      <c r="CX3" s="9" t="s">
        <v>157</v>
      </c>
      <c r="CY3" s="9" t="s">
        <v>157</v>
      </c>
      <c r="CZ3" s="7">
        <v>5.0</v>
      </c>
      <c r="DA3" s="7">
        <v>2.0</v>
      </c>
      <c r="DB3" s="7">
        <v>2.0</v>
      </c>
      <c r="DC3" s="7">
        <v>2.0</v>
      </c>
      <c r="DD3" s="7">
        <v>2.0</v>
      </c>
      <c r="DE3" s="7">
        <v>2.0</v>
      </c>
      <c r="DF3" s="7">
        <v>2.0</v>
      </c>
      <c r="DG3" s="7">
        <v>5.0</v>
      </c>
      <c r="DH3" s="7">
        <v>2.0</v>
      </c>
      <c r="DI3" s="7">
        <v>5.0</v>
      </c>
      <c r="DJ3" s="7">
        <v>5.0</v>
      </c>
      <c r="DK3" s="7">
        <v>5.0</v>
      </c>
      <c r="DL3" s="7">
        <v>5.0</v>
      </c>
      <c r="DM3" s="7">
        <v>5.0</v>
      </c>
      <c r="DN3" s="7">
        <v>5.0</v>
      </c>
      <c r="DO3" s="7">
        <v>5.0</v>
      </c>
      <c r="DP3" s="7">
        <v>4.0</v>
      </c>
      <c r="DQ3" s="7">
        <v>2.0</v>
      </c>
      <c r="DR3" s="7">
        <v>2.0</v>
      </c>
      <c r="DS3" s="7">
        <v>5.0</v>
      </c>
      <c r="DT3" s="7">
        <v>2.0</v>
      </c>
    </row>
    <row r="4">
      <c r="A4" s="7" t="s">
        <v>159</v>
      </c>
      <c r="B4" s="7" t="s">
        <v>160</v>
      </c>
      <c r="C4" s="7" t="s">
        <v>160</v>
      </c>
      <c r="D4" s="7" t="s">
        <v>160</v>
      </c>
      <c r="E4" s="7" t="s">
        <v>160</v>
      </c>
      <c r="F4" s="7" t="s">
        <v>160</v>
      </c>
      <c r="G4" s="7" t="s">
        <v>160</v>
      </c>
      <c r="H4" s="7" t="s">
        <v>160</v>
      </c>
      <c r="I4" s="7" t="s">
        <v>160</v>
      </c>
      <c r="J4" s="7" t="s">
        <v>160</v>
      </c>
      <c r="K4" s="7" t="s">
        <v>160</v>
      </c>
      <c r="L4" s="7" t="s">
        <v>160</v>
      </c>
      <c r="M4" s="7" t="s">
        <v>160</v>
      </c>
      <c r="N4" s="7" t="s">
        <v>160</v>
      </c>
      <c r="O4" s="7" t="s">
        <v>160</v>
      </c>
      <c r="P4" s="7" t="s">
        <v>161</v>
      </c>
      <c r="Q4" s="7" t="s">
        <v>160</v>
      </c>
      <c r="R4" s="7" t="s">
        <v>160</v>
      </c>
      <c r="S4" s="7" t="s">
        <v>160</v>
      </c>
      <c r="T4" s="7" t="s">
        <v>160</v>
      </c>
      <c r="U4" s="7" t="s">
        <v>160</v>
      </c>
      <c r="V4" s="7" t="s">
        <v>160</v>
      </c>
      <c r="W4" s="7" t="s">
        <v>160</v>
      </c>
      <c r="X4" s="7" t="s">
        <v>160</v>
      </c>
      <c r="Y4" s="7" t="s">
        <v>160</v>
      </c>
      <c r="Z4" s="7" t="s">
        <v>160</v>
      </c>
      <c r="AA4" s="7" t="s">
        <v>160</v>
      </c>
      <c r="AB4" s="7" t="s">
        <v>160</v>
      </c>
      <c r="AC4" s="7" t="s">
        <v>160</v>
      </c>
      <c r="AD4" s="7" t="s">
        <v>160</v>
      </c>
      <c r="AE4" s="7" t="s">
        <v>160</v>
      </c>
      <c r="AF4" s="7" t="s">
        <v>160</v>
      </c>
      <c r="AG4" s="7" t="s">
        <v>160</v>
      </c>
      <c r="AH4" s="7" t="s">
        <v>160</v>
      </c>
      <c r="AI4" s="7" t="s">
        <v>160</v>
      </c>
      <c r="AJ4" s="7" t="s">
        <v>160</v>
      </c>
      <c r="AK4" s="7" t="s">
        <v>160</v>
      </c>
      <c r="AL4" s="7" t="s">
        <v>160</v>
      </c>
      <c r="AM4" s="7" t="s">
        <v>160</v>
      </c>
      <c r="AN4" s="7" t="s">
        <v>160</v>
      </c>
      <c r="AO4" s="7" t="s">
        <v>160</v>
      </c>
      <c r="AP4" s="7" t="s">
        <v>161</v>
      </c>
      <c r="AQ4" s="7" t="s">
        <v>160</v>
      </c>
      <c r="AR4" s="7" t="s">
        <v>160</v>
      </c>
      <c r="AS4" s="7" t="s">
        <v>160</v>
      </c>
      <c r="AT4" s="7" t="s">
        <v>160</v>
      </c>
      <c r="AU4" s="7" t="s">
        <v>160</v>
      </c>
      <c r="AV4" s="7" t="s">
        <v>160</v>
      </c>
      <c r="AW4" s="7" t="s">
        <v>162</v>
      </c>
      <c r="AX4" s="7" t="s">
        <v>161</v>
      </c>
      <c r="AY4" s="7" t="s">
        <v>161</v>
      </c>
      <c r="AZ4" s="7" t="s">
        <v>161</v>
      </c>
      <c r="BA4" s="7" t="s">
        <v>161</v>
      </c>
      <c r="BB4" s="7" t="s">
        <v>161</v>
      </c>
      <c r="BC4" s="7" t="s">
        <v>161</v>
      </c>
      <c r="BD4" s="7" t="s">
        <v>161</v>
      </c>
      <c r="BE4" s="7" t="s">
        <v>161</v>
      </c>
      <c r="BF4" s="7" t="s">
        <v>161</v>
      </c>
      <c r="BG4" s="7" t="s">
        <v>161</v>
      </c>
      <c r="BH4" s="7" t="s">
        <v>161</v>
      </c>
      <c r="BI4" s="7" t="s">
        <v>161</v>
      </c>
      <c r="BJ4" s="7" t="s">
        <v>161</v>
      </c>
      <c r="BK4" s="7" t="s">
        <v>161</v>
      </c>
      <c r="BL4" s="7" t="s">
        <v>161</v>
      </c>
      <c r="BM4" s="7" t="s">
        <v>161</v>
      </c>
      <c r="BN4" s="7" t="s">
        <v>161</v>
      </c>
      <c r="BO4" s="7" t="s">
        <v>161</v>
      </c>
      <c r="BP4" s="7" t="s">
        <v>161</v>
      </c>
      <c r="BQ4" s="7" t="s">
        <v>161</v>
      </c>
      <c r="BR4" s="7" t="s">
        <v>161</v>
      </c>
      <c r="BS4" s="7" t="s">
        <v>161</v>
      </c>
      <c r="BT4" s="7" t="s">
        <v>161</v>
      </c>
      <c r="BU4" s="7" t="s">
        <v>161</v>
      </c>
      <c r="BV4" s="7" t="s">
        <v>161</v>
      </c>
      <c r="BW4" s="7" t="s">
        <v>161</v>
      </c>
      <c r="BX4" s="7" t="s">
        <v>161</v>
      </c>
      <c r="BY4" s="7" t="s">
        <v>161</v>
      </c>
      <c r="BZ4" s="7" t="s">
        <v>161</v>
      </c>
      <c r="CA4" s="7" t="s">
        <v>161</v>
      </c>
      <c r="CB4" s="7" t="s">
        <v>161</v>
      </c>
      <c r="CC4" s="7" t="s">
        <v>161</v>
      </c>
      <c r="CD4" s="7" t="s">
        <v>161</v>
      </c>
      <c r="CE4" s="7" t="s">
        <v>161</v>
      </c>
      <c r="CF4" s="7" t="s">
        <v>161</v>
      </c>
      <c r="CG4" s="7" t="s">
        <v>161</v>
      </c>
      <c r="CH4" s="7" t="s">
        <v>161</v>
      </c>
      <c r="CI4" s="7" t="s">
        <v>161</v>
      </c>
      <c r="CJ4" s="7" t="s">
        <v>161</v>
      </c>
      <c r="CK4" s="7" t="s">
        <v>161</v>
      </c>
      <c r="CL4" s="7" t="s">
        <v>161</v>
      </c>
      <c r="CM4" s="7" t="s">
        <v>161</v>
      </c>
      <c r="CN4" s="7" t="s">
        <v>161</v>
      </c>
      <c r="CO4" s="7" t="s">
        <v>161</v>
      </c>
      <c r="CP4" s="7" t="s">
        <v>161</v>
      </c>
      <c r="CQ4" s="7" t="s">
        <v>161</v>
      </c>
      <c r="CR4" s="7" t="s">
        <v>161</v>
      </c>
      <c r="CS4" s="7" t="s">
        <v>161</v>
      </c>
      <c r="CT4" s="7" t="s">
        <v>161</v>
      </c>
      <c r="CU4" s="7" t="s">
        <v>161</v>
      </c>
      <c r="CV4" s="7" t="s">
        <v>161</v>
      </c>
      <c r="CW4" s="7" t="s">
        <v>161</v>
      </c>
      <c r="CX4" s="7" t="s">
        <v>161</v>
      </c>
      <c r="CY4" s="7" t="s">
        <v>161</v>
      </c>
      <c r="CZ4" s="7" t="s">
        <v>160</v>
      </c>
      <c r="DA4" s="7" t="s">
        <v>161</v>
      </c>
      <c r="DB4" s="7" t="s">
        <v>161</v>
      </c>
      <c r="DC4" s="7" t="s">
        <v>161</v>
      </c>
      <c r="DD4" s="7" t="s">
        <v>161</v>
      </c>
      <c r="DE4" s="7" t="s">
        <v>161</v>
      </c>
      <c r="DF4" s="7" t="s">
        <v>161</v>
      </c>
      <c r="DG4" s="7" t="s">
        <v>160</v>
      </c>
      <c r="DH4" s="7" t="s">
        <v>161</v>
      </c>
      <c r="DI4" s="7" t="s">
        <v>161</v>
      </c>
      <c r="DJ4" s="7" t="s">
        <v>161</v>
      </c>
      <c r="DK4" s="7" t="s">
        <v>161</v>
      </c>
      <c r="DL4" s="7" t="s">
        <v>161</v>
      </c>
      <c r="DM4" s="7" t="s">
        <v>161</v>
      </c>
      <c r="DN4" s="7" t="s">
        <v>161</v>
      </c>
      <c r="DO4" s="7" t="s">
        <v>160</v>
      </c>
      <c r="DP4" s="7"/>
      <c r="DQ4" s="7" t="s">
        <v>161</v>
      </c>
      <c r="DR4" s="7" t="s">
        <v>161</v>
      </c>
      <c r="DS4" s="7" t="s">
        <v>163</v>
      </c>
      <c r="DT4" s="7" t="s">
        <v>161</v>
      </c>
    </row>
    <row r="5">
      <c r="A5" s="9" t="s">
        <v>164</v>
      </c>
      <c r="B5" s="13"/>
      <c r="C5" s="13"/>
      <c r="D5" s="13"/>
      <c r="E5" s="13"/>
      <c r="F5" s="13"/>
      <c r="G5" s="13"/>
      <c r="H5" s="16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</row>
    <row r="6">
      <c r="A6" s="9" t="s">
        <v>165</v>
      </c>
      <c r="B6" s="13"/>
      <c r="C6" s="13"/>
      <c r="D6" s="13"/>
      <c r="E6" s="13"/>
      <c r="F6" s="13"/>
      <c r="G6" s="13"/>
      <c r="H6" s="1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</row>
    <row r="7">
      <c r="A7" s="9" t="s">
        <v>166</v>
      </c>
      <c r="B7" s="13"/>
      <c r="C7" s="13"/>
      <c r="D7" s="13"/>
      <c r="E7" s="13"/>
      <c r="F7" s="13"/>
      <c r="G7" s="13"/>
      <c r="H7" s="1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</row>
    <row r="8">
      <c r="A8" s="9" t="s">
        <v>167</v>
      </c>
      <c r="B8" s="13"/>
      <c r="C8" s="13"/>
      <c r="D8" s="13"/>
      <c r="E8" s="13"/>
      <c r="F8" s="13"/>
      <c r="G8" s="13"/>
      <c r="H8" s="16"/>
      <c r="I8" s="13"/>
      <c r="J8" s="13"/>
      <c r="K8" s="28">
        <v>4.0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</row>
    <row r="9">
      <c r="A9" s="9" t="s">
        <v>169</v>
      </c>
      <c r="B9" s="13"/>
      <c r="C9" s="13"/>
      <c r="D9" s="13"/>
      <c r="E9" s="13"/>
      <c r="F9" s="13"/>
      <c r="G9" s="13"/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</row>
    <row r="10">
      <c r="A10" s="9" t="s">
        <v>170</v>
      </c>
      <c r="B10" s="13"/>
      <c r="C10" s="13"/>
      <c r="D10" s="13"/>
      <c r="E10" s="13"/>
      <c r="F10" s="13"/>
      <c r="G10" s="13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</row>
    <row r="11">
      <c r="A11" s="9" t="s">
        <v>171</v>
      </c>
      <c r="B11" s="13"/>
      <c r="C11" s="13"/>
      <c r="D11" s="13"/>
      <c r="E11" s="13"/>
      <c r="F11" s="13"/>
      <c r="G11" s="13"/>
      <c r="H11" s="16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</row>
    <row r="12">
      <c r="A12" s="9" t="s">
        <v>172</v>
      </c>
      <c r="B12" s="13"/>
      <c r="C12" s="13"/>
      <c r="D12" s="13"/>
      <c r="E12" s="13"/>
      <c r="F12" s="13"/>
      <c r="G12" s="13"/>
      <c r="H12" s="16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</row>
    <row r="13">
      <c r="A13" s="9" t="s">
        <v>173</v>
      </c>
      <c r="B13" s="13"/>
      <c r="C13" s="13"/>
      <c r="D13" s="13"/>
      <c r="E13" s="13"/>
      <c r="F13" s="13"/>
      <c r="G13" s="13"/>
      <c r="H13" s="1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</row>
    <row r="14">
      <c r="A14" s="9" t="s">
        <v>176</v>
      </c>
      <c r="B14" s="13"/>
      <c r="C14" s="13"/>
      <c r="D14" s="13"/>
      <c r="E14" s="13"/>
      <c r="F14" s="13"/>
      <c r="G14" s="13"/>
      <c r="H14" s="1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</row>
    <row r="15">
      <c r="A15" s="9" t="s">
        <v>177</v>
      </c>
      <c r="B15" s="13"/>
      <c r="C15" s="13"/>
      <c r="D15" s="13"/>
      <c r="E15" s="13"/>
      <c r="F15" s="13"/>
      <c r="G15" s="13"/>
      <c r="H15" s="16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</row>
    <row r="16">
      <c r="A16" s="9" t="s">
        <v>178</v>
      </c>
      <c r="B16" s="13"/>
      <c r="C16" s="13"/>
      <c r="D16" s="13"/>
      <c r="E16" s="13"/>
      <c r="F16" s="13"/>
      <c r="G16" s="13"/>
      <c r="H16" s="1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</row>
    <row r="17">
      <c r="A17" s="9" t="s">
        <v>179</v>
      </c>
      <c r="B17" s="13"/>
      <c r="C17" s="13"/>
      <c r="D17" s="13"/>
      <c r="E17" s="13"/>
      <c r="F17" s="13"/>
      <c r="G17" s="13"/>
      <c r="H17" s="1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</row>
    <row r="18">
      <c r="A18" s="9" t="s">
        <v>180</v>
      </c>
      <c r="B18" s="13"/>
      <c r="C18" s="13"/>
      <c r="D18" s="13"/>
      <c r="E18" s="13"/>
      <c r="F18" s="13"/>
      <c r="G18" s="13"/>
      <c r="H18" s="1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</row>
    <row r="19">
      <c r="A19" s="9" t="s">
        <v>181</v>
      </c>
      <c r="B19" s="13"/>
      <c r="C19" s="13"/>
      <c r="D19" s="13"/>
      <c r="E19" s="13"/>
      <c r="F19" s="13"/>
      <c r="G19" s="13"/>
      <c r="H19" s="1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</row>
    <row r="20">
      <c r="A20" s="9" t="s">
        <v>182</v>
      </c>
      <c r="B20" s="13"/>
      <c r="C20" s="13"/>
      <c r="D20" s="13"/>
      <c r="E20" s="13"/>
      <c r="F20" s="13"/>
      <c r="G20" s="13"/>
      <c r="H20" s="16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</row>
    <row r="21">
      <c r="A21" s="9" t="s">
        <v>183</v>
      </c>
      <c r="B21" s="13"/>
      <c r="C21" s="13"/>
      <c r="D21" s="13"/>
      <c r="E21" s="13"/>
      <c r="F21" s="13"/>
      <c r="G21" s="13"/>
      <c r="H21" s="16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</row>
    <row r="22">
      <c r="A22" s="9" t="s">
        <v>184</v>
      </c>
      <c r="B22" s="13"/>
      <c r="C22" s="13"/>
      <c r="D22" s="13"/>
      <c r="E22" s="13"/>
      <c r="F22" s="13"/>
      <c r="G22" s="13"/>
      <c r="H22" s="1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</row>
    <row r="23" ht="15.75" customHeight="1">
      <c r="A23" s="9" t="s">
        <v>185</v>
      </c>
      <c r="B23" s="13"/>
      <c r="C23" s="13"/>
      <c r="D23" s="13"/>
      <c r="E23" s="13"/>
      <c r="F23" s="13"/>
      <c r="G23" s="13"/>
      <c r="H23" s="16"/>
      <c r="I23" s="13"/>
      <c r="J23" s="13"/>
      <c r="K23" s="13"/>
      <c r="L23" s="13"/>
      <c r="M23" s="13"/>
      <c r="N23" s="12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2">
        <v>0.02</v>
      </c>
      <c r="BL23" s="13"/>
      <c r="BM23" s="13"/>
      <c r="BN23" s="13"/>
      <c r="BO23" s="13"/>
      <c r="BP23" s="13"/>
      <c r="BQ23" s="13"/>
      <c r="BR23" s="13"/>
      <c r="BS23" s="13">
        <v>0.02</v>
      </c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</row>
    <row r="24" ht="15.75" customHeight="1">
      <c r="A24" s="9" t="s">
        <v>186</v>
      </c>
      <c r="B24" s="13"/>
      <c r="C24" s="13"/>
      <c r="D24" s="13"/>
      <c r="E24" s="13"/>
      <c r="F24" s="13"/>
      <c r="G24" s="13"/>
      <c r="H24" s="16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</row>
    <row r="25" ht="15.75" customHeight="1">
      <c r="A25" s="9" t="s">
        <v>187</v>
      </c>
      <c r="B25" s="13"/>
      <c r="C25" s="13"/>
      <c r="D25" s="13"/>
      <c r="E25" s="13"/>
      <c r="F25" s="13"/>
      <c r="G25" s="13"/>
      <c r="H25" s="1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</row>
    <row r="26" ht="15.75" customHeight="1">
      <c r="A26" s="9" t="s">
        <v>151</v>
      </c>
      <c r="B26" s="13"/>
      <c r="C26" s="13"/>
      <c r="D26" s="13"/>
      <c r="E26" s="13"/>
      <c r="F26" s="13"/>
      <c r="G26" s="13"/>
      <c r="H26" s="16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</row>
    <row r="27" ht="15.75" customHeight="1">
      <c r="A27" s="9" t="s">
        <v>188</v>
      </c>
      <c r="B27" s="13"/>
      <c r="C27" s="13"/>
      <c r="D27" s="13"/>
      <c r="E27" s="13"/>
      <c r="F27" s="13"/>
      <c r="G27" s="13"/>
      <c r="H27" s="16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</row>
    <row r="28" ht="15.75" customHeight="1">
      <c r="A28" s="9" t="s">
        <v>190</v>
      </c>
      <c r="B28" s="13"/>
      <c r="C28" s="13"/>
      <c r="D28" s="13"/>
      <c r="E28" s="13"/>
      <c r="F28" s="13"/>
      <c r="G28" s="13"/>
      <c r="H28" s="16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</row>
    <row r="29" ht="15.75" customHeight="1">
      <c r="A29" s="9" t="s">
        <v>191</v>
      </c>
      <c r="B29" s="13"/>
      <c r="C29" s="13"/>
      <c r="D29" s="13"/>
      <c r="E29" s="13"/>
      <c r="F29" s="13"/>
      <c r="G29" s="13"/>
      <c r="H29" s="16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</row>
    <row r="30" ht="15.75" customHeight="1">
      <c r="A30" s="9" t="s">
        <v>192</v>
      </c>
      <c r="B30" s="13"/>
      <c r="C30" s="13"/>
      <c r="D30" s="13"/>
      <c r="E30" s="13"/>
      <c r="F30" s="13"/>
      <c r="G30" s="13"/>
      <c r="H30" s="16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</row>
    <row r="31" ht="15.75" customHeight="1">
      <c r="A31" s="9" t="s">
        <v>193</v>
      </c>
      <c r="B31" s="13"/>
      <c r="C31" s="13"/>
      <c r="D31" s="13"/>
      <c r="E31" s="13"/>
      <c r="F31" s="13"/>
      <c r="G31" s="13"/>
      <c r="H31" s="16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</row>
    <row r="32" ht="15.75" customHeight="1">
      <c r="A32" s="9" t="s">
        <v>194</v>
      </c>
      <c r="B32" s="13"/>
      <c r="C32" s="13"/>
      <c r="D32" s="13"/>
      <c r="E32" s="13"/>
      <c r="F32" s="13"/>
      <c r="G32" s="13"/>
      <c r="H32" s="16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</row>
    <row r="33" ht="15.75" customHeight="1">
      <c r="A33" s="9" t="s">
        <v>196</v>
      </c>
      <c r="B33" s="13"/>
      <c r="C33" s="13"/>
      <c r="D33" s="13"/>
      <c r="E33" s="13"/>
      <c r="F33" s="13"/>
      <c r="G33" s="13"/>
      <c r="H33" s="16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</row>
    <row r="34" ht="15.75" customHeight="1">
      <c r="A34" s="9" t="s">
        <v>197</v>
      </c>
      <c r="B34" s="13"/>
      <c r="C34" s="13"/>
      <c r="D34" s="13"/>
      <c r="E34" s="13"/>
      <c r="F34" s="13"/>
      <c r="G34" s="13"/>
      <c r="H34" s="16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</row>
    <row r="35" ht="15.75" customHeight="1">
      <c r="A35" s="9" t="s">
        <v>198</v>
      </c>
      <c r="B35" s="13"/>
      <c r="C35" s="13"/>
      <c r="D35" s="13"/>
      <c r="E35" s="13"/>
      <c r="F35" s="13"/>
      <c r="G35" s="13"/>
      <c r="H35" s="16"/>
      <c r="I35" s="13"/>
      <c r="J35" s="13"/>
      <c r="K35" s="13"/>
      <c r="L35" s="13"/>
      <c r="M35" s="13"/>
      <c r="N35" s="12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</row>
    <row r="36" ht="15.75" customHeight="1">
      <c r="A36" s="9" t="s">
        <v>199</v>
      </c>
      <c r="B36" s="13"/>
      <c r="C36" s="13"/>
      <c r="D36" s="13"/>
      <c r="E36" s="13"/>
      <c r="F36" s="13"/>
      <c r="G36" s="13"/>
      <c r="H36" s="16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</row>
    <row r="37" ht="15.75" customHeight="1">
      <c r="A37" s="9" t="s">
        <v>200</v>
      </c>
      <c r="B37" s="13"/>
      <c r="C37" s="13"/>
      <c r="D37" s="13"/>
      <c r="E37" s="13"/>
      <c r="F37" s="13"/>
      <c r="G37" s="13"/>
      <c r="H37" s="16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</row>
    <row r="38" ht="15.75" customHeight="1">
      <c r="A38" s="9" t="s">
        <v>202</v>
      </c>
      <c r="B38" s="13"/>
      <c r="C38" s="13"/>
      <c r="D38" s="13"/>
      <c r="E38" s="13"/>
      <c r="F38" s="13"/>
      <c r="G38" s="13"/>
      <c r="H38" s="16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</row>
    <row r="39" ht="15.75" customHeight="1">
      <c r="A39" s="9" t="s">
        <v>203</v>
      </c>
      <c r="B39" s="13"/>
      <c r="C39" s="13"/>
      <c r="D39" s="13"/>
      <c r="E39" s="13"/>
      <c r="F39" s="13"/>
      <c r="G39" s="13"/>
      <c r="H39" s="16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</row>
    <row r="40" ht="15.75" customHeight="1">
      <c r="A40" s="9" t="s">
        <v>204</v>
      </c>
      <c r="B40" s="13"/>
      <c r="C40" s="13"/>
      <c r="D40" s="13"/>
      <c r="E40" s="13"/>
      <c r="F40" s="13"/>
      <c r="G40" s="13"/>
      <c r="H40" s="16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</row>
    <row r="41" ht="15.75" customHeight="1">
      <c r="A41" s="9" t="s">
        <v>205</v>
      </c>
      <c r="B41" s="13"/>
      <c r="C41" s="13"/>
      <c r="D41" s="13"/>
      <c r="E41" s="13"/>
      <c r="F41" s="13"/>
      <c r="G41" s="13"/>
      <c r="H41" s="16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</row>
    <row r="42" ht="15.75" customHeight="1">
      <c r="A42" s="9" t="s">
        <v>206</v>
      </c>
      <c r="B42" s="13"/>
      <c r="C42" s="13"/>
      <c r="D42" s="13"/>
      <c r="E42" s="13"/>
      <c r="F42" s="13"/>
      <c r="G42" s="13"/>
      <c r="H42" s="16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</row>
    <row r="43" ht="15.75" customHeight="1">
      <c r="A43" s="9" t="s">
        <v>207</v>
      </c>
      <c r="B43" s="13"/>
      <c r="C43" s="13"/>
      <c r="D43" s="13"/>
      <c r="E43" s="13"/>
      <c r="F43" s="13"/>
      <c r="G43" s="13"/>
      <c r="H43" s="16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</row>
    <row r="44" ht="15.75" customHeight="1">
      <c r="A44" s="9" t="s">
        <v>208</v>
      </c>
      <c r="B44" s="13"/>
      <c r="C44" s="13"/>
      <c r="D44" s="13"/>
      <c r="E44" s="13"/>
      <c r="F44" s="13"/>
      <c r="G44" s="13"/>
      <c r="H44" s="16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29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</row>
    <row r="45" ht="15.75" customHeight="1">
      <c r="A45" s="9" t="s">
        <v>209</v>
      </c>
      <c r="B45" s="13"/>
      <c r="C45" s="13"/>
      <c r="D45" s="13"/>
      <c r="E45" s="13"/>
      <c r="F45" s="13"/>
      <c r="G45" s="13"/>
      <c r="H45" s="16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</row>
    <row r="46" ht="15.75" customHeight="1">
      <c r="A46" s="9" t="s">
        <v>210</v>
      </c>
      <c r="B46" s="13"/>
      <c r="C46" s="13"/>
      <c r="D46" s="13"/>
      <c r="E46" s="13"/>
      <c r="F46" s="13"/>
      <c r="G46" s="13"/>
      <c r="H46" s="16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</row>
    <row r="47" ht="15.75" customHeight="1">
      <c r="A47" s="9" t="s">
        <v>211</v>
      </c>
      <c r="B47" s="13"/>
      <c r="C47" s="13"/>
      <c r="D47" s="13"/>
      <c r="E47" s="13"/>
      <c r="F47" s="13"/>
      <c r="G47" s="13"/>
      <c r="H47" s="16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</row>
    <row r="48" ht="15.75" customHeight="1">
      <c r="A48" s="9" t="s">
        <v>212</v>
      </c>
      <c r="B48" s="13"/>
      <c r="C48" s="13"/>
      <c r="D48" s="13"/>
      <c r="E48" s="13"/>
      <c r="F48" s="13"/>
      <c r="G48" s="13"/>
      <c r="H48" s="16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</row>
    <row r="49" ht="15.75" customHeight="1">
      <c r="A49" s="9" t="s">
        <v>213</v>
      </c>
      <c r="B49" s="13"/>
      <c r="C49" s="13"/>
      <c r="D49" s="13"/>
      <c r="E49" s="13"/>
      <c r="F49" s="13"/>
      <c r="G49" s="13"/>
      <c r="H49" s="16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</row>
    <row r="50" ht="15.75" customHeight="1">
      <c r="A50" s="9" t="s">
        <v>214</v>
      </c>
      <c r="B50" s="13"/>
      <c r="C50" s="13"/>
      <c r="D50" s="13"/>
      <c r="E50" s="13"/>
      <c r="F50" s="13"/>
      <c r="G50" s="13"/>
      <c r="H50" s="16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>
        <v>0.0</v>
      </c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</row>
    <row r="51" ht="15.75" customHeight="1">
      <c r="A51" s="9" t="s">
        <v>215</v>
      </c>
      <c r="B51" s="13"/>
      <c r="C51" s="13"/>
      <c r="D51" s="13"/>
      <c r="E51" s="13"/>
      <c r="F51" s="13"/>
      <c r="G51" s="13"/>
      <c r="H51" s="16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</row>
    <row r="52" ht="15.75" customHeight="1">
      <c r="A52" s="9" t="s">
        <v>216</v>
      </c>
      <c r="B52" s="13"/>
      <c r="C52" s="13"/>
      <c r="D52" s="13"/>
      <c r="E52" s="13"/>
      <c r="F52" s="13"/>
      <c r="G52" s="13"/>
      <c r="H52" s="16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</row>
    <row r="53" ht="15.75" customHeight="1">
      <c r="A53" s="9" t="s">
        <v>217</v>
      </c>
      <c r="B53" s="13"/>
      <c r="C53" s="13"/>
      <c r="D53" s="13"/>
      <c r="E53" s="13"/>
      <c r="F53" s="13"/>
      <c r="G53" s="13"/>
      <c r="H53" s="16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</row>
    <row r="54" ht="15.75" customHeight="1">
      <c r="A54" s="9" t="s">
        <v>218</v>
      </c>
      <c r="B54" s="13"/>
      <c r="C54" s="13"/>
      <c r="D54" s="13"/>
      <c r="E54" s="13"/>
      <c r="F54" s="13"/>
      <c r="G54" s="13"/>
      <c r="H54" s="16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</row>
    <row r="55" ht="15.75" customHeight="1">
      <c r="A55" s="9" t="s">
        <v>219</v>
      </c>
      <c r="B55" s="13"/>
      <c r="C55" s="13"/>
      <c r="D55" s="13"/>
      <c r="E55" s="13"/>
      <c r="F55" s="13"/>
      <c r="G55" s="13"/>
      <c r="H55" s="16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</row>
    <row r="56" ht="15.75" customHeight="1">
      <c r="A56" s="9" t="s">
        <v>220</v>
      </c>
      <c r="B56" s="13"/>
      <c r="C56" s="13"/>
      <c r="D56" s="13"/>
      <c r="E56" s="13"/>
      <c r="F56" s="13"/>
      <c r="G56" s="13"/>
      <c r="H56" s="16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</row>
    <row r="57" ht="15.75" customHeight="1">
      <c r="A57" s="9" t="s">
        <v>221</v>
      </c>
      <c r="B57" s="13"/>
      <c r="C57" s="13"/>
      <c r="D57" s="13"/>
      <c r="E57" s="13"/>
      <c r="F57" s="13"/>
      <c r="G57" s="13"/>
      <c r="H57" s="16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</row>
    <row r="58" ht="15.75" customHeight="1">
      <c r="A58" s="9" t="s">
        <v>223</v>
      </c>
      <c r="B58" s="13"/>
      <c r="C58" s="13"/>
      <c r="D58" s="13"/>
      <c r="E58" s="13"/>
      <c r="F58" s="13"/>
      <c r="G58" s="13"/>
      <c r="H58" s="16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</row>
    <row r="59" ht="15.75" customHeight="1">
      <c r="A59" s="9" t="s">
        <v>224</v>
      </c>
      <c r="B59" s="13"/>
      <c r="C59" s="13"/>
      <c r="D59" s="13"/>
      <c r="E59" s="13"/>
      <c r="F59" s="13"/>
      <c r="G59" s="13"/>
      <c r="H59" s="16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</row>
    <row r="60" ht="15.75" customHeight="1">
      <c r="A60" s="9" t="s">
        <v>226</v>
      </c>
      <c r="B60" s="13"/>
      <c r="C60" s="13"/>
      <c r="D60" s="13"/>
      <c r="E60" s="13"/>
      <c r="F60" s="13"/>
      <c r="G60" s="13"/>
      <c r="H60" s="16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</row>
    <row r="61" ht="15.75" customHeight="1">
      <c r="A61" s="9" t="s">
        <v>228</v>
      </c>
      <c r="B61" s="13"/>
      <c r="C61" s="13"/>
      <c r="D61" s="13"/>
      <c r="E61" s="13"/>
      <c r="F61" s="13"/>
      <c r="G61" s="13"/>
      <c r="H61" s="16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</row>
    <row r="62" ht="15.75" customHeight="1">
      <c r="A62" s="9" t="s">
        <v>229</v>
      </c>
      <c r="B62" s="13"/>
      <c r="C62" s="13"/>
      <c r="D62" s="13"/>
      <c r="E62" s="13"/>
      <c r="F62" s="13"/>
      <c r="G62" s="13"/>
      <c r="H62" s="16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</row>
    <row r="63" ht="15.75" customHeight="1">
      <c r="A63" s="9" t="s">
        <v>233</v>
      </c>
      <c r="B63" s="13"/>
      <c r="C63" s="13"/>
      <c r="D63" s="13"/>
      <c r="E63" s="13"/>
      <c r="F63" s="13"/>
      <c r="G63" s="13"/>
      <c r="H63" s="16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</row>
    <row r="64" ht="15.75" customHeight="1">
      <c r="A64" s="9" t="s">
        <v>234</v>
      </c>
      <c r="B64" s="13"/>
      <c r="C64" s="13"/>
      <c r="D64" s="13"/>
      <c r="E64" s="13"/>
      <c r="F64" s="13"/>
      <c r="G64" s="13"/>
      <c r="H64" s="16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</row>
    <row r="65" ht="15.75" customHeight="1">
      <c r="A65" s="9" t="s">
        <v>235</v>
      </c>
      <c r="B65" s="13"/>
      <c r="C65" s="13"/>
      <c r="D65" s="13"/>
      <c r="E65" s="13"/>
      <c r="F65" s="13"/>
      <c r="G65" s="13"/>
      <c r="H65" s="16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</row>
    <row r="66" ht="15.75" customHeight="1">
      <c r="A66" s="9" t="s">
        <v>236</v>
      </c>
      <c r="B66" s="13"/>
      <c r="C66" s="13"/>
      <c r="D66" s="13"/>
      <c r="E66" s="13"/>
      <c r="F66" s="13"/>
      <c r="G66" s="13"/>
      <c r="H66" s="1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</row>
    <row r="67" ht="15.75" customHeight="1">
      <c r="A67" s="9" t="s">
        <v>237</v>
      </c>
      <c r="B67" s="13"/>
      <c r="C67" s="13"/>
      <c r="D67" s="13"/>
      <c r="E67" s="13"/>
      <c r="F67" s="13"/>
      <c r="G67" s="13"/>
      <c r="H67" s="16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</row>
    <row r="68" ht="15.75" customHeight="1">
      <c r="A68" s="9" t="s">
        <v>238</v>
      </c>
      <c r="B68" s="13"/>
      <c r="C68" s="13"/>
      <c r="D68" s="13"/>
      <c r="E68" s="13"/>
      <c r="F68" s="13"/>
      <c r="G68" s="13"/>
      <c r="H68" s="16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</row>
    <row r="69" ht="15.75" customHeight="1">
      <c r="A69" s="9" t="s">
        <v>239</v>
      </c>
      <c r="B69" s="13"/>
      <c r="C69" s="13"/>
      <c r="D69" s="13"/>
      <c r="E69" s="13"/>
      <c r="F69" s="13"/>
      <c r="G69" s="13"/>
      <c r="H69" s="1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</row>
    <row r="70" ht="15.75" customHeight="1">
      <c r="A70" s="9" t="s">
        <v>240</v>
      </c>
      <c r="B70" s="13"/>
      <c r="C70" s="13"/>
      <c r="D70" s="13"/>
      <c r="E70" s="13"/>
      <c r="F70" s="13"/>
      <c r="G70" s="13"/>
      <c r="H70" s="16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</row>
    <row r="71" ht="15.75" customHeight="1">
      <c r="A71" s="9" t="s">
        <v>242</v>
      </c>
      <c r="B71" s="13"/>
      <c r="C71" s="13"/>
      <c r="D71" s="13"/>
      <c r="E71" s="13"/>
      <c r="F71" s="13"/>
      <c r="G71" s="13"/>
      <c r="H71" s="16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</row>
    <row r="72" ht="15.75" customHeight="1">
      <c r="A72" s="9" t="s">
        <v>243</v>
      </c>
      <c r="B72" s="13"/>
      <c r="C72" s="13"/>
      <c r="D72" s="13"/>
      <c r="E72" s="13"/>
      <c r="F72" s="13"/>
      <c r="G72" s="13"/>
      <c r="H72" s="16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</row>
    <row r="73" ht="15.75" customHeight="1">
      <c r="A73" s="9" t="s">
        <v>244</v>
      </c>
      <c r="B73" s="13"/>
      <c r="C73" s="13"/>
      <c r="D73" s="13"/>
      <c r="E73" s="13"/>
      <c r="F73" s="13"/>
      <c r="G73" s="13"/>
      <c r="H73" s="16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</row>
    <row r="74" ht="15.75" customHeight="1">
      <c r="A74" s="9" t="s">
        <v>245</v>
      </c>
      <c r="B74" s="13"/>
      <c r="C74" s="13"/>
      <c r="D74" s="13"/>
      <c r="E74" s="13"/>
      <c r="F74" s="13"/>
      <c r="G74" s="13"/>
      <c r="H74" s="16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</row>
    <row r="75" ht="15.75" customHeight="1">
      <c r="A75" s="9" t="s">
        <v>246</v>
      </c>
      <c r="B75" s="13"/>
      <c r="C75" s="13"/>
      <c r="D75" s="13"/>
      <c r="E75" s="13"/>
      <c r="F75" s="13"/>
      <c r="G75" s="13"/>
      <c r="H75" s="16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</row>
    <row r="76" ht="15.75" customHeight="1">
      <c r="A76" s="9" t="s">
        <v>247</v>
      </c>
      <c r="B76" s="13"/>
      <c r="C76" s="13"/>
      <c r="D76" s="13"/>
      <c r="E76" s="13"/>
      <c r="F76" s="13"/>
      <c r="G76" s="13"/>
      <c r="H76" s="16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</row>
    <row r="77" ht="15.75" customHeight="1">
      <c r="A77" s="9" t="s">
        <v>248</v>
      </c>
      <c r="B77" s="13"/>
      <c r="C77" s="13"/>
      <c r="D77" s="13"/>
      <c r="E77" s="13"/>
      <c r="F77" s="13"/>
      <c r="G77" s="13"/>
      <c r="H77" s="16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</row>
    <row r="78" ht="15.75" customHeight="1">
      <c r="A78" s="9" t="s">
        <v>249</v>
      </c>
      <c r="B78" s="13"/>
      <c r="C78" s="13"/>
      <c r="D78" s="13"/>
      <c r="E78" s="13"/>
      <c r="F78" s="13"/>
      <c r="G78" s="13"/>
      <c r="H78" s="16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</row>
    <row r="79" ht="15.75" customHeight="1">
      <c r="A79" s="9" t="s">
        <v>250</v>
      </c>
      <c r="B79" s="13"/>
      <c r="C79" s="13"/>
      <c r="D79" s="13"/>
      <c r="E79" s="13"/>
      <c r="F79" s="13"/>
      <c r="G79" s="13"/>
      <c r="H79" s="16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</row>
    <row r="80" ht="15.75" customHeight="1">
      <c r="A80" s="9" t="s">
        <v>251</v>
      </c>
      <c r="B80" s="13"/>
      <c r="C80" s="13"/>
      <c r="D80" s="13"/>
      <c r="E80" s="13"/>
      <c r="F80" s="13"/>
      <c r="G80" s="13"/>
      <c r="H80" s="16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</row>
    <row r="81" ht="15.75" customHeight="1">
      <c r="A81" s="9" t="s">
        <v>252</v>
      </c>
      <c r="B81" s="13"/>
      <c r="C81" s="13"/>
      <c r="D81" s="13"/>
      <c r="E81" s="13"/>
      <c r="F81" s="13"/>
      <c r="G81" s="13"/>
      <c r="H81" s="16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</row>
    <row r="82" ht="15.75" customHeight="1">
      <c r="A82" s="9" t="s">
        <v>253</v>
      </c>
      <c r="B82" s="13"/>
      <c r="C82" s="13"/>
      <c r="D82" s="13"/>
      <c r="E82" s="13"/>
      <c r="F82" s="13"/>
      <c r="G82" s="13"/>
      <c r="H82" s="16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</row>
    <row r="83" ht="15.75" customHeight="1">
      <c r="A83" s="9" t="s">
        <v>254</v>
      </c>
      <c r="B83" s="13"/>
      <c r="C83" s="13"/>
      <c r="D83" s="13"/>
      <c r="E83" s="13"/>
      <c r="F83" s="13"/>
      <c r="G83" s="13"/>
      <c r="H83" s="16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</row>
    <row r="84" ht="15.75" customHeight="1">
      <c r="A84" s="9" t="s">
        <v>255</v>
      </c>
      <c r="B84" s="13"/>
      <c r="C84" s="13"/>
      <c r="D84" s="13"/>
      <c r="E84" s="13"/>
      <c r="F84" s="13"/>
      <c r="G84" s="13"/>
      <c r="H84" s="16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</row>
    <row r="85" ht="15.75" customHeight="1">
      <c r="A85" s="9" t="s">
        <v>256</v>
      </c>
      <c r="B85" s="13"/>
      <c r="C85" s="13"/>
      <c r="D85" s="13"/>
      <c r="E85" s="13"/>
      <c r="F85" s="13"/>
      <c r="G85" s="13"/>
      <c r="H85" s="16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</row>
    <row r="86" ht="15.75" customHeight="1">
      <c r="AB86" s="13"/>
      <c r="AP86" s="13"/>
      <c r="AR86" s="13"/>
      <c r="AW86" s="13"/>
      <c r="BE86" s="13"/>
      <c r="BG86" s="13"/>
      <c r="BH86" s="13"/>
      <c r="BI86" s="13"/>
      <c r="BK86" s="13"/>
      <c r="BL86" s="13"/>
      <c r="BM86" s="13"/>
      <c r="BN86" s="13"/>
      <c r="BO86" s="13"/>
      <c r="BP86" s="13"/>
      <c r="BQ86" s="13"/>
      <c r="BS86" s="13"/>
      <c r="BT86" s="13"/>
      <c r="BU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M86" s="13"/>
      <c r="CN86" s="13"/>
      <c r="CO86" s="13"/>
      <c r="CV86" s="13"/>
      <c r="CW86" s="13"/>
      <c r="CX86" s="13"/>
    </row>
    <row r="87" ht="15.75" customHeight="1">
      <c r="AB87" s="13"/>
      <c r="AP87" s="13"/>
      <c r="AR87" s="13"/>
      <c r="AW87" s="13"/>
      <c r="BE87" s="13"/>
      <c r="BG87" s="13"/>
      <c r="BH87" s="13"/>
      <c r="BI87" s="13"/>
      <c r="BK87" s="13"/>
      <c r="BL87" s="13"/>
      <c r="BM87" s="13"/>
      <c r="BN87" s="13"/>
      <c r="BO87" s="13"/>
      <c r="BP87" s="13"/>
      <c r="BQ87" s="13"/>
      <c r="BS87" s="13"/>
      <c r="BT87" s="13"/>
      <c r="BU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M87" s="13"/>
      <c r="CN87" s="13"/>
      <c r="CO87" s="13"/>
      <c r="CV87" s="13"/>
      <c r="CW87" s="13"/>
      <c r="CX87" s="13"/>
    </row>
    <row r="88" ht="15.75" customHeight="1">
      <c r="AP88" s="13"/>
      <c r="AR88" s="13"/>
      <c r="AW88" s="13"/>
      <c r="BE88" s="13"/>
      <c r="BG88" s="13"/>
      <c r="BH88" s="13"/>
      <c r="BI88" s="13"/>
      <c r="BK88" s="13"/>
      <c r="BL88" s="13"/>
      <c r="BM88" s="13"/>
      <c r="BN88" s="13"/>
      <c r="BO88" s="13"/>
      <c r="BP88" s="13"/>
      <c r="BQ88" s="13"/>
      <c r="BS88" s="13"/>
      <c r="BT88" s="13"/>
      <c r="BU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M88" s="13"/>
      <c r="CN88" s="13"/>
      <c r="CO88" s="13"/>
      <c r="CV88" s="13"/>
      <c r="CW88" s="13"/>
      <c r="CX88" s="13"/>
    </row>
    <row r="89" ht="15.75" customHeight="1">
      <c r="AP89" s="13"/>
      <c r="AR89" s="13"/>
      <c r="AW89" s="13"/>
      <c r="BE89" s="13"/>
      <c r="BG89" s="13"/>
      <c r="BH89" s="13"/>
      <c r="BI89" s="13"/>
      <c r="BK89" s="13"/>
      <c r="BL89" s="13"/>
      <c r="BM89" s="13"/>
      <c r="BN89" s="13"/>
      <c r="BO89" s="13"/>
      <c r="BP89" s="13"/>
      <c r="BQ89" s="13"/>
      <c r="BS89" s="13"/>
      <c r="BT89" s="13"/>
      <c r="BU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M89" s="13"/>
      <c r="CN89" s="13"/>
      <c r="CO89" s="13"/>
      <c r="CV89" s="13"/>
      <c r="CW89" s="13"/>
      <c r="CX89" s="13"/>
    </row>
    <row r="90" ht="15.75" customHeight="1">
      <c r="A90" s="7" t="s">
        <v>257</v>
      </c>
    </row>
    <row r="91" ht="15.75" customHeight="1">
      <c r="AP91" s="13"/>
      <c r="AR91" s="19"/>
      <c r="AW91" s="13"/>
      <c r="BE91" s="13"/>
      <c r="BG91" s="13"/>
      <c r="BH91" s="13"/>
      <c r="BI91" s="13"/>
      <c r="BK91" s="13"/>
      <c r="BL91" s="13"/>
      <c r="BM91" s="13"/>
      <c r="BN91" s="13"/>
      <c r="BO91" s="13"/>
      <c r="BP91" s="13"/>
      <c r="BQ91" s="13"/>
      <c r="BS91" s="13"/>
      <c r="BT91" s="13"/>
      <c r="BU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M91" s="13"/>
      <c r="CN91" s="13"/>
      <c r="CO91" s="13"/>
      <c r="CV91" s="13"/>
      <c r="CW91" s="13"/>
      <c r="CX91" s="13"/>
    </row>
    <row r="92" ht="15.75" customHeight="1">
      <c r="AP92" s="13"/>
      <c r="AR92" s="19"/>
      <c r="AW92" s="13"/>
      <c r="BE92" s="13"/>
      <c r="BG92" s="13"/>
      <c r="BH92" s="13"/>
      <c r="BI92" s="13"/>
      <c r="BK92" s="13"/>
      <c r="BL92" s="13"/>
      <c r="BM92" s="13"/>
      <c r="BN92" s="13"/>
      <c r="BO92" s="13"/>
      <c r="BP92" s="13"/>
      <c r="BQ92" s="13"/>
      <c r="BS92" s="13"/>
      <c r="BT92" s="13"/>
      <c r="BU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M92" s="13"/>
      <c r="CN92" s="13"/>
      <c r="CO92" s="13"/>
      <c r="CV92" s="13"/>
      <c r="CW92" s="13"/>
      <c r="CX92" s="13"/>
    </row>
    <row r="93" ht="15.75" customHeight="1">
      <c r="AP93" s="13"/>
      <c r="AR93" s="19"/>
      <c r="AW93" s="13"/>
      <c r="BE93" s="13"/>
      <c r="BG93" s="13"/>
      <c r="BH93" s="13"/>
      <c r="BI93" s="13"/>
      <c r="BK93" s="13"/>
      <c r="BL93" s="13"/>
      <c r="BM93" s="13"/>
      <c r="BN93" s="13"/>
      <c r="BO93" s="13"/>
      <c r="BP93" s="13"/>
      <c r="BQ93" s="13"/>
      <c r="BS93" s="13"/>
      <c r="BT93" s="13"/>
      <c r="BU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M93" s="13"/>
      <c r="CN93" s="13"/>
      <c r="CO93" s="13"/>
      <c r="CV93" s="13"/>
      <c r="CW93" s="13"/>
      <c r="CX93" s="13"/>
    </row>
    <row r="94" ht="15.75" customHeight="1">
      <c r="AP94" s="13"/>
      <c r="AR94" s="19"/>
      <c r="AW94" s="13"/>
      <c r="BE94" s="13"/>
      <c r="BG94" s="13"/>
      <c r="BH94" s="13"/>
      <c r="BI94" s="13"/>
      <c r="BK94" s="13"/>
      <c r="BL94" s="13"/>
      <c r="BM94" s="13"/>
      <c r="BN94" s="13"/>
      <c r="BO94" s="13"/>
      <c r="BP94" s="13"/>
      <c r="BQ94" s="13"/>
      <c r="BS94" s="13"/>
      <c r="BT94" s="13"/>
      <c r="BU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M94" s="13"/>
      <c r="CN94" s="13"/>
      <c r="CO94" s="13"/>
      <c r="CV94" s="13"/>
      <c r="CW94" s="13"/>
      <c r="CX94" s="13"/>
    </row>
    <row r="95" ht="15.75" customHeight="1">
      <c r="AP95" s="13"/>
      <c r="AR95" s="20"/>
      <c r="AW95" s="13"/>
      <c r="BE95" s="13"/>
      <c r="BG95" s="13"/>
      <c r="BH95" s="13"/>
      <c r="BI95" s="13"/>
      <c r="BK95" s="13"/>
      <c r="BL95" s="13"/>
      <c r="BM95" s="13"/>
      <c r="BN95" s="13"/>
      <c r="BO95" s="13"/>
      <c r="BP95" s="13"/>
      <c r="BQ95" s="13"/>
      <c r="BS95" s="13"/>
      <c r="BT95" s="13"/>
      <c r="BU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M95" s="13"/>
      <c r="CN95" s="13"/>
      <c r="CO95" s="13"/>
      <c r="CV95" s="13"/>
      <c r="CW95" s="13"/>
      <c r="CX95" s="13"/>
    </row>
    <row r="96" ht="15.75" customHeight="1">
      <c r="AP96" s="13"/>
      <c r="AR96" s="19"/>
      <c r="AW96" s="13"/>
      <c r="BE96" s="13"/>
      <c r="BG96" s="13"/>
      <c r="BH96" s="13"/>
      <c r="BI96" s="13"/>
      <c r="BK96" s="13"/>
      <c r="BL96" s="13"/>
      <c r="BM96" s="13"/>
      <c r="BN96" s="13"/>
      <c r="BO96" s="13"/>
      <c r="BP96" s="13"/>
      <c r="BQ96" s="13"/>
      <c r="BS96" s="13"/>
      <c r="BT96" s="13"/>
      <c r="BU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M96" s="13"/>
      <c r="CN96" s="13"/>
      <c r="CO96" s="13"/>
      <c r="CV96" s="13"/>
      <c r="CW96" s="13"/>
      <c r="CX96" s="13"/>
    </row>
    <row r="97" ht="15.75" customHeight="1">
      <c r="AP97" s="13"/>
      <c r="AR97" s="19"/>
      <c r="AW97" s="13"/>
      <c r="BE97" s="13"/>
      <c r="BG97" s="13"/>
      <c r="BH97" s="13"/>
      <c r="BI97" s="13"/>
      <c r="BK97" s="13"/>
      <c r="BL97" s="13"/>
      <c r="BM97" s="13"/>
      <c r="BN97" s="13"/>
      <c r="BO97" s="13"/>
      <c r="BP97" s="13"/>
      <c r="BQ97" s="13"/>
      <c r="BS97" s="13"/>
      <c r="BT97" s="13"/>
      <c r="BU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M97" s="13"/>
      <c r="CN97" s="13"/>
      <c r="CO97" s="13"/>
      <c r="CV97" s="13"/>
      <c r="CW97" s="13"/>
      <c r="CX97" s="13"/>
    </row>
    <row r="98" ht="15.75" customHeight="1">
      <c r="AP98" s="13"/>
      <c r="AR98" s="19"/>
      <c r="AW98" s="13"/>
      <c r="BE98" s="13"/>
      <c r="BG98" s="13"/>
      <c r="BH98" s="13"/>
      <c r="BI98" s="13"/>
      <c r="BK98" s="13"/>
      <c r="BL98" s="13"/>
      <c r="BM98" s="13"/>
      <c r="BN98" s="13"/>
      <c r="BO98" s="13"/>
      <c r="BP98" s="13"/>
      <c r="BQ98" s="13"/>
      <c r="BS98" s="13"/>
      <c r="BT98" s="13"/>
      <c r="BU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M98" s="13"/>
      <c r="CN98" s="13"/>
      <c r="CO98" s="13"/>
      <c r="CV98" s="13"/>
      <c r="CW98" s="13"/>
      <c r="CX98" s="13"/>
    </row>
    <row r="99" ht="15.75" customHeight="1">
      <c r="AP99" s="13"/>
      <c r="AR99" s="19"/>
      <c r="AW99" s="13"/>
      <c r="BE99" s="13"/>
      <c r="BG99" s="13"/>
      <c r="BH99" s="13"/>
      <c r="BI99" s="13"/>
      <c r="BK99" s="13"/>
      <c r="BL99" s="13"/>
      <c r="BM99" s="13"/>
      <c r="BN99" s="13"/>
      <c r="BO99" s="13"/>
      <c r="BP99" s="13"/>
      <c r="BQ99" s="13"/>
      <c r="BS99" s="13"/>
      <c r="BT99" s="13"/>
      <c r="BU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M99" s="13"/>
      <c r="CN99" s="13"/>
      <c r="CO99" s="13"/>
      <c r="CV99" s="13"/>
      <c r="CW99" s="13"/>
      <c r="CX99" s="13"/>
    </row>
    <row r="100" ht="15.75" customHeight="1">
      <c r="AP100" s="13"/>
      <c r="AR100" s="19"/>
      <c r="AW100" s="13"/>
      <c r="BE100" s="13"/>
      <c r="BG100" s="13"/>
      <c r="BH100" s="13"/>
      <c r="BI100" s="13"/>
      <c r="BK100" s="13"/>
      <c r="BL100" s="13"/>
      <c r="BM100" s="13"/>
      <c r="BN100" s="13"/>
      <c r="BO100" s="13"/>
      <c r="BP100" s="13"/>
      <c r="BQ100" s="13"/>
      <c r="BS100" s="13"/>
      <c r="BT100" s="13"/>
      <c r="BU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M100" s="13"/>
      <c r="CN100" s="13"/>
      <c r="CO100" s="13"/>
      <c r="CV100" s="13"/>
      <c r="CW100" s="13"/>
      <c r="CX100" s="13"/>
    </row>
    <row r="101" ht="15.75" customHeight="1">
      <c r="AP101" s="13"/>
      <c r="AR101" s="20"/>
      <c r="AW101" s="13"/>
      <c r="BE101" s="13"/>
      <c r="BG101" s="13"/>
      <c r="BH101" s="13"/>
      <c r="BI101" s="13"/>
      <c r="BK101" s="13"/>
      <c r="BL101" s="13"/>
      <c r="BM101" s="13"/>
      <c r="BN101" s="13"/>
      <c r="BO101" s="13"/>
      <c r="BP101" s="13"/>
      <c r="BQ101" s="13"/>
      <c r="BS101" s="13"/>
      <c r="BT101" s="13"/>
      <c r="BU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M101" s="13"/>
      <c r="CN101" s="13"/>
      <c r="CO101" s="13"/>
      <c r="CV101" s="13"/>
      <c r="CW101" s="13"/>
      <c r="CX101" s="13"/>
    </row>
    <row r="102" ht="15.75" customHeight="1">
      <c r="AP102" s="13"/>
      <c r="AR102" s="19"/>
      <c r="AW102" s="13"/>
      <c r="BE102" s="13"/>
      <c r="BG102" s="13"/>
      <c r="BH102" s="13"/>
      <c r="BI102" s="13"/>
      <c r="BK102" s="13"/>
      <c r="BL102" s="13"/>
      <c r="BM102" s="13"/>
      <c r="BN102" s="13"/>
      <c r="BO102" s="13"/>
      <c r="BP102" s="13"/>
      <c r="BQ102" s="13"/>
      <c r="BS102" s="13"/>
      <c r="BT102" s="13"/>
      <c r="BU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M102" s="13"/>
      <c r="CN102" s="13"/>
      <c r="CO102" s="13"/>
      <c r="CV102" s="13"/>
      <c r="CW102" s="13"/>
      <c r="CX102" s="13"/>
    </row>
    <row r="103" ht="15.75" customHeight="1">
      <c r="AP103" s="13"/>
      <c r="AR103" s="19"/>
      <c r="AW103" s="13"/>
      <c r="BE103" s="13"/>
      <c r="BG103" s="13"/>
      <c r="BH103" s="13"/>
      <c r="BI103" s="13"/>
      <c r="BK103" s="13"/>
      <c r="BL103" s="13"/>
      <c r="BM103" s="13"/>
      <c r="BN103" s="13"/>
      <c r="BO103" s="13"/>
      <c r="BP103" s="13"/>
      <c r="BQ103" s="13"/>
      <c r="BS103" s="13"/>
      <c r="BT103" s="13"/>
      <c r="BU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M103" s="13"/>
      <c r="CN103" s="13"/>
      <c r="CO103" s="13"/>
      <c r="CV103" s="13"/>
      <c r="CW103" s="13"/>
      <c r="CX103" s="13"/>
    </row>
    <row r="104" ht="15.75" customHeight="1">
      <c r="AP104" s="13"/>
      <c r="AR104" s="19"/>
      <c r="AW104" s="13"/>
      <c r="BE104" s="13"/>
      <c r="BG104" s="13"/>
      <c r="BH104" s="13"/>
      <c r="BI104" s="13"/>
      <c r="BK104" s="13"/>
      <c r="BL104" s="13"/>
      <c r="BM104" s="13"/>
      <c r="BN104" s="13"/>
      <c r="BO104" s="13"/>
      <c r="BP104" s="13"/>
      <c r="BQ104" s="13"/>
      <c r="BS104" s="13"/>
      <c r="BT104" s="13"/>
      <c r="BU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M104" s="13"/>
      <c r="CN104" s="13"/>
      <c r="CO104" s="13"/>
      <c r="CV104" s="13"/>
      <c r="CW104" s="13"/>
      <c r="CX104" s="13"/>
    </row>
    <row r="105" ht="15.75" customHeight="1">
      <c r="AP105" s="13"/>
      <c r="AR105" s="19"/>
      <c r="AW105" s="13"/>
      <c r="BE105" s="13"/>
      <c r="BG105" s="13"/>
      <c r="BH105" s="13"/>
      <c r="BI105" s="13"/>
      <c r="BK105" s="13"/>
      <c r="BL105" s="13"/>
      <c r="BM105" s="13"/>
      <c r="BN105" s="13"/>
      <c r="BO105" s="13"/>
      <c r="BP105" s="13"/>
      <c r="BQ105" s="13"/>
      <c r="BS105" s="13"/>
      <c r="BT105" s="13"/>
      <c r="BU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M105" s="13"/>
      <c r="CN105" s="13"/>
      <c r="CO105" s="13"/>
      <c r="CV105" s="13"/>
      <c r="CW105" s="13"/>
      <c r="CX105" s="13"/>
    </row>
    <row r="106" ht="15.75" customHeight="1">
      <c r="AP106" s="13"/>
      <c r="AR106" s="19"/>
      <c r="AW106" s="13"/>
      <c r="BE106" s="13"/>
      <c r="BG106" s="13"/>
      <c r="BH106" s="13"/>
      <c r="BI106" s="13"/>
      <c r="BK106" s="13"/>
      <c r="BL106" s="13"/>
      <c r="BM106" s="13"/>
      <c r="BN106" s="13"/>
      <c r="BO106" s="13"/>
      <c r="BP106" s="13"/>
      <c r="BQ106" s="13"/>
      <c r="BS106" s="13"/>
      <c r="BT106" s="13"/>
      <c r="BU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M106" s="13"/>
      <c r="CN106" s="13"/>
      <c r="CO106" s="13"/>
      <c r="CV106" s="13"/>
      <c r="CW106" s="13"/>
      <c r="CX106" s="13"/>
    </row>
    <row r="107" ht="15.75" customHeight="1">
      <c r="AP107" s="13"/>
      <c r="AR107" s="20"/>
      <c r="AW107" s="13"/>
      <c r="BE107" s="13"/>
      <c r="BG107" s="13"/>
      <c r="BH107" s="13"/>
      <c r="BI107" s="13"/>
      <c r="BK107" s="13"/>
      <c r="BL107" s="13"/>
      <c r="BM107" s="13"/>
      <c r="BN107" s="13"/>
      <c r="BO107" s="13"/>
      <c r="BP107" s="13"/>
      <c r="BQ107" s="13"/>
      <c r="BS107" s="13"/>
      <c r="BT107" s="13"/>
      <c r="BU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M107" s="13"/>
      <c r="CN107" s="13"/>
      <c r="CO107" s="13"/>
      <c r="CV107" s="13"/>
      <c r="CW107" s="13"/>
      <c r="CX107" s="13"/>
    </row>
    <row r="108" ht="15.75" customHeight="1">
      <c r="AP108" s="13"/>
      <c r="AR108" s="19"/>
      <c r="AW108" s="13"/>
      <c r="BE108" s="13"/>
      <c r="BG108" s="13"/>
      <c r="BH108" s="13"/>
      <c r="BI108" s="13"/>
      <c r="BK108" s="13"/>
      <c r="BL108" s="13"/>
      <c r="BM108" s="13"/>
      <c r="BN108" s="13"/>
      <c r="BO108" s="13"/>
      <c r="BP108" s="13"/>
      <c r="BQ108" s="13"/>
      <c r="BS108" s="13"/>
      <c r="BT108" s="13"/>
      <c r="BU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M108" s="13"/>
      <c r="CN108" s="13"/>
      <c r="CO108" s="13"/>
      <c r="CV108" s="13"/>
      <c r="CW108" s="13"/>
      <c r="CX108" s="13"/>
    </row>
    <row r="109" ht="15.75" customHeight="1">
      <c r="AP109" s="13"/>
      <c r="AR109" s="19"/>
      <c r="AW109" s="13"/>
      <c r="BE109" s="13"/>
      <c r="BG109" s="13"/>
      <c r="BH109" s="13"/>
      <c r="BI109" s="13"/>
      <c r="BK109" s="13"/>
      <c r="BL109" s="13"/>
      <c r="BM109" s="13"/>
      <c r="BN109" s="13"/>
      <c r="BO109" s="13"/>
      <c r="BP109" s="13"/>
      <c r="BQ109" s="13"/>
      <c r="BS109" s="13"/>
      <c r="BT109" s="13"/>
      <c r="BU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M109" s="13"/>
      <c r="CN109" s="13"/>
      <c r="CO109" s="13"/>
      <c r="CV109" s="13"/>
      <c r="CW109" s="13"/>
      <c r="CX109" s="13"/>
    </row>
    <row r="110" ht="15.75" customHeight="1">
      <c r="AP110" s="13"/>
      <c r="AR110" s="19"/>
      <c r="AW110" s="13"/>
      <c r="BE110" s="13"/>
      <c r="BG110" s="13"/>
      <c r="BH110" s="13"/>
      <c r="BI110" s="13"/>
      <c r="BK110" s="13"/>
      <c r="BL110" s="13"/>
      <c r="BM110" s="13"/>
      <c r="BN110" s="13"/>
      <c r="BO110" s="13"/>
      <c r="BP110" s="13"/>
      <c r="BQ110" s="13"/>
      <c r="BS110" s="13"/>
      <c r="BT110" s="13"/>
      <c r="BU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M110" s="13"/>
      <c r="CN110" s="13"/>
      <c r="CO110" s="13"/>
      <c r="CV110" s="13"/>
      <c r="CW110" s="13"/>
      <c r="CX110" s="13"/>
    </row>
    <row r="111" ht="15.75" customHeight="1">
      <c r="AP111" s="13"/>
      <c r="AR111" s="19"/>
      <c r="AW111" s="13"/>
      <c r="BE111" s="13"/>
      <c r="BG111" s="13"/>
      <c r="BH111" s="13"/>
      <c r="BI111" s="13"/>
      <c r="BK111" s="13"/>
      <c r="BL111" s="13"/>
      <c r="BM111" s="13"/>
      <c r="BN111" s="13"/>
      <c r="BO111" s="13"/>
      <c r="BP111" s="13"/>
      <c r="BQ111" s="13"/>
      <c r="BS111" s="13"/>
      <c r="BT111" s="13"/>
      <c r="BU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M111" s="13"/>
      <c r="CN111" s="13"/>
      <c r="CO111" s="13"/>
      <c r="CV111" s="13"/>
      <c r="CW111" s="13"/>
      <c r="CX111" s="13"/>
    </row>
    <row r="112" ht="15.75" customHeight="1">
      <c r="AP112" s="13"/>
      <c r="AR112" s="19"/>
      <c r="AW112" s="13"/>
      <c r="BE112" s="13"/>
      <c r="BG112" s="13"/>
      <c r="BH112" s="13"/>
      <c r="BI112" s="13"/>
      <c r="BK112" s="13"/>
      <c r="BL112" s="13"/>
      <c r="BM112" s="13"/>
      <c r="BN112" s="13"/>
      <c r="BO112" s="13"/>
      <c r="BP112" s="13"/>
      <c r="BQ112" s="13"/>
      <c r="BS112" s="13"/>
      <c r="BT112" s="13"/>
      <c r="BU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M112" s="13"/>
      <c r="CN112" s="13"/>
      <c r="CO112" s="13"/>
      <c r="CV112" s="13"/>
      <c r="CW112" s="13"/>
      <c r="CX112" s="13"/>
    </row>
    <row r="113" ht="15.75" customHeight="1">
      <c r="AP113" s="13"/>
      <c r="AR113" s="19"/>
      <c r="AW113" s="13"/>
      <c r="BE113" s="13"/>
      <c r="BG113" s="13"/>
      <c r="BH113" s="13"/>
      <c r="BI113" s="13"/>
      <c r="BK113" s="13"/>
      <c r="BL113" s="13"/>
      <c r="BM113" s="13"/>
      <c r="BN113" s="13"/>
      <c r="BO113" s="13"/>
      <c r="BP113" s="13"/>
      <c r="BQ113" s="13"/>
      <c r="BS113" s="13"/>
      <c r="BT113" s="13"/>
      <c r="BU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M113" s="13"/>
      <c r="CN113" s="13"/>
      <c r="CO113" s="13"/>
      <c r="CV113" s="13"/>
      <c r="CW113" s="13"/>
      <c r="CX113" s="13"/>
    </row>
    <row r="114" ht="15.75" customHeight="1">
      <c r="AP114" s="13"/>
      <c r="AR114" s="20"/>
      <c r="AW114" s="13"/>
      <c r="BE114" s="13"/>
      <c r="BG114" s="13"/>
      <c r="BH114" s="13"/>
      <c r="BI114" s="13"/>
      <c r="BK114" s="13"/>
      <c r="BL114" s="13"/>
      <c r="BM114" s="13"/>
      <c r="BN114" s="13"/>
      <c r="BO114" s="13"/>
      <c r="BP114" s="13"/>
      <c r="BQ114" s="13"/>
      <c r="BS114" s="13"/>
      <c r="BT114" s="13"/>
      <c r="BU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M114" s="13"/>
      <c r="CN114" s="13"/>
      <c r="CO114" s="13"/>
      <c r="CV114" s="13"/>
      <c r="CW114" s="13"/>
      <c r="CX114" s="13"/>
    </row>
    <row r="115" ht="15.75" customHeight="1">
      <c r="AP115" s="13"/>
      <c r="AR115" s="19"/>
      <c r="AW115" s="13"/>
      <c r="BE115" s="13"/>
      <c r="BG115" s="13"/>
      <c r="BH115" s="13"/>
      <c r="BI115" s="13"/>
      <c r="BK115" s="13"/>
      <c r="BL115" s="13"/>
      <c r="BM115" s="13"/>
      <c r="BN115" s="13"/>
      <c r="BO115" s="13"/>
      <c r="BP115" s="13"/>
      <c r="BQ115" s="13"/>
      <c r="BS115" s="13"/>
      <c r="BT115" s="13"/>
      <c r="BU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M115" s="13"/>
      <c r="CN115" s="13"/>
      <c r="CO115" s="13"/>
      <c r="CV115" s="13"/>
      <c r="CW115" s="13"/>
      <c r="CX115" s="13"/>
    </row>
    <row r="116" ht="15.75" customHeight="1">
      <c r="AP116" s="13"/>
      <c r="AR116" s="19"/>
      <c r="AW116" s="13"/>
      <c r="BE116" s="13"/>
      <c r="BG116" s="13"/>
      <c r="BH116" s="13"/>
      <c r="BI116" s="13"/>
      <c r="BK116" s="13"/>
      <c r="BL116" s="13"/>
      <c r="BM116" s="13"/>
      <c r="BN116" s="13"/>
      <c r="BO116" s="13"/>
      <c r="BP116" s="13"/>
      <c r="BQ116" s="13"/>
      <c r="BS116" s="13"/>
      <c r="BT116" s="13"/>
      <c r="BU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M116" s="13"/>
      <c r="CN116" s="13"/>
      <c r="CO116" s="13"/>
      <c r="CV116" s="13"/>
      <c r="CW116" s="13"/>
      <c r="CX116" s="13"/>
    </row>
    <row r="117" ht="15.75" customHeight="1">
      <c r="AP117" s="13"/>
      <c r="AR117" s="19"/>
      <c r="AW117" s="13"/>
      <c r="BE117" s="13"/>
      <c r="BG117" s="13"/>
      <c r="BH117" s="13"/>
      <c r="BI117" s="13"/>
      <c r="BK117" s="13"/>
      <c r="BL117" s="13"/>
      <c r="BM117" s="13"/>
      <c r="BN117" s="13"/>
      <c r="BO117" s="13"/>
      <c r="BP117" s="13"/>
      <c r="BQ117" s="13"/>
      <c r="BS117" s="13"/>
      <c r="BT117" s="13"/>
      <c r="BU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M117" s="13"/>
      <c r="CN117" s="13"/>
      <c r="CO117" s="13"/>
      <c r="CV117" s="13"/>
      <c r="CW117" s="13"/>
      <c r="CX117" s="13"/>
    </row>
    <row r="118" ht="15.75" customHeight="1">
      <c r="AP118" s="13"/>
      <c r="AR118" s="19"/>
      <c r="AW118" s="13"/>
      <c r="BE118" s="13"/>
      <c r="BG118" s="13"/>
      <c r="BH118" s="13"/>
      <c r="BI118" s="13"/>
      <c r="BK118" s="13"/>
      <c r="BL118" s="13"/>
      <c r="BM118" s="13"/>
      <c r="BN118" s="13"/>
      <c r="BO118" s="13"/>
      <c r="BP118" s="13"/>
      <c r="BQ118" s="13"/>
      <c r="BS118" s="13"/>
      <c r="BT118" s="13"/>
      <c r="BU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M118" s="13"/>
      <c r="CN118" s="13"/>
      <c r="CO118" s="13"/>
      <c r="CV118" s="13"/>
      <c r="CW118" s="13"/>
      <c r="CX118" s="13"/>
    </row>
    <row r="119" ht="15.75" customHeight="1">
      <c r="AP119" s="13"/>
      <c r="AR119" s="20"/>
      <c r="AW119" s="13"/>
      <c r="BE119" s="13"/>
      <c r="BG119" s="13"/>
      <c r="BH119" s="13"/>
      <c r="BI119" s="13"/>
      <c r="BK119" s="13"/>
      <c r="BL119" s="13"/>
      <c r="BM119" s="13"/>
      <c r="BN119" s="13"/>
      <c r="BO119" s="13"/>
      <c r="BP119" s="13"/>
      <c r="BQ119" s="13"/>
      <c r="BS119" s="13"/>
      <c r="BT119" s="13"/>
      <c r="BU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M119" s="13"/>
      <c r="CN119" s="13"/>
      <c r="CO119" s="13"/>
      <c r="CV119" s="13"/>
      <c r="CW119" s="13"/>
      <c r="CX119" s="13"/>
    </row>
    <row r="120" ht="15.75" customHeight="1">
      <c r="AP120" s="13"/>
      <c r="AR120" s="19"/>
      <c r="AW120" s="13"/>
      <c r="BE120" s="13"/>
      <c r="BG120" s="13"/>
      <c r="BH120" s="13"/>
      <c r="BI120" s="13"/>
      <c r="BK120" s="13"/>
      <c r="BL120" s="13"/>
      <c r="BM120" s="13"/>
      <c r="BN120" s="13"/>
      <c r="BO120" s="13"/>
      <c r="BP120" s="13"/>
      <c r="BQ120" s="13"/>
      <c r="BS120" s="13"/>
      <c r="BT120" s="13"/>
      <c r="BU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M120" s="13"/>
      <c r="CN120" s="13"/>
      <c r="CO120" s="13"/>
      <c r="CV120" s="13"/>
      <c r="CW120" s="13"/>
      <c r="CX120" s="13"/>
    </row>
    <row r="121" ht="15.75" customHeight="1">
      <c r="AP121" s="13"/>
      <c r="AR121" s="19"/>
      <c r="AW121" s="13"/>
      <c r="BE121" s="13"/>
      <c r="BG121" s="13"/>
      <c r="BH121" s="13"/>
      <c r="BI121" s="13"/>
      <c r="BK121" s="13"/>
      <c r="BL121" s="13"/>
      <c r="BM121" s="13"/>
      <c r="BN121" s="13"/>
      <c r="BO121" s="13"/>
      <c r="BP121" s="13"/>
      <c r="BQ121" s="13"/>
      <c r="BS121" s="13"/>
      <c r="BT121" s="13"/>
      <c r="BU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M121" s="13"/>
      <c r="CN121" s="13"/>
      <c r="CO121" s="13"/>
      <c r="CV121" s="13"/>
      <c r="CW121" s="13"/>
      <c r="CX121" s="13"/>
    </row>
    <row r="122" ht="15.75" customHeight="1">
      <c r="AP122" s="13"/>
      <c r="AR122" s="19"/>
      <c r="AW122" s="13"/>
      <c r="BE122" s="13"/>
      <c r="BG122" s="13"/>
      <c r="BH122" s="13"/>
      <c r="BI122" s="13"/>
      <c r="BK122" s="13"/>
      <c r="BL122" s="13"/>
      <c r="BM122" s="13"/>
      <c r="BN122" s="13"/>
      <c r="BO122" s="13"/>
      <c r="BP122" s="13"/>
      <c r="BQ122" s="13"/>
      <c r="BS122" s="13"/>
      <c r="BT122" s="13"/>
      <c r="BU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M122" s="13"/>
      <c r="CN122" s="13"/>
      <c r="CO122" s="13"/>
      <c r="CV122" s="13"/>
      <c r="CW122" s="13"/>
      <c r="CX122" s="13"/>
    </row>
    <row r="123" ht="15.75" customHeight="1">
      <c r="AP123" s="13"/>
      <c r="AR123" s="19"/>
      <c r="AW123" s="13"/>
      <c r="BE123" s="13"/>
      <c r="BG123" s="13"/>
      <c r="BH123" s="13"/>
      <c r="BI123" s="13"/>
      <c r="BK123" s="13"/>
      <c r="BL123" s="13"/>
      <c r="BM123" s="13"/>
      <c r="BN123" s="13"/>
      <c r="BO123" s="13"/>
      <c r="BP123" s="13"/>
      <c r="BQ123" s="13"/>
      <c r="BS123" s="13"/>
      <c r="BT123" s="13"/>
      <c r="BU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M123" s="13"/>
      <c r="CN123" s="13"/>
      <c r="CO123" s="13"/>
      <c r="CV123" s="13"/>
      <c r="CW123" s="13"/>
      <c r="CX123" s="13"/>
    </row>
    <row r="124" ht="15.75" customHeight="1">
      <c r="AP124" s="13"/>
      <c r="AR124" s="19"/>
      <c r="AW124" s="13"/>
      <c r="BE124" s="13"/>
      <c r="BG124" s="13"/>
      <c r="BH124" s="13"/>
      <c r="BI124" s="13"/>
      <c r="BK124" s="13"/>
      <c r="BL124" s="13"/>
      <c r="BM124" s="13"/>
      <c r="BN124" s="13"/>
      <c r="BO124" s="13"/>
      <c r="BP124" s="13"/>
      <c r="BQ124" s="13"/>
      <c r="BS124" s="13"/>
      <c r="BT124" s="13"/>
      <c r="BU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M124" s="13"/>
      <c r="CN124" s="13"/>
      <c r="CO124" s="13"/>
      <c r="CV124" s="13"/>
      <c r="CW124" s="13"/>
      <c r="CX124" s="13"/>
    </row>
    <row r="125" ht="15.75" customHeight="1">
      <c r="AP125" s="13"/>
      <c r="AR125" s="20"/>
      <c r="AW125" s="13"/>
      <c r="BE125" s="13"/>
      <c r="BG125" s="13"/>
      <c r="BH125" s="13"/>
      <c r="BI125" s="13"/>
      <c r="BK125" s="13"/>
      <c r="BL125" s="13"/>
      <c r="BM125" s="13"/>
      <c r="BN125" s="13"/>
      <c r="BO125" s="13"/>
      <c r="BP125" s="13"/>
      <c r="BQ125" s="13"/>
      <c r="BS125" s="13"/>
      <c r="BT125" s="13"/>
      <c r="BU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M125" s="13"/>
      <c r="CN125" s="13"/>
      <c r="CO125" s="13"/>
      <c r="CV125" s="13"/>
      <c r="CW125" s="13"/>
      <c r="CX125" s="13"/>
    </row>
    <row r="126" ht="15.75" customHeight="1">
      <c r="AP126" s="13"/>
      <c r="AR126" s="19"/>
    </row>
    <row r="127" ht="15.75" customHeight="1">
      <c r="AP127" s="13"/>
      <c r="AR127" s="19"/>
    </row>
    <row r="128" ht="15.75" customHeight="1">
      <c r="AP128" s="13"/>
      <c r="AR128" s="19"/>
    </row>
    <row r="129" ht="15.75" customHeight="1">
      <c r="AP129" s="13"/>
      <c r="AR129" s="19"/>
    </row>
    <row r="130" ht="15.75" customHeight="1">
      <c r="AP130" s="13"/>
      <c r="AR130" s="19"/>
    </row>
    <row r="131" ht="15.75" customHeight="1">
      <c r="AP131" s="13"/>
      <c r="AR131" s="20"/>
    </row>
    <row r="132" ht="15.75" customHeight="1">
      <c r="AP132" s="13"/>
      <c r="AR132" s="19"/>
    </row>
    <row r="133" ht="15.75" customHeight="1">
      <c r="AP133" s="13"/>
      <c r="AR133" s="19"/>
    </row>
    <row r="134" ht="15.75" customHeight="1">
      <c r="AP134" s="13"/>
      <c r="AR134" s="19"/>
    </row>
    <row r="135" ht="15.75" customHeight="1">
      <c r="AP135" s="13"/>
      <c r="AR135" s="19"/>
    </row>
    <row r="136" ht="15.75" customHeight="1">
      <c r="AP136" s="13"/>
      <c r="AR136" s="19"/>
    </row>
    <row r="137" ht="15.75" customHeight="1">
      <c r="AP137" s="13"/>
      <c r="AR137" s="20"/>
    </row>
    <row r="138" ht="15.75" customHeight="1">
      <c r="AP138" s="13"/>
      <c r="AR138" s="19"/>
    </row>
    <row r="139" ht="15.75" customHeight="1">
      <c r="AP139" s="13"/>
      <c r="AR139" s="19"/>
    </row>
    <row r="140" ht="15.75" customHeight="1">
      <c r="AP140" s="13"/>
      <c r="AR140" s="19"/>
    </row>
    <row r="141" ht="15.75" customHeight="1">
      <c r="AP141" s="13"/>
      <c r="AR141" s="19"/>
    </row>
    <row r="142" ht="15.75" customHeight="1">
      <c r="AP142" s="13"/>
      <c r="AR142" s="19"/>
    </row>
    <row r="143" ht="15.75" customHeight="1">
      <c r="AP143" s="13"/>
      <c r="AR143" s="19"/>
    </row>
    <row r="144" ht="15.75" customHeight="1">
      <c r="AP144" s="13"/>
      <c r="AR144" s="20"/>
    </row>
    <row r="145" ht="15.75" customHeight="1">
      <c r="AP145" s="13"/>
      <c r="AR145" s="19"/>
    </row>
    <row r="146" ht="15.75" customHeight="1">
      <c r="AP146" s="13"/>
      <c r="AR146" s="19"/>
    </row>
    <row r="147" ht="15.75" customHeight="1">
      <c r="AP147" s="13"/>
      <c r="AR147" s="19"/>
    </row>
    <row r="148" ht="15.75" customHeight="1">
      <c r="AP148" s="13"/>
      <c r="AR148" s="19"/>
    </row>
    <row r="149" ht="15.75" customHeight="1">
      <c r="AP149" s="13"/>
      <c r="AR149" s="19"/>
    </row>
    <row r="150" ht="15.75" customHeight="1">
      <c r="AP150" s="13"/>
      <c r="AR150" s="20"/>
    </row>
    <row r="151" ht="15.75" customHeight="1">
      <c r="AP151" s="13"/>
      <c r="AR151" s="19"/>
    </row>
    <row r="152" ht="15.75" customHeight="1">
      <c r="AP152" s="13"/>
      <c r="AR152" s="19"/>
    </row>
    <row r="153" ht="15.75" customHeight="1">
      <c r="AP153" s="13"/>
      <c r="AR153" s="19"/>
    </row>
    <row r="154" ht="15.75" customHeight="1">
      <c r="AP154" s="13"/>
      <c r="AR154" s="19"/>
    </row>
    <row r="155" ht="15.75" customHeight="1">
      <c r="AP155" s="13"/>
      <c r="AR155" s="20"/>
    </row>
    <row r="156" ht="15.75" customHeight="1">
      <c r="AP156" s="13"/>
      <c r="AR156" s="19"/>
    </row>
    <row r="157" ht="15.75" customHeight="1">
      <c r="AP157" s="13"/>
      <c r="AR157" s="19"/>
    </row>
    <row r="158" ht="15.75" customHeight="1">
      <c r="AP158" s="13"/>
      <c r="AR158" s="19"/>
    </row>
    <row r="159" ht="15.75" customHeight="1">
      <c r="AP159" s="13"/>
      <c r="AR159" s="19"/>
    </row>
    <row r="160" ht="15.75" customHeight="1">
      <c r="AP160" s="13"/>
      <c r="AR160" s="19"/>
    </row>
    <row r="161" ht="15.75" customHeight="1">
      <c r="AP161" s="13"/>
      <c r="AR161" s="20"/>
    </row>
    <row r="162" ht="15.75" customHeight="1">
      <c r="AP162" s="13"/>
      <c r="AR162" s="19"/>
    </row>
    <row r="163" ht="15.75" customHeight="1">
      <c r="AP163" s="13"/>
      <c r="AR163" s="19"/>
    </row>
    <row r="164" ht="15.75" customHeight="1">
      <c r="AP164" s="13"/>
      <c r="AR164" s="19"/>
    </row>
    <row r="165" ht="15.75" customHeight="1">
      <c r="AP165" s="13"/>
      <c r="AR165" s="19"/>
    </row>
    <row r="166" ht="15.75" customHeight="1">
      <c r="AP166" s="13"/>
      <c r="AR166" s="19"/>
    </row>
    <row r="167" ht="15.75" customHeight="1">
      <c r="AP167" s="13"/>
      <c r="AR167" s="20"/>
    </row>
    <row r="168" ht="15.75" customHeight="1">
      <c r="AP168" s="13"/>
      <c r="AR168" s="19"/>
    </row>
    <row r="169" ht="15.75" customHeight="1">
      <c r="AP169" s="13"/>
      <c r="AR169" s="19"/>
    </row>
    <row r="170" ht="15.75" customHeight="1">
      <c r="AP170" s="13"/>
      <c r="AR170" s="19"/>
    </row>
    <row r="171" ht="15.75" customHeight="1">
      <c r="AP171" s="13"/>
      <c r="AR171" s="19"/>
    </row>
    <row r="172" ht="15.75" customHeight="1">
      <c r="AP172" s="13"/>
      <c r="AR172" s="19"/>
    </row>
    <row r="173" ht="15.75" customHeight="1">
      <c r="AP173" s="13"/>
      <c r="AR173" s="19"/>
    </row>
    <row r="174" ht="15.75" customHeight="1">
      <c r="AP174" s="13"/>
      <c r="AR174" s="20"/>
    </row>
    <row r="175" ht="15.75" customHeight="1">
      <c r="AP175" s="13"/>
      <c r="AR175" s="19"/>
    </row>
    <row r="176" ht="15.75" customHeight="1">
      <c r="AP176" s="13"/>
      <c r="AR176" s="19"/>
    </row>
    <row r="177" ht="15.75" customHeight="1">
      <c r="AP177" s="13"/>
      <c r="AR177" s="19"/>
    </row>
    <row r="178" ht="15.75" customHeight="1">
      <c r="AP178" s="13"/>
      <c r="AR178" s="19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customSheetViews>
    <customSheetView guid="{2A8717CA-57B9-47E9-A07B-A7E1BA3B9A03}" filter="1" showAutoFilter="1">
      <autoFilter ref="$A$3:$CY$85"/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88"/>
  </cols>
  <sheetData>
    <row r="1">
      <c r="A1" s="30" t="s">
        <v>269</v>
      </c>
      <c r="B1" s="30" t="s">
        <v>270</v>
      </c>
      <c r="C1" s="30">
        <v>1.0</v>
      </c>
      <c r="D1" s="30">
        <v>2.0</v>
      </c>
      <c r="E1" s="30">
        <v>3.0</v>
      </c>
      <c r="F1" s="30">
        <v>4.0</v>
      </c>
      <c r="G1" s="30">
        <v>5.0</v>
      </c>
      <c r="H1" s="30">
        <v>6.0</v>
      </c>
      <c r="I1" s="30" t="s">
        <v>271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>
      <c r="A2" s="7">
        <v>1.0</v>
      </c>
      <c r="C2" s="7">
        <v>1.0</v>
      </c>
      <c r="I2" s="9" t="b">
        <f t="shared" ref="I2:I9" si="1">sum(C2:H2)=1</f>
        <v>1</v>
      </c>
    </row>
    <row r="3">
      <c r="A3" s="7">
        <v>2.0</v>
      </c>
      <c r="D3" s="7">
        <v>1.0</v>
      </c>
      <c r="I3" s="9" t="b">
        <f t="shared" si="1"/>
        <v>1</v>
      </c>
    </row>
    <row r="4">
      <c r="A4" s="7">
        <v>3.0</v>
      </c>
      <c r="E4" s="7">
        <v>1.0</v>
      </c>
      <c r="I4" s="9" t="b">
        <f t="shared" si="1"/>
        <v>1</v>
      </c>
    </row>
    <row r="5">
      <c r="A5" s="7">
        <v>4.0</v>
      </c>
      <c r="F5" s="7">
        <v>1.0</v>
      </c>
      <c r="I5" s="9" t="b">
        <f t="shared" si="1"/>
        <v>1</v>
      </c>
    </row>
    <row r="6">
      <c r="A6" s="7">
        <v>5.0</v>
      </c>
      <c r="B6" s="7" t="s">
        <v>272</v>
      </c>
      <c r="G6" s="7">
        <v>1.0</v>
      </c>
      <c r="I6" s="9" t="b">
        <f t="shared" si="1"/>
        <v>1</v>
      </c>
    </row>
    <row r="7">
      <c r="A7" s="7">
        <v>6.0</v>
      </c>
      <c r="B7" s="7" t="s">
        <v>273</v>
      </c>
      <c r="H7" s="7">
        <v>1.0</v>
      </c>
      <c r="I7" s="9" t="b">
        <f t="shared" si="1"/>
        <v>1</v>
      </c>
    </row>
    <row r="8">
      <c r="A8" s="7" t="s">
        <v>274</v>
      </c>
      <c r="C8" s="7">
        <v>0.0</v>
      </c>
      <c r="D8" s="7">
        <v>0.5</v>
      </c>
      <c r="E8" s="7">
        <v>0.5</v>
      </c>
      <c r="F8" s="7">
        <v>0.0</v>
      </c>
      <c r="G8" s="7">
        <v>0.0</v>
      </c>
      <c r="H8" s="7">
        <v>0.0</v>
      </c>
      <c r="I8" s="9" t="b">
        <f t="shared" si="1"/>
        <v>1</v>
      </c>
    </row>
    <row r="9">
      <c r="A9" s="7" t="s">
        <v>275</v>
      </c>
      <c r="C9" s="7">
        <v>0.1</v>
      </c>
      <c r="D9" s="7">
        <v>0.2</v>
      </c>
      <c r="H9" s="7">
        <v>0.7</v>
      </c>
      <c r="I9" s="9" t="b">
        <f t="shared" si="1"/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4" width="10.63"/>
    <col customWidth="1" min="5" max="5" width="13.88"/>
    <col customWidth="1" min="6" max="6" width="8.13"/>
    <col customWidth="1" min="7" max="7" width="7.75"/>
    <col customWidth="1" min="8" max="8" width="18.38"/>
    <col customWidth="1" min="9" max="9" width="11.38"/>
    <col customWidth="1" min="10" max="12" width="19.63"/>
  </cols>
  <sheetData>
    <row r="1">
      <c r="A1" s="1" t="s">
        <v>0</v>
      </c>
      <c r="B1" s="2" t="s">
        <v>158</v>
      </c>
      <c r="C1" s="2" t="s">
        <v>276</v>
      </c>
      <c r="D1" s="1" t="s">
        <v>6</v>
      </c>
      <c r="E1" s="1" t="s">
        <v>9</v>
      </c>
      <c r="F1" s="1" t="s">
        <v>14</v>
      </c>
      <c r="G1" s="1" t="s">
        <v>25</v>
      </c>
      <c r="H1" s="1" t="s">
        <v>32</v>
      </c>
      <c r="I1" s="2" t="s">
        <v>105</v>
      </c>
      <c r="J1" s="1" t="s">
        <v>53</v>
      </c>
      <c r="K1" s="3" t="s">
        <v>15</v>
      </c>
      <c r="L1" s="32" t="s">
        <v>63</v>
      </c>
    </row>
    <row r="2">
      <c r="A2" s="9" t="s">
        <v>164</v>
      </c>
      <c r="B2" s="13">
        <f>iferror(if(countif('COFA - live'!E:E,A2),VLOOKUP("stable",'COFA - live'!$A$1:$C$70,3,False),VLOOKUP(A2,'COFA - live'!$A$1:$C$70,3,False)))</f>
        <v>0.0396</v>
      </c>
      <c r="C2" s="13"/>
      <c r="D2" s="13"/>
      <c r="E2" s="12">
        <v>0.0</v>
      </c>
      <c r="F2" s="13"/>
      <c r="G2" s="13"/>
      <c r="H2" s="13"/>
      <c r="I2" s="13"/>
      <c r="J2" s="13"/>
      <c r="K2" s="13">
        <v>0.0</v>
      </c>
      <c r="L2" s="13">
        <v>0.0</v>
      </c>
    </row>
    <row r="3">
      <c r="A3" s="9" t="s">
        <v>165</v>
      </c>
      <c r="B3" s="13" t="str">
        <f>iferror(if(countif('COFA - live'!E:E,A3),VLOOKUP("stable",'COFA - live'!$A$1:$C$70,3,False),VLOOKUP(A3,'COFA - live'!$A$1:$C$70,3,False)))</f>
        <v/>
      </c>
      <c r="C3" s="13"/>
      <c r="D3" s="13"/>
      <c r="E3" s="12">
        <v>0.0</v>
      </c>
      <c r="F3" s="13"/>
      <c r="G3" s="13"/>
      <c r="H3" s="13"/>
      <c r="I3" s="13"/>
      <c r="J3" s="13"/>
      <c r="K3" s="13">
        <v>0.0</v>
      </c>
      <c r="L3" s="13">
        <v>0.0</v>
      </c>
    </row>
    <row r="4">
      <c r="A4" s="9" t="s">
        <v>166</v>
      </c>
      <c r="B4" s="13">
        <f>iferror(if(countif('COFA - live'!E:E,A4),VLOOKUP("stable",'COFA - live'!$A$1:$C$70,3,False),VLOOKUP(A4,'COFA - live'!$A$1:$C$70,3,False)))</f>
        <v>0.04</v>
      </c>
      <c r="C4" s="13"/>
      <c r="D4" s="13"/>
      <c r="E4" s="12">
        <v>0.0</v>
      </c>
      <c r="F4" s="13"/>
      <c r="G4" s="13"/>
      <c r="H4" s="13"/>
      <c r="I4" s="13"/>
      <c r="J4" s="13"/>
      <c r="K4" s="13">
        <v>0.0</v>
      </c>
      <c r="L4" s="13">
        <v>0.0</v>
      </c>
    </row>
    <row r="5">
      <c r="A5" s="9" t="s">
        <v>167</v>
      </c>
      <c r="B5" s="13">
        <f>iferror(if(countif('COFA - live'!E:E,A5),VLOOKUP("stable",'COFA - live'!$A$1:$C$70,3,False),VLOOKUP(A5,'COFA - live'!$A$1:$C$70,3,False)))</f>
        <v>0.0213</v>
      </c>
      <c r="C5" s="13"/>
      <c r="D5" s="13"/>
      <c r="E5" s="12">
        <v>0.0</v>
      </c>
      <c r="F5" s="13"/>
      <c r="G5" s="13"/>
      <c r="H5" s="13"/>
      <c r="I5" s="13"/>
      <c r="J5" s="13"/>
      <c r="K5" s="13">
        <v>0.0</v>
      </c>
      <c r="L5" s="13">
        <v>0.0</v>
      </c>
    </row>
    <row r="6">
      <c r="A6" s="9" t="s">
        <v>169</v>
      </c>
      <c r="B6" s="13" t="str">
        <f>iferror(if(countif('COFA - live'!E:E,A6),VLOOKUP("stable",'COFA - live'!$A$1:$C$70,3,False),VLOOKUP(A6,'COFA - live'!$A$1:$C$70,3,False)))</f>
        <v/>
      </c>
      <c r="C6" s="13"/>
      <c r="D6" s="13"/>
      <c r="E6" s="12">
        <v>0.0</v>
      </c>
      <c r="F6" s="13"/>
      <c r="G6" s="13"/>
      <c r="H6" s="13"/>
      <c r="I6" s="13"/>
      <c r="J6" s="13"/>
      <c r="K6" s="13">
        <v>0.0</v>
      </c>
      <c r="L6" s="13">
        <v>0.0</v>
      </c>
    </row>
    <row r="7">
      <c r="A7" s="9" t="s">
        <v>170</v>
      </c>
      <c r="B7" s="13" t="str">
        <f>iferror(if(countif('COFA - live'!E:E,A7),VLOOKUP("stable",'COFA - live'!$A$1:$C$70,3,False),VLOOKUP(A7,'COFA - live'!$A$1:$C$70,3,False)))</f>
        <v/>
      </c>
      <c r="C7" s="13"/>
      <c r="D7" s="13"/>
      <c r="E7" s="12">
        <v>0.0</v>
      </c>
      <c r="F7" s="13"/>
      <c r="G7" s="13"/>
      <c r="H7" s="13"/>
      <c r="I7" s="13"/>
      <c r="J7" s="13"/>
      <c r="K7" s="13">
        <v>0.0</v>
      </c>
      <c r="L7" s="13">
        <v>0.0</v>
      </c>
    </row>
    <row r="8">
      <c r="A8" s="9" t="s">
        <v>171</v>
      </c>
      <c r="B8" s="13" t="str">
        <f>iferror(if(countif('COFA - live'!E:E,A8),VLOOKUP("stable",'COFA - live'!$A$1:$C$70,3,False),VLOOKUP(A8,'COFA - live'!$A$1:$C$70,3,False)))</f>
        <v/>
      </c>
      <c r="C8" s="13"/>
      <c r="D8" s="13"/>
      <c r="E8" s="12">
        <v>0.0</v>
      </c>
      <c r="F8" s="13"/>
      <c r="G8" s="13"/>
      <c r="H8" s="13"/>
      <c r="I8" s="13"/>
      <c r="J8" s="13"/>
      <c r="K8" s="13">
        <v>0.0</v>
      </c>
      <c r="L8" s="13">
        <v>0.0</v>
      </c>
    </row>
    <row r="9">
      <c r="A9" s="9" t="s">
        <v>172</v>
      </c>
      <c r="B9" s="13" t="str">
        <f>iferror(if(countif('COFA - live'!E:E,A9),VLOOKUP("stable",'COFA - live'!$A$1:$C$70,3,False),VLOOKUP(A9,'COFA - live'!$A$1:$C$70,3,False)))</f>
        <v/>
      </c>
      <c r="C9" s="13"/>
      <c r="D9" s="13"/>
      <c r="E9" s="12">
        <v>0.0</v>
      </c>
      <c r="F9" s="13"/>
      <c r="G9" s="13"/>
      <c r="H9" s="13"/>
      <c r="I9" s="13"/>
      <c r="J9" s="13"/>
      <c r="K9" s="13">
        <v>0.0</v>
      </c>
      <c r="L9" s="13">
        <v>0.0</v>
      </c>
    </row>
    <row r="10">
      <c r="A10" s="9" t="s">
        <v>173</v>
      </c>
      <c r="B10" s="13" t="str">
        <f>iferror(if(countif('COFA - live'!E:E,A10),VLOOKUP("stable",'COFA - live'!$A$1:$C$70,3,False),VLOOKUP(A10,'COFA - live'!$A$1:$C$70,3,False)))</f>
        <v/>
      </c>
      <c r="C10" s="13"/>
      <c r="D10" s="13"/>
      <c r="E10" s="12">
        <v>0.0</v>
      </c>
      <c r="F10" s="13"/>
      <c r="G10" s="13"/>
      <c r="H10" s="13"/>
      <c r="I10" s="13"/>
      <c r="J10" s="13"/>
      <c r="K10" s="13">
        <v>0.0</v>
      </c>
      <c r="L10" s="13">
        <v>0.0</v>
      </c>
    </row>
    <row r="11">
      <c r="A11" s="9" t="s">
        <v>176</v>
      </c>
      <c r="B11" s="13" t="str">
        <f>iferror(if(countif('COFA - live'!E:E,A11),VLOOKUP("stable",'COFA - live'!$A$1:$C$70,3,False),VLOOKUP(A11,'COFA - live'!$A$1:$C$70,3,False)))</f>
        <v/>
      </c>
      <c r="C11" s="13"/>
      <c r="D11" s="13"/>
      <c r="E11" s="12">
        <v>0.0</v>
      </c>
      <c r="F11" s="13"/>
      <c r="G11" s="13"/>
      <c r="H11" s="13"/>
      <c r="I11" s="13"/>
      <c r="J11" s="13"/>
      <c r="K11" s="13">
        <v>0.0</v>
      </c>
      <c r="L11" s="13">
        <v>0.0</v>
      </c>
    </row>
    <row r="12">
      <c r="A12" s="9" t="s">
        <v>177</v>
      </c>
      <c r="B12" s="13" t="str">
        <f>iferror(if(countif('COFA - live'!E:E,A12),VLOOKUP("stable",'COFA - live'!$A$1:$C$70,3,False),VLOOKUP(A12,'COFA - live'!$A$1:$C$70,3,False)))</f>
        <v/>
      </c>
      <c r="C12" s="13"/>
      <c r="D12" s="13"/>
      <c r="E12" s="12">
        <v>0.0</v>
      </c>
      <c r="F12" s="13"/>
      <c r="G12" s="13"/>
      <c r="H12" s="13"/>
      <c r="I12" s="13"/>
      <c r="J12" s="13"/>
      <c r="K12" s="13">
        <v>0.0</v>
      </c>
      <c r="L12" s="13">
        <v>0.0</v>
      </c>
    </row>
    <row r="13">
      <c r="A13" s="9" t="s">
        <v>178</v>
      </c>
      <c r="B13" s="13">
        <f>iferror(if(countif('COFA - live'!E:E,A13),VLOOKUP("stable",'COFA - live'!$A$1:$C$70,3,False),VLOOKUP(A13,'COFA - live'!$A$1:$C$70,3,False)))</f>
        <v>0.0098</v>
      </c>
      <c r="C13" s="13"/>
      <c r="D13" s="13"/>
      <c r="E13" s="12">
        <v>0.0</v>
      </c>
      <c r="F13" s="13"/>
      <c r="G13" s="13"/>
      <c r="H13" s="13"/>
      <c r="I13" s="13"/>
      <c r="J13" s="13"/>
      <c r="K13" s="13">
        <v>0.0</v>
      </c>
      <c r="L13" s="13">
        <v>0.0</v>
      </c>
    </row>
    <row r="14">
      <c r="A14" s="9" t="s">
        <v>179</v>
      </c>
      <c r="B14" s="13">
        <f>iferror(if(countif('COFA - live'!E:E,A14),VLOOKUP("stable",'COFA - live'!$A$1:$C$70,3,False),VLOOKUP(A14,'COFA - live'!$A$1:$C$70,3,False)))</f>
        <v>0.0229</v>
      </c>
      <c r="C14" s="13"/>
      <c r="D14" s="13"/>
      <c r="E14" s="12">
        <v>0.0</v>
      </c>
      <c r="F14" s="13"/>
      <c r="G14" s="13"/>
      <c r="H14" s="13"/>
      <c r="I14" s="13"/>
      <c r="J14" s="13"/>
      <c r="K14" s="13">
        <v>0.0</v>
      </c>
      <c r="L14" s="13">
        <v>0.0</v>
      </c>
    </row>
    <row r="15">
      <c r="A15" s="9" t="s">
        <v>180</v>
      </c>
      <c r="B15" s="13">
        <f>iferror(if(countif('COFA - live'!E:E,A15),VLOOKUP("stable",'COFA - live'!$A$1:$C$70,3,False),VLOOKUP(A15,'COFA - live'!$A$1:$C$70,3,False)))</f>
        <v>0.0584</v>
      </c>
      <c r="C15" s="13"/>
      <c r="D15" s="13"/>
      <c r="E15" s="12">
        <v>0.0</v>
      </c>
      <c r="F15" s="13"/>
      <c r="G15" s="13"/>
      <c r="H15" s="13"/>
      <c r="I15" s="13"/>
      <c r="J15" s="13"/>
      <c r="K15" s="13">
        <v>0.0</v>
      </c>
      <c r="L15" s="13">
        <v>0.0</v>
      </c>
    </row>
    <row r="16">
      <c r="A16" s="9" t="s">
        <v>181</v>
      </c>
      <c r="B16" s="13">
        <f>iferror(if(countif('COFA - live'!E:E,A16),VLOOKUP("stable",'COFA - live'!$A$1:$C$70,3,False),VLOOKUP(A16,'COFA - live'!$A$1:$C$70,3,False)))</f>
        <v>0.0588</v>
      </c>
      <c r="C16" s="13"/>
      <c r="D16" s="13"/>
      <c r="E16" s="12">
        <v>0.0</v>
      </c>
      <c r="F16" s="13"/>
      <c r="G16" s="13"/>
      <c r="H16" s="13"/>
      <c r="I16" s="13"/>
      <c r="J16" s="13"/>
      <c r="K16" s="13">
        <v>0.0</v>
      </c>
      <c r="L16" s="13">
        <v>0.0</v>
      </c>
    </row>
    <row r="17">
      <c r="A17" s="9" t="s">
        <v>182</v>
      </c>
      <c r="B17" s="13" t="str">
        <f>iferror(if(countif('COFA - live'!E:E,A17),VLOOKUP("stable",'COFA - live'!$A$1:$C$70,3,False),VLOOKUP(A17,'COFA - live'!$A$1:$C$70,3,False)))</f>
        <v/>
      </c>
      <c r="C17" s="13"/>
      <c r="D17" s="13"/>
      <c r="E17" s="12">
        <v>0.0</v>
      </c>
      <c r="F17" s="13"/>
      <c r="G17" s="13"/>
      <c r="H17" s="13"/>
      <c r="I17" s="13"/>
      <c r="J17" s="13"/>
      <c r="K17" s="13">
        <v>0.0</v>
      </c>
      <c r="L17" s="13">
        <v>0.0</v>
      </c>
    </row>
    <row r="18">
      <c r="A18" s="9" t="s">
        <v>183</v>
      </c>
      <c r="B18" s="13" t="str">
        <f>iferror(if(countif('COFA - live'!E:E,A18),VLOOKUP("stable",'COFA - live'!$A$1:$C$70,3,False),VLOOKUP(A18,'COFA - live'!$A$1:$C$70,3,False)))</f>
        <v/>
      </c>
      <c r="C18" s="13"/>
      <c r="D18" s="13"/>
      <c r="E18" s="12">
        <v>0.0</v>
      </c>
      <c r="F18" s="13"/>
      <c r="G18" s="13"/>
      <c r="H18" s="13"/>
      <c r="I18" s="13"/>
      <c r="J18" s="13"/>
      <c r="K18" s="13">
        <v>0.0</v>
      </c>
      <c r="L18" s="13">
        <v>0.0</v>
      </c>
    </row>
    <row r="19">
      <c r="A19" s="9" t="s">
        <v>184</v>
      </c>
      <c r="B19" s="13">
        <f>iferror(if(countif('COFA - live'!E:E,A19),VLOOKUP("stable",'COFA - live'!$A$1:$C$70,3,False),VLOOKUP(A19,'COFA - live'!$A$1:$C$70,3,False)))</f>
        <v>0.0174</v>
      </c>
      <c r="C19" s="13"/>
      <c r="D19" s="13"/>
      <c r="E19" s="12">
        <v>0.0</v>
      </c>
      <c r="F19" s="13"/>
      <c r="G19" s="13"/>
      <c r="H19" s="13"/>
      <c r="I19" s="13"/>
      <c r="J19" s="13"/>
      <c r="K19" s="13">
        <v>0.0</v>
      </c>
      <c r="L19" s="13">
        <v>0.0</v>
      </c>
    </row>
    <row r="20" ht="15.75" customHeight="1">
      <c r="A20" s="9" t="s">
        <v>185</v>
      </c>
      <c r="B20" s="13">
        <f>iferror(if(countif('COFA - live'!E:E,A20),VLOOKUP("stable",'COFA - live'!$A$1:$C$70,3,False),VLOOKUP(A20,'COFA - live'!$A$1:$C$70,3,False)))</f>
        <v>0.0292</v>
      </c>
      <c r="C20" s="13"/>
      <c r="D20" s="13"/>
      <c r="E20" s="12">
        <v>0.0</v>
      </c>
      <c r="F20" s="13" t="str">
        <f>VLOOKUP("stable",'COFA - live'!$A$1:$C$102,3,False)</f>
        <v>#N/A</v>
      </c>
      <c r="G20" s="13"/>
      <c r="H20" s="13" t="str">
        <f>VLOOKUP("stable",'COFA - live'!$A$1:$C$102,3,False)</f>
        <v>#N/A</v>
      </c>
      <c r="I20" s="13" t="str">
        <f>VLOOKUP("stable",'COFA - live'!$A$1:$C$102,3,False)</f>
        <v>#N/A</v>
      </c>
      <c r="J20" s="13">
        <v>0.0</v>
      </c>
      <c r="K20" s="13">
        <v>0.0</v>
      </c>
      <c r="L20" s="13">
        <v>0.0</v>
      </c>
    </row>
    <row r="21" ht="15.75" customHeight="1">
      <c r="A21" s="9" t="s">
        <v>186</v>
      </c>
      <c r="B21" s="13">
        <f>iferror(if(countif('COFA - live'!E:E,A21),VLOOKUP("stable",'COFA - live'!$A$1:$C$70,3,False),VLOOKUP(A21,'COFA - live'!$A$1:$C$70,3,False)))</f>
        <v>0</v>
      </c>
      <c r="C21" s="13"/>
      <c r="D21" s="13"/>
      <c r="E21" s="12">
        <v>0.0</v>
      </c>
      <c r="F21" s="13"/>
      <c r="G21" s="13"/>
      <c r="H21" s="13"/>
      <c r="I21" s="13"/>
      <c r="J21" s="13"/>
      <c r="K21" s="13">
        <v>0.0</v>
      </c>
      <c r="L21" s="13">
        <v>0.0</v>
      </c>
    </row>
    <row r="22" ht="15.75" customHeight="1">
      <c r="A22" s="9" t="s">
        <v>187</v>
      </c>
      <c r="B22" s="13" t="str">
        <f>iferror(if(countif('COFA - live'!E:E,A22),VLOOKUP("stable",'COFA - live'!$A$1:$C$70,3,False),VLOOKUP(A22,'COFA - live'!$A$1:$C$70,3,False)))</f>
        <v/>
      </c>
      <c r="C22" s="13"/>
      <c r="D22" s="13"/>
      <c r="E22" s="12">
        <v>0.0</v>
      </c>
      <c r="F22" s="13"/>
      <c r="G22" s="13"/>
      <c r="H22" s="13"/>
      <c r="I22" s="13"/>
      <c r="J22" s="13"/>
      <c r="K22" s="13">
        <v>0.0</v>
      </c>
      <c r="L22" s="13">
        <v>0.0</v>
      </c>
    </row>
    <row r="23" ht="15.75" customHeight="1">
      <c r="A23" s="9" t="s">
        <v>151</v>
      </c>
      <c r="B23" s="13">
        <f>iferror(if(countif('COFA - live'!E:E,A23),VLOOKUP("stable",'COFA - live'!$A$1:$C$70,3,False),VLOOKUP(A23,'COFA - live'!$A$1:$C$70,3,False)))</f>
        <v>0.0388</v>
      </c>
      <c r="C23" s="12"/>
      <c r="D23" s="12">
        <v>0.0</v>
      </c>
      <c r="E23" s="12">
        <v>0.0</v>
      </c>
      <c r="F23" s="13"/>
      <c r="G23" s="13">
        <v>0.0</v>
      </c>
      <c r="H23" s="13"/>
      <c r="I23" s="13"/>
      <c r="J23" s="13"/>
      <c r="K23" s="13">
        <v>0.0</v>
      </c>
      <c r="L23" s="13">
        <v>0.0</v>
      </c>
    </row>
    <row r="24" ht="15.75" customHeight="1">
      <c r="A24" s="9" t="s">
        <v>188</v>
      </c>
      <c r="B24" s="13">
        <f>iferror(if(countif('COFA - live'!E:E,A24),VLOOKUP("stable",'COFA - live'!$A$1:$C$70,3,False),VLOOKUP(A24,'COFA - live'!$A$1:$C$70,3,False)))</f>
        <v>0.045</v>
      </c>
      <c r="C24" s="13"/>
      <c r="D24" s="13"/>
      <c r="E24" s="12">
        <v>0.0</v>
      </c>
      <c r="F24" s="13"/>
      <c r="G24" s="13"/>
      <c r="H24" s="13"/>
      <c r="I24" s="13"/>
      <c r="J24" s="13"/>
      <c r="K24" s="13">
        <v>0.0</v>
      </c>
      <c r="L24" s="13">
        <v>0.0</v>
      </c>
    </row>
    <row r="25" ht="15.75" customHeight="1">
      <c r="A25" s="9" t="s">
        <v>190</v>
      </c>
      <c r="B25" s="13" t="str">
        <f>iferror(if(countif('COFA - live'!E:E,A25),VLOOKUP("stable",'COFA - live'!$A$1:$C$70,3,False),VLOOKUP(A25,'COFA - live'!$A$1:$C$70,3,False)))</f>
        <v/>
      </c>
      <c r="C25" s="13"/>
      <c r="D25" s="13"/>
      <c r="E25" s="12">
        <v>0.0</v>
      </c>
      <c r="F25" s="13"/>
      <c r="G25" s="13"/>
      <c r="H25" s="13"/>
      <c r="I25" s="13"/>
      <c r="J25" s="13"/>
      <c r="K25" s="13">
        <v>0.0</v>
      </c>
      <c r="L25" s="13">
        <v>0.0</v>
      </c>
    </row>
    <row r="26" ht="15.75" customHeight="1">
      <c r="A26" s="9" t="s">
        <v>191</v>
      </c>
      <c r="B26" s="13" t="str">
        <f>iferror(if(countif('COFA - live'!E:E,A26),VLOOKUP("stable",'COFA - live'!$A$1:$C$70,3,False),VLOOKUP(A26,'COFA - live'!$A$1:$C$70,3,False)))</f>
        <v/>
      </c>
      <c r="C26" s="13"/>
      <c r="D26" s="13"/>
      <c r="E26" s="12">
        <v>0.0</v>
      </c>
      <c r="F26" s="13"/>
      <c r="G26" s="13"/>
      <c r="H26" s="13"/>
      <c r="I26" s="13"/>
      <c r="J26" s="13"/>
      <c r="K26" s="13">
        <v>0.0</v>
      </c>
      <c r="L26" s="13">
        <v>0.0</v>
      </c>
    </row>
    <row r="27" ht="15.75" customHeight="1">
      <c r="A27" s="9" t="s">
        <v>192</v>
      </c>
      <c r="B27" s="13">
        <f>iferror(if(countif('COFA - live'!E:E,A27),VLOOKUP("stable",'COFA - live'!$A$1:$C$70,3,False),VLOOKUP(A27,'COFA - live'!$A$1:$C$70,3,False)))</f>
        <v>0.0418</v>
      </c>
      <c r="C27" s="13"/>
      <c r="D27" s="13"/>
      <c r="E27" s="12">
        <v>0.0</v>
      </c>
      <c r="F27" s="13"/>
      <c r="G27" s="13"/>
      <c r="H27" s="13"/>
      <c r="I27" s="13"/>
      <c r="J27" s="13"/>
      <c r="K27" s="13">
        <v>0.0</v>
      </c>
      <c r="L27" s="13">
        <v>0.0</v>
      </c>
    </row>
    <row r="28" ht="15.75" customHeight="1">
      <c r="A28" s="9" t="s">
        <v>193</v>
      </c>
      <c r="B28" s="13" t="str">
        <f>iferror(if(countif('COFA - live'!E:E,A28),VLOOKUP("stable",'COFA - live'!$A$1:$C$70,3,False),VLOOKUP(A28,'COFA - live'!$A$1:$C$70,3,False)))</f>
        <v/>
      </c>
      <c r="C28" s="13"/>
      <c r="D28" s="13"/>
      <c r="E28" s="12">
        <v>0.0</v>
      </c>
      <c r="F28" s="13"/>
      <c r="G28" s="13"/>
      <c r="H28" s="13"/>
      <c r="I28" s="13"/>
      <c r="J28" s="13"/>
      <c r="K28" s="13">
        <v>0.0</v>
      </c>
      <c r="L28" s="13">
        <v>0.0</v>
      </c>
    </row>
    <row r="29" ht="15.75" customHeight="1">
      <c r="A29" s="9" t="s">
        <v>194</v>
      </c>
      <c r="B29" s="13">
        <f>iferror(if(countif('COFA - live'!E:E,A29),VLOOKUP("stable",'COFA - live'!$A$1:$C$70,3,False),VLOOKUP(A29,'COFA - live'!$A$1:$C$70,3,False)))</f>
        <v>0.0749</v>
      </c>
      <c r="C29" s="13"/>
      <c r="D29" s="13"/>
      <c r="E29" s="12">
        <v>0.0</v>
      </c>
      <c r="F29" s="13"/>
      <c r="G29" s="13"/>
      <c r="H29" s="13"/>
      <c r="I29" s="13"/>
      <c r="J29" s="13"/>
      <c r="K29" s="13">
        <v>0.0</v>
      </c>
      <c r="L29" s="13">
        <v>0.0</v>
      </c>
    </row>
    <row r="30" ht="15.75" customHeight="1">
      <c r="A30" s="9" t="s">
        <v>196</v>
      </c>
      <c r="B30" s="13">
        <f>iferror(if(countif('COFA - live'!E:E,A30),VLOOKUP("stable",'COFA - live'!$A$1:$C$70,3,False),VLOOKUP(A30,'COFA - live'!$A$1:$C$70,3,False)))</f>
        <v>0.0445</v>
      </c>
      <c r="C30" s="13"/>
      <c r="D30" s="13"/>
      <c r="E30" s="12">
        <v>0.0</v>
      </c>
      <c r="F30" s="13"/>
      <c r="G30" s="13"/>
      <c r="H30" s="13"/>
      <c r="I30" s="13"/>
      <c r="J30" s="13"/>
      <c r="K30" s="13">
        <v>0.0</v>
      </c>
      <c r="L30" s="13">
        <v>0.0</v>
      </c>
    </row>
    <row r="31" ht="15.75" customHeight="1">
      <c r="A31" s="9" t="s">
        <v>197</v>
      </c>
      <c r="B31" s="13">
        <f>iferror(if(countif('COFA - live'!E:E,A31),VLOOKUP("stable",'COFA - live'!$A$1:$C$70,3,False),VLOOKUP(A31,'COFA - live'!$A$1:$C$70,3,False)))</f>
        <v>0.0302</v>
      </c>
      <c r="C31" s="13"/>
      <c r="D31" s="13"/>
      <c r="E31" s="12">
        <v>0.0</v>
      </c>
      <c r="F31" s="13"/>
      <c r="G31" s="13"/>
      <c r="H31" s="13"/>
      <c r="I31" s="13"/>
      <c r="J31" s="13"/>
      <c r="K31" s="13">
        <v>0.0</v>
      </c>
      <c r="L31" s="13">
        <v>0.0</v>
      </c>
    </row>
    <row r="32" ht="15.75" customHeight="1">
      <c r="A32" s="9" t="s">
        <v>198</v>
      </c>
      <c r="B32" s="13">
        <f>iferror(if(countif('COFA - live'!E:E,A32),VLOOKUP("stable",'COFA - live'!$A$1:$C$70,3,False),VLOOKUP(A32,'COFA - live'!$A$1:$C$70,3,False)))</f>
        <v>0.0385</v>
      </c>
      <c r="C32" s="13"/>
      <c r="D32" s="13"/>
      <c r="E32" s="12">
        <v>0.0</v>
      </c>
      <c r="F32" s="13" t="str">
        <f>VLOOKUP("stable",'COFA - live'!$A$1:$C$102,3,False)</f>
        <v>#N/A</v>
      </c>
      <c r="G32" s="13"/>
      <c r="H32" s="13" t="str">
        <f>VLOOKUP("stable",'COFA - live'!$A$1:$C$102,3,False)</f>
        <v>#N/A</v>
      </c>
      <c r="I32" s="13" t="str">
        <f>VLOOKUP("stable",'COFA - live'!$A$1:$C$102,3,False)</f>
        <v>#N/A</v>
      </c>
      <c r="J32" s="13">
        <v>0.0</v>
      </c>
      <c r="K32" s="13">
        <v>0.0</v>
      </c>
      <c r="L32" s="13">
        <v>0.0</v>
      </c>
    </row>
    <row r="33" ht="15.75" customHeight="1">
      <c r="A33" s="9" t="s">
        <v>199</v>
      </c>
      <c r="B33" s="13" t="str">
        <f>iferror(if(countif('COFA - live'!E:E,A33),VLOOKUP("stable",'COFA - live'!$A$1:$C$70,3,False),VLOOKUP(A33,'COFA - live'!$A$1:$C$70,3,False)))</f>
        <v/>
      </c>
      <c r="C33" s="13"/>
      <c r="D33" s="13"/>
      <c r="E33" s="12">
        <v>0.0</v>
      </c>
      <c r="F33" s="13"/>
      <c r="G33" s="13"/>
      <c r="H33" s="13"/>
      <c r="I33" s="13"/>
      <c r="J33" s="13"/>
      <c r="K33" s="13">
        <v>0.0</v>
      </c>
      <c r="L33" s="13">
        <v>0.0</v>
      </c>
    </row>
    <row r="34" ht="15.75" customHeight="1">
      <c r="A34" s="9" t="s">
        <v>200</v>
      </c>
      <c r="B34" s="13" t="str">
        <f>iferror(if(countif('COFA - live'!E:E,A34),VLOOKUP("stable",'COFA - live'!$A$1:$C$70,3,False),VLOOKUP(A34,'COFA - live'!$A$1:$C$70,3,False)))</f>
        <v/>
      </c>
      <c r="C34" s="13"/>
      <c r="D34" s="13"/>
      <c r="E34" s="12">
        <v>0.0</v>
      </c>
      <c r="F34" s="13"/>
      <c r="G34" s="13"/>
      <c r="H34" s="13"/>
      <c r="I34" s="13"/>
      <c r="J34" s="13"/>
      <c r="K34" s="13">
        <v>0.0</v>
      </c>
      <c r="L34" s="13">
        <v>0.0</v>
      </c>
    </row>
    <row r="35" ht="15.75" customHeight="1">
      <c r="A35" s="9" t="s">
        <v>202</v>
      </c>
      <c r="B35" s="13" t="str">
        <f>iferror(if(countif('COFA - live'!E:E,A35),VLOOKUP("stable",'COFA - live'!$A$1:$C$70,3,False),VLOOKUP(A35,'COFA - live'!$A$1:$C$70,3,False)))</f>
        <v/>
      </c>
      <c r="C35" s="13"/>
      <c r="D35" s="13"/>
      <c r="E35" s="12">
        <v>0.0</v>
      </c>
      <c r="F35" s="13"/>
      <c r="G35" s="13"/>
      <c r="H35" s="13"/>
      <c r="I35" s="13"/>
      <c r="J35" s="13"/>
      <c r="K35" s="13">
        <v>0.0</v>
      </c>
      <c r="L35" s="13">
        <v>0.0</v>
      </c>
    </row>
    <row r="36" ht="15.75" customHeight="1">
      <c r="A36" s="9" t="s">
        <v>203</v>
      </c>
      <c r="B36" s="13" t="str">
        <f>iferror(if(countif('COFA - live'!E:E,A36),VLOOKUP("stable",'COFA - live'!$A$1:$C$70,3,False),VLOOKUP(A36,'COFA - live'!$A$1:$C$70,3,False)))</f>
        <v/>
      </c>
      <c r="C36" s="13"/>
      <c r="D36" s="13"/>
      <c r="E36" s="12">
        <v>0.0</v>
      </c>
      <c r="F36" s="13"/>
      <c r="G36" s="13"/>
      <c r="H36" s="13"/>
      <c r="I36" s="13"/>
      <c r="J36" s="13"/>
      <c r="K36" s="13">
        <v>0.0</v>
      </c>
      <c r="L36" s="13">
        <v>0.0</v>
      </c>
    </row>
    <row r="37" ht="15.75" customHeight="1">
      <c r="A37" s="9" t="s">
        <v>204</v>
      </c>
      <c r="B37" s="13">
        <f>iferror(if(countif('COFA - live'!E:E,A37),VLOOKUP("stable",'COFA - live'!$A$1:$C$70,3,False),VLOOKUP(A37,'COFA - live'!$A$1:$C$70,3,False)))</f>
        <v>0.0049</v>
      </c>
      <c r="C37" s="13"/>
      <c r="D37" s="13"/>
      <c r="E37" s="12">
        <v>0.0</v>
      </c>
      <c r="F37" s="13"/>
      <c r="G37" s="13"/>
      <c r="H37" s="13"/>
      <c r="I37" s="13"/>
      <c r="J37" s="13"/>
      <c r="K37" s="13">
        <v>0.0</v>
      </c>
      <c r="L37" s="13">
        <v>0.0</v>
      </c>
    </row>
    <row r="38" ht="15.75" customHeight="1">
      <c r="A38" s="9" t="s">
        <v>205</v>
      </c>
      <c r="B38" s="13" t="str">
        <f>iferror(if(countif('COFA - live'!E:E,A38),VLOOKUP("stable",'COFA - live'!$A$1:$C$70,3,False),VLOOKUP(A38,'COFA - live'!$A$1:$C$70,3,False)))</f>
        <v/>
      </c>
      <c r="C38" s="13"/>
      <c r="D38" s="13"/>
      <c r="E38" s="12">
        <v>0.0</v>
      </c>
      <c r="F38" s="13"/>
      <c r="G38" s="13"/>
      <c r="H38" s="13"/>
      <c r="I38" s="13"/>
      <c r="J38" s="13"/>
      <c r="K38" s="13">
        <v>0.0</v>
      </c>
      <c r="L38" s="13">
        <v>0.0</v>
      </c>
    </row>
    <row r="39" ht="15.75" customHeight="1">
      <c r="A39" s="9" t="s">
        <v>206</v>
      </c>
      <c r="B39" s="13">
        <f>iferror(if(countif('COFA - live'!E:E,A39),VLOOKUP("stable",'COFA - live'!$A$1:$C$70,3,False),VLOOKUP(A39,'COFA - live'!$A$1:$C$70,3,False)))</f>
        <v>0.0251</v>
      </c>
      <c r="C39" s="13"/>
      <c r="D39" s="13"/>
      <c r="E39" s="12">
        <v>0.0</v>
      </c>
      <c r="F39" s="13"/>
      <c r="G39" s="13"/>
      <c r="H39" s="13"/>
      <c r="I39" s="13"/>
      <c r="J39" s="13"/>
      <c r="K39" s="13">
        <v>0.0</v>
      </c>
      <c r="L39" s="13">
        <v>0.0</v>
      </c>
    </row>
    <row r="40" ht="15.75" customHeight="1">
      <c r="A40" s="9" t="s">
        <v>207</v>
      </c>
      <c r="B40" s="13">
        <f>iferror(if(countif('COFA - live'!E:E,A40),VLOOKUP("stable",'COFA - live'!$A$1:$C$70,3,False),VLOOKUP(A40,'COFA - live'!$A$1:$C$70,3,False)))</f>
        <v>0</v>
      </c>
      <c r="C40" s="13"/>
      <c r="D40" s="13"/>
      <c r="E40" s="12">
        <v>0.0</v>
      </c>
      <c r="F40" s="13"/>
      <c r="G40" s="13"/>
      <c r="H40" s="13"/>
      <c r="I40" s="13"/>
      <c r="J40" s="13"/>
      <c r="K40" s="13">
        <v>0.0</v>
      </c>
      <c r="L40" s="13">
        <v>0.0</v>
      </c>
    </row>
    <row r="41" ht="15.75" customHeight="1">
      <c r="A41" s="9" t="s">
        <v>208</v>
      </c>
      <c r="B41" s="13" t="str">
        <f>iferror(if(countif('COFA - live'!E:E,A41),VLOOKUP("stable",'COFA - live'!$A$1:$C$70,3,False),VLOOKUP(A41,'COFA - live'!$A$1:$C$70,3,False)))</f>
        <v/>
      </c>
      <c r="C41" s="13"/>
      <c r="D41" s="13"/>
      <c r="E41" s="12">
        <v>0.0</v>
      </c>
      <c r="F41" s="13"/>
      <c r="G41" s="13"/>
      <c r="H41" s="13"/>
      <c r="I41" s="13"/>
      <c r="J41" s="13"/>
      <c r="K41" s="13">
        <v>0.0</v>
      </c>
      <c r="L41" s="13">
        <v>0.0</v>
      </c>
    </row>
    <row r="42" ht="15.75" customHeight="1">
      <c r="A42" s="9" t="s">
        <v>209</v>
      </c>
      <c r="B42" s="13">
        <f>iferror(if(countif('COFA - live'!E:E,A42),VLOOKUP("stable",'COFA - live'!$A$1:$C$70,3,False),VLOOKUP(A42,'COFA - live'!$A$1:$C$70,3,False)))</f>
        <v>0.0287</v>
      </c>
      <c r="C42" s="13"/>
      <c r="D42" s="13"/>
      <c r="E42" s="12">
        <v>0.0</v>
      </c>
      <c r="F42" s="13"/>
      <c r="G42" s="13"/>
      <c r="H42" s="13"/>
      <c r="I42" s="13"/>
      <c r="J42" s="13"/>
      <c r="K42" s="13">
        <v>0.0</v>
      </c>
      <c r="L42" s="13">
        <v>0.0</v>
      </c>
    </row>
    <row r="43" ht="15.75" customHeight="1">
      <c r="A43" s="9" t="s">
        <v>210</v>
      </c>
      <c r="B43" s="13">
        <f>iferror(if(countif('COFA - live'!E:E,A43),VLOOKUP("stable",'COFA - live'!$A$1:$C$70,3,False),VLOOKUP(A43,'COFA - live'!$A$1:$C$70,3,False)))</f>
        <v>0.0492</v>
      </c>
      <c r="C43" s="13"/>
      <c r="D43" s="13"/>
      <c r="E43" s="12">
        <v>0.0</v>
      </c>
      <c r="F43" s="13"/>
      <c r="G43" s="13"/>
      <c r="H43" s="13"/>
      <c r="I43" s="13"/>
      <c r="J43" s="13"/>
      <c r="K43" s="13">
        <v>0.0</v>
      </c>
      <c r="L43" s="13">
        <v>0.0</v>
      </c>
    </row>
    <row r="44" ht="15.75" customHeight="1">
      <c r="A44" s="9" t="s">
        <v>211</v>
      </c>
      <c r="B44" s="13" t="str">
        <f>iferror(if(countif('COFA - live'!E:E,A44),VLOOKUP("stable",'COFA - live'!$A$1:$C$70,3,False),VLOOKUP(A44,'COFA - live'!$A$1:$C$70,3,False)))</f>
        <v/>
      </c>
      <c r="C44" s="13"/>
      <c r="D44" s="13"/>
      <c r="E44" s="12">
        <v>0.0</v>
      </c>
      <c r="F44" s="13"/>
      <c r="G44" s="13"/>
      <c r="H44" s="13"/>
      <c r="I44" s="13"/>
      <c r="J44" s="13"/>
      <c r="K44" s="13">
        <v>0.0</v>
      </c>
      <c r="L44" s="13">
        <v>0.0</v>
      </c>
    </row>
    <row r="45" ht="15.75" customHeight="1">
      <c r="A45" s="9" t="s">
        <v>212</v>
      </c>
      <c r="B45" s="13" t="str">
        <f>iferror(if(countif('COFA - live'!E:E,A45),VLOOKUP("stable",'COFA - live'!$A$1:$C$70,3,False),VLOOKUP(A45,'COFA - live'!$A$1:$C$70,3,False)))</f>
        <v/>
      </c>
      <c r="C45" s="13"/>
      <c r="D45" s="13"/>
      <c r="E45" s="12">
        <v>0.0</v>
      </c>
      <c r="F45" s="13"/>
      <c r="G45" s="13"/>
      <c r="H45" s="13"/>
      <c r="I45" s="13"/>
      <c r="J45" s="13"/>
      <c r="K45" s="13">
        <v>0.0</v>
      </c>
      <c r="L45" s="13">
        <v>0.0</v>
      </c>
    </row>
    <row r="46" ht="15.75" customHeight="1">
      <c r="A46" s="9" t="s">
        <v>213</v>
      </c>
      <c r="B46" s="13">
        <f>iferror(if(countif('COFA - live'!E:E,A46),VLOOKUP("stable",'COFA - live'!$A$1:$C$70,3,False),VLOOKUP(A46,'COFA - live'!$A$1:$C$70,3,False)))</f>
        <v>0.0043</v>
      </c>
      <c r="C46" s="13"/>
      <c r="D46" s="13"/>
      <c r="E46" s="12">
        <v>0.0</v>
      </c>
      <c r="F46" s="13"/>
      <c r="G46" s="13"/>
      <c r="H46" s="13"/>
      <c r="I46" s="13"/>
      <c r="J46" s="13"/>
      <c r="K46" s="13">
        <v>0.0</v>
      </c>
      <c r="L46" s="13">
        <v>0.0</v>
      </c>
    </row>
    <row r="47" ht="15.75" customHeight="1">
      <c r="A47" s="9" t="s">
        <v>214</v>
      </c>
      <c r="B47" s="13">
        <f>iferror(if(countif('COFA - live'!E:E,A47),VLOOKUP("stable",'COFA - live'!$A$1:$C$70,3,False),VLOOKUP(A47,'COFA - live'!$A$1:$C$70,3,False)))</f>
        <v>0.0813</v>
      </c>
      <c r="C47" s="13"/>
      <c r="D47" s="13"/>
      <c r="E47" s="12">
        <v>0.0</v>
      </c>
      <c r="F47" s="13"/>
      <c r="G47" s="13"/>
      <c r="H47" s="13"/>
      <c r="I47" s="13"/>
      <c r="J47" s="13"/>
      <c r="K47" s="13">
        <v>0.0</v>
      </c>
      <c r="L47" s="13">
        <v>0.0</v>
      </c>
    </row>
    <row r="48" ht="15.75" customHeight="1">
      <c r="A48" s="9" t="s">
        <v>215</v>
      </c>
      <c r="B48" s="13" t="str">
        <f>iferror(if(countif('COFA - live'!E:E,A48),VLOOKUP("stable",'COFA - live'!$A$1:$C$70,3,False),VLOOKUP(A48,'COFA - live'!$A$1:$C$70,3,False)))</f>
        <v/>
      </c>
      <c r="C48" s="13"/>
      <c r="D48" s="13"/>
      <c r="E48" s="12">
        <v>0.0</v>
      </c>
      <c r="F48" s="13"/>
      <c r="G48" s="13"/>
      <c r="H48" s="13"/>
      <c r="I48" s="13"/>
      <c r="J48" s="13"/>
      <c r="K48" s="13">
        <v>0.0</v>
      </c>
      <c r="L48" s="13">
        <v>0.0</v>
      </c>
    </row>
    <row r="49" ht="15.75" customHeight="1">
      <c r="A49" s="9" t="s">
        <v>216</v>
      </c>
      <c r="B49" s="13" t="str">
        <f>iferror(if(countif('COFA - live'!E:E,A49),VLOOKUP("stable",'COFA - live'!$A$1:$C$70,3,False),VLOOKUP(A49,'COFA - live'!$A$1:$C$70,3,False)))</f>
        <v/>
      </c>
      <c r="C49" s="13"/>
      <c r="D49" s="13"/>
      <c r="E49" s="12">
        <v>0.0</v>
      </c>
      <c r="F49" s="13"/>
      <c r="G49" s="13"/>
      <c r="H49" s="13"/>
      <c r="I49" s="13"/>
      <c r="J49" s="13"/>
      <c r="K49" s="13">
        <v>0.0</v>
      </c>
      <c r="L49" s="13">
        <v>0.0</v>
      </c>
    </row>
    <row r="50" ht="15.75" customHeight="1">
      <c r="A50" s="9" t="s">
        <v>217</v>
      </c>
      <c r="B50" s="13">
        <f>iferror(if(countif('COFA - live'!E:E,A50),VLOOKUP("stable",'COFA - live'!$A$1:$C$70,3,False),VLOOKUP(A50,'COFA - live'!$A$1:$C$70,3,False)))</f>
        <v>0.0045</v>
      </c>
      <c r="C50" s="13"/>
      <c r="D50" s="13"/>
      <c r="E50" s="12">
        <v>0.0</v>
      </c>
      <c r="F50" s="13"/>
      <c r="G50" s="13"/>
      <c r="H50" s="13"/>
      <c r="I50" s="13"/>
      <c r="J50" s="13"/>
      <c r="K50" s="13">
        <v>0.0</v>
      </c>
      <c r="L50" s="13">
        <v>0.0</v>
      </c>
    </row>
    <row r="51" ht="15.75" customHeight="1">
      <c r="A51" s="9" t="s">
        <v>218</v>
      </c>
      <c r="B51" s="13" t="str">
        <f>iferror(if(countif('COFA - live'!E:E,A51),VLOOKUP("stable",'COFA - live'!$A$1:$C$70,3,False),VLOOKUP(A51,'COFA - live'!$A$1:$C$70,3,False)))</f>
        <v/>
      </c>
      <c r="C51" s="13"/>
      <c r="D51" s="13"/>
      <c r="E51" s="12">
        <v>0.0</v>
      </c>
      <c r="F51" s="13"/>
      <c r="G51" s="13"/>
      <c r="H51" s="13"/>
      <c r="I51" s="13"/>
      <c r="J51" s="13"/>
      <c r="K51" s="13">
        <v>0.0</v>
      </c>
      <c r="L51" s="13">
        <v>0.0</v>
      </c>
    </row>
    <row r="52" ht="15.75" customHeight="1">
      <c r="A52" s="9" t="s">
        <v>219</v>
      </c>
      <c r="B52" s="13">
        <f>iferror(if(countif('COFA - live'!E:E,A52),VLOOKUP("stable",'COFA - live'!$A$1:$C$70,3,False),VLOOKUP(A52,'COFA - live'!$A$1:$C$70,3,False)))</f>
        <v>0</v>
      </c>
      <c r="C52" s="13"/>
      <c r="D52" s="13"/>
      <c r="E52" s="12">
        <v>0.0</v>
      </c>
      <c r="F52" s="13"/>
      <c r="G52" s="13"/>
      <c r="H52" s="13"/>
      <c r="I52" s="13"/>
      <c r="J52" s="13"/>
      <c r="K52" s="13">
        <v>0.0</v>
      </c>
      <c r="L52" s="13">
        <v>0.0</v>
      </c>
    </row>
    <row r="53" ht="15.75" customHeight="1">
      <c r="A53" s="9" t="s">
        <v>220</v>
      </c>
      <c r="B53" s="13" t="str">
        <f>iferror(if(countif('COFA - live'!E:E,A53),VLOOKUP("stable",'COFA - live'!$A$1:$C$70,3,False),VLOOKUP(A53,'COFA - live'!$A$1:$C$70,3,False)))</f>
        <v/>
      </c>
      <c r="C53" s="13"/>
      <c r="D53" s="13"/>
      <c r="E53" s="12">
        <v>0.0</v>
      </c>
      <c r="F53" s="13"/>
      <c r="G53" s="13"/>
      <c r="H53" s="13"/>
      <c r="I53" s="13"/>
      <c r="J53" s="13"/>
      <c r="K53" s="13">
        <v>0.0</v>
      </c>
      <c r="L53" s="13">
        <v>0.0</v>
      </c>
    </row>
    <row r="54" ht="15.75" customHeight="1">
      <c r="A54" s="9" t="s">
        <v>221</v>
      </c>
      <c r="B54" s="13">
        <f>iferror(if(countif('COFA - live'!E:E,A54),VLOOKUP("stable",'COFA - live'!$A$1:$C$70,3,False),VLOOKUP(A54,'COFA - live'!$A$1:$C$70,3,False)))</f>
        <v>0.0528</v>
      </c>
      <c r="C54" s="13"/>
      <c r="D54" s="13"/>
      <c r="E54" s="12">
        <v>0.0</v>
      </c>
      <c r="F54" s="13"/>
      <c r="G54" s="13"/>
      <c r="H54" s="13"/>
      <c r="I54" s="13"/>
      <c r="J54" s="13"/>
      <c r="K54" s="13">
        <v>0.0</v>
      </c>
      <c r="L54" s="13">
        <v>0.0</v>
      </c>
    </row>
    <row r="55" ht="15.75" customHeight="1">
      <c r="A55" s="9" t="s">
        <v>223</v>
      </c>
      <c r="B55" s="13" t="str">
        <f>iferror(if(countif('COFA - live'!E:E,A55),VLOOKUP("stable",'COFA - live'!$A$1:$C$70,3,False),VLOOKUP(A55,'COFA - live'!$A$1:$C$70,3,False)))</f>
        <v/>
      </c>
      <c r="C55" s="13"/>
      <c r="D55" s="13"/>
      <c r="E55" s="12">
        <v>0.0</v>
      </c>
      <c r="F55" s="13"/>
      <c r="G55" s="13"/>
      <c r="H55" s="13"/>
      <c r="I55" s="13"/>
      <c r="J55" s="13"/>
      <c r="K55" s="13">
        <v>0.0</v>
      </c>
      <c r="L55" s="13">
        <v>0.0</v>
      </c>
    </row>
    <row r="56" ht="15.75" customHeight="1">
      <c r="A56" s="9" t="s">
        <v>224</v>
      </c>
      <c r="B56" s="13" t="str">
        <f>iferror(if(countif('COFA - live'!E:E,A56),VLOOKUP("stable",'COFA - live'!$A$1:$C$70,3,False),VLOOKUP(A56,'COFA - live'!$A$1:$C$70,3,False)))</f>
        <v/>
      </c>
      <c r="C56" s="13"/>
      <c r="D56" s="13"/>
      <c r="E56" s="12">
        <v>0.0</v>
      </c>
      <c r="F56" s="13"/>
      <c r="G56" s="13"/>
      <c r="H56" s="13"/>
      <c r="I56" s="13"/>
      <c r="J56" s="13"/>
      <c r="K56" s="13">
        <v>0.0</v>
      </c>
      <c r="L56" s="13">
        <v>0.0</v>
      </c>
    </row>
    <row r="57" ht="15.75" customHeight="1">
      <c r="A57" s="9" t="s">
        <v>226</v>
      </c>
      <c r="B57" s="13" t="str">
        <f>iferror(if(countif('COFA - live'!E:E,A57),VLOOKUP("stable",'COFA - live'!$A$1:$C$70,3,False),VLOOKUP(A57,'COFA - live'!$A$1:$C$70,3,False)))</f>
        <v/>
      </c>
      <c r="C57" s="13"/>
      <c r="D57" s="13"/>
      <c r="E57" s="12">
        <v>0.0</v>
      </c>
      <c r="F57" s="13"/>
      <c r="G57" s="13"/>
      <c r="H57" s="13"/>
      <c r="I57" s="13"/>
      <c r="J57" s="13"/>
      <c r="K57" s="13">
        <v>0.0</v>
      </c>
      <c r="L57" s="13">
        <v>0.0</v>
      </c>
    </row>
    <row r="58" ht="15.75" customHeight="1">
      <c r="A58" s="9" t="s">
        <v>228</v>
      </c>
      <c r="B58" s="13" t="str">
        <f>iferror(if(countif('COFA - live'!E:E,A58),VLOOKUP("stable",'COFA - live'!$A$1:$C$70,3,False),VLOOKUP(A58,'COFA - live'!$A$1:$C$70,3,False)))</f>
        <v/>
      </c>
      <c r="C58" s="13"/>
      <c r="D58" s="13"/>
      <c r="E58" s="12">
        <v>0.0</v>
      </c>
      <c r="F58" s="13"/>
      <c r="G58" s="13"/>
      <c r="H58" s="13"/>
      <c r="I58" s="13"/>
      <c r="J58" s="13"/>
      <c r="K58" s="13">
        <v>0.0</v>
      </c>
      <c r="L58" s="13">
        <v>0.0</v>
      </c>
    </row>
    <row r="59" ht="15.75" customHeight="1">
      <c r="A59" s="9" t="s">
        <v>229</v>
      </c>
      <c r="B59" s="13">
        <f>iferror(if(countif('COFA - live'!E:E,A59),VLOOKUP("stable",'COFA - live'!$A$1:$C$70,3,False),VLOOKUP(A59,'COFA - live'!$A$1:$C$70,3,False)))</f>
        <v>0</v>
      </c>
      <c r="C59" s="13"/>
      <c r="D59" s="13"/>
      <c r="E59" s="12">
        <v>0.0</v>
      </c>
      <c r="F59" s="13"/>
      <c r="G59" s="13"/>
      <c r="H59" s="13"/>
      <c r="I59" s="13"/>
      <c r="J59" s="13"/>
      <c r="K59" s="13">
        <v>0.0</v>
      </c>
      <c r="L59" s="13">
        <v>0.0</v>
      </c>
    </row>
    <row r="60" ht="15.75" customHeight="1">
      <c r="A60" s="9" t="s">
        <v>233</v>
      </c>
      <c r="B60" s="13">
        <f>iferror(if(countif('COFA - live'!E:E,A60),VLOOKUP("stable",'COFA - live'!$A$1:$C$70,3,False),VLOOKUP(A60,'COFA - live'!$A$1:$C$70,3,False)))</f>
        <v>0.135</v>
      </c>
      <c r="C60" s="13"/>
      <c r="D60" s="13"/>
      <c r="E60" s="12">
        <v>0.0</v>
      </c>
      <c r="F60" s="13"/>
      <c r="G60" s="13"/>
      <c r="H60" s="13"/>
      <c r="I60" s="13"/>
      <c r="J60" s="13"/>
      <c r="K60" s="13">
        <v>0.0</v>
      </c>
      <c r="L60" s="13">
        <v>0.0</v>
      </c>
    </row>
    <row r="61" ht="15.75" customHeight="1">
      <c r="A61" s="9" t="s">
        <v>234</v>
      </c>
      <c r="B61" s="13" t="str">
        <f>iferror(if(countif('COFA - live'!E:E,A61),VLOOKUP("stable",'COFA - live'!$A$1:$C$70,3,False),VLOOKUP(A61,'COFA - live'!$A$1:$C$70,3,False)))</f>
        <v/>
      </c>
      <c r="C61" s="13"/>
      <c r="D61" s="13"/>
      <c r="E61" s="12">
        <v>0.0</v>
      </c>
      <c r="F61" s="13"/>
      <c r="G61" s="13"/>
      <c r="H61" s="13"/>
      <c r="I61" s="13"/>
      <c r="J61" s="13"/>
      <c r="K61" s="13">
        <v>0.0</v>
      </c>
      <c r="L61" s="13">
        <v>0.0</v>
      </c>
    </row>
    <row r="62" ht="15.75" customHeight="1">
      <c r="A62" s="9" t="s">
        <v>235</v>
      </c>
      <c r="B62" s="13" t="str">
        <f>iferror(if(countif('COFA - live'!E:E,A62),VLOOKUP("stable",'COFA - live'!$A$1:$C$70,3,False),VLOOKUP(A62,'COFA - live'!$A$1:$C$70,3,False)))</f>
        <v/>
      </c>
      <c r="C62" s="13"/>
      <c r="D62" s="13"/>
      <c r="E62" s="12">
        <v>0.0</v>
      </c>
      <c r="F62" s="13"/>
      <c r="G62" s="13"/>
      <c r="H62" s="13"/>
      <c r="I62" s="13"/>
      <c r="J62" s="13"/>
      <c r="K62" s="13">
        <v>0.0</v>
      </c>
      <c r="L62" s="13">
        <v>0.0</v>
      </c>
    </row>
    <row r="63" ht="15.75" customHeight="1">
      <c r="A63" s="9" t="s">
        <v>236</v>
      </c>
      <c r="B63" s="13">
        <f>iferror(if(countif('COFA - live'!E:E,A63),VLOOKUP("stable",'COFA - live'!$A$1:$C$70,3,False),VLOOKUP(A63,'COFA - live'!$A$1:$C$70,3,False)))</f>
        <v>0.0387</v>
      </c>
      <c r="C63" s="13"/>
      <c r="D63" s="13"/>
      <c r="E63" s="12">
        <v>0.0</v>
      </c>
      <c r="F63" s="13"/>
      <c r="G63" s="13"/>
      <c r="H63" s="13"/>
      <c r="I63" s="13"/>
      <c r="J63" s="13"/>
      <c r="K63" s="13">
        <v>0.0</v>
      </c>
      <c r="L63" s="13">
        <v>0.0</v>
      </c>
    </row>
    <row r="64" ht="15.75" customHeight="1">
      <c r="A64" s="9" t="s">
        <v>237</v>
      </c>
      <c r="B64" s="13" t="str">
        <f>iferror(if(countif('COFA - live'!E:E,A64),VLOOKUP("stable",'COFA - live'!$A$1:$C$70,3,False),VLOOKUP(A64,'COFA - live'!$A$1:$C$70,3,False)))</f>
        <v/>
      </c>
      <c r="C64" s="13"/>
      <c r="D64" s="13"/>
      <c r="E64" s="12">
        <v>0.0</v>
      </c>
      <c r="F64" s="13"/>
      <c r="G64" s="13"/>
      <c r="H64" s="13"/>
      <c r="I64" s="13"/>
      <c r="J64" s="13"/>
      <c r="K64" s="13">
        <v>0.0</v>
      </c>
      <c r="L64" s="13">
        <v>0.0</v>
      </c>
    </row>
    <row r="65" ht="15.75" customHeight="1">
      <c r="A65" s="9" t="s">
        <v>238</v>
      </c>
      <c r="B65" s="13" t="str">
        <f>iferror(if(countif('COFA - live'!E:E,A65),VLOOKUP("stable",'COFA - live'!$A$1:$C$70,3,False),VLOOKUP(A65,'COFA - live'!$A$1:$C$70,3,False)))</f>
        <v/>
      </c>
      <c r="C65" s="13"/>
      <c r="D65" s="13"/>
      <c r="E65" s="12">
        <v>0.0</v>
      </c>
      <c r="F65" s="13"/>
      <c r="G65" s="13"/>
      <c r="H65" s="13"/>
      <c r="I65" s="13"/>
      <c r="J65" s="13"/>
      <c r="K65" s="13">
        <v>0.0</v>
      </c>
      <c r="L65" s="13">
        <v>0.0</v>
      </c>
    </row>
    <row r="66" ht="15.75" customHeight="1">
      <c r="A66" s="9" t="s">
        <v>239</v>
      </c>
      <c r="B66" s="13" t="str">
        <f>iferror(if(countif('COFA - live'!E:E,A66),VLOOKUP("stable",'COFA - live'!$A$1:$C$70,3,False),VLOOKUP(A66,'COFA - live'!$A$1:$C$70,3,False)))</f>
        <v/>
      </c>
      <c r="C66" s="13"/>
      <c r="D66" s="13"/>
      <c r="E66" s="12">
        <v>0.0</v>
      </c>
      <c r="F66" s="13"/>
      <c r="G66" s="13"/>
      <c r="H66" s="13"/>
      <c r="I66" s="13"/>
      <c r="J66" s="13"/>
      <c r="K66" s="13">
        <v>0.0</v>
      </c>
      <c r="L66" s="13">
        <v>0.0</v>
      </c>
    </row>
    <row r="67" ht="15.75" customHeight="1">
      <c r="A67" s="9" t="s">
        <v>240</v>
      </c>
      <c r="B67" s="13" t="str">
        <f>iferror(if(countif('COFA - live'!E:E,A67),VLOOKUP("stable",'COFA - live'!$A$1:$C$70,3,False),VLOOKUP(A67,'COFA - live'!$A$1:$C$70,3,False)))</f>
        <v/>
      </c>
      <c r="C67" s="13"/>
      <c r="D67" s="13"/>
      <c r="E67" s="12">
        <v>0.0</v>
      </c>
      <c r="F67" s="13"/>
      <c r="G67" s="13"/>
      <c r="H67" s="13"/>
      <c r="I67" s="13"/>
      <c r="J67" s="13"/>
      <c r="K67" s="13">
        <v>0.0</v>
      </c>
      <c r="L67" s="13">
        <v>0.0</v>
      </c>
    </row>
    <row r="68" ht="15.75" customHeight="1">
      <c r="A68" s="9" t="s">
        <v>242</v>
      </c>
      <c r="B68" s="13" t="str">
        <f>iferror(if(countif('COFA - live'!E:E,A68),VLOOKUP("stable",'COFA - live'!$A$1:$C$70,3,False),VLOOKUP(A68,'COFA - live'!$A$1:$C$70,3,False)))</f>
        <v/>
      </c>
      <c r="C68" s="13"/>
      <c r="D68" s="13"/>
      <c r="E68" s="12">
        <v>0.0</v>
      </c>
      <c r="F68" s="13"/>
      <c r="G68" s="13"/>
      <c r="H68" s="13"/>
      <c r="I68" s="13"/>
      <c r="J68" s="13"/>
      <c r="K68" s="13">
        <v>0.0</v>
      </c>
      <c r="L68" s="13">
        <v>0.0</v>
      </c>
    </row>
    <row r="69" ht="15.75" customHeight="1">
      <c r="A69" s="9" t="s">
        <v>243</v>
      </c>
      <c r="B69" s="13">
        <f>iferror(if(countif('COFA - live'!E:E,A69),VLOOKUP("stable",'COFA - live'!$A$1:$C$70,3,False),VLOOKUP(A69,'COFA - live'!$A$1:$C$70,3,False)))</f>
        <v>0.0092</v>
      </c>
      <c r="C69" s="13"/>
      <c r="D69" s="13"/>
      <c r="E69" s="12">
        <v>0.0</v>
      </c>
      <c r="F69" s="13"/>
      <c r="G69" s="13"/>
      <c r="H69" s="13"/>
      <c r="I69" s="13"/>
      <c r="J69" s="13"/>
      <c r="K69" s="13">
        <v>0.0</v>
      </c>
      <c r="L69" s="13">
        <v>0.0</v>
      </c>
    </row>
    <row r="70" ht="15.75" customHeight="1">
      <c r="A70" s="9" t="s">
        <v>244</v>
      </c>
      <c r="B70" s="13">
        <f>iferror(if(countif('COFA - live'!E:E,A70),VLOOKUP("stable",'COFA - live'!$A$1:$C$70,3,False),VLOOKUP(A70,'COFA - live'!$A$1:$C$70,3,False)))</f>
        <v>0.0229</v>
      </c>
      <c r="C70" s="13"/>
      <c r="D70" s="13"/>
      <c r="E70" s="12">
        <v>0.0</v>
      </c>
      <c r="F70" s="13"/>
      <c r="G70" s="13"/>
      <c r="H70" s="13"/>
      <c r="I70" s="13"/>
      <c r="J70" s="13"/>
      <c r="K70" s="13">
        <v>0.0</v>
      </c>
      <c r="L70" s="13">
        <v>0.0</v>
      </c>
    </row>
    <row r="71" ht="15.75" customHeight="1">
      <c r="A71" s="9" t="s">
        <v>245</v>
      </c>
      <c r="B71" s="13" t="str">
        <f>iferror(if(countif('COFA - live'!E:E,A71),VLOOKUP("stable",'COFA - live'!$A$1:$C$70,3,False),VLOOKUP(A71,'COFA - live'!$A$1:$C$70,3,False)))</f>
        <v/>
      </c>
      <c r="C71" s="13"/>
      <c r="D71" s="13"/>
      <c r="E71" s="12">
        <v>0.0</v>
      </c>
      <c r="F71" s="13"/>
      <c r="G71" s="13"/>
      <c r="H71" s="13"/>
      <c r="I71" s="13"/>
      <c r="J71" s="13"/>
      <c r="K71" s="13">
        <v>0.0</v>
      </c>
      <c r="L71" s="13">
        <v>0.0</v>
      </c>
    </row>
    <row r="72" ht="15.75" customHeight="1">
      <c r="A72" s="9" t="s">
        <v>246</v>
      </c>
      <c r="B72" s="13" t="str">
        <f>iferror(if(countif('COFA - live'!E:E,A72),VLOOKUP("stable",'COFA - live'!$A$1:$C$70,3,False),VLOOKUP(A72,'COFA - live'!$A$1:$C$70,3,False)))</f>
        <v/>
      </c>
      <c r="C72" s="13"/>
      <c r="D72" s="13"/>
      <c r="E72" s="12">
        <v>0.0</v>
      </c>
      <c r="F72" s="13"/>
      <c r="G72" s="13"/>
      <c r="H72" s="13"/>
      <c r="I72" s="13"/>
      <c r="J72" s="13"/>
      <c r="K72" s="13">
        <v>0.0</v>
      </c>
      <c r="L72" s="13">
        <v>0.0</v>
      </c>
    </row>
    <row r="73" ht="15.75" customHeight="1">
      <c r="A73" s="9" t="s">
        <v>247</v>
      </c>
      <c r="B73" s="13" t="str">
        <f>iferror(if(countif('COFA - live'!E:E,A73),VLOOKUP("stable",'COFA - live'!$A$1:$C$70,3,False),VLOOKUP(A73,'COFA - live'!$A$1:$C$70,3,False)))</f>
        <v/>
      </c>
      <c r="C73" s="13"/>
      <c r="D73" s="13"/>
      <c r="E73" s="12">
        <v>0.0</v>
      </c>
      <c r="F73" s="13"/>
      <c r="G73" s="13"/>
      <c r="H73" s="13"/>
      <c r="I73" s="13"/>
      <c r="J73" s="13"/>
      <c r="K73" s="13">
        <v>0.0</v>
      </c>
      <c r="L73" s="13">
        <v>0.0</v>
      </c>
    </row>
    <row r="74" ht="15.75" customHeight="1">
      <c r="A74" s="9" t="s">
        <v>248</v>
      </c>
      <c r="B74" s="13" t="str">
        <f>iferror(if(countif('COFA - live'!E:E,A74),VLOOKUP("stable",'COFA - live'!$A$1:$C$70,3,False),VLOOKUP(A74,'COFA - live'!$A$1:$C$70,3,False)))</f>
        <v/>
      </c>
      <c r="C74" s="13"/>
      <c r="D74" s="13"/>
      <c r="E74" s="12">
        <v>0.0</v>
      </c>
      <c r="F74" s="13"/>
      <c r="G74" s="13"/>
      <c r="H74" s="13"/>
      <c r="I74" s="13"/>
      <c r="J74" s="13"/>
      <c r="K74" s="13">
        <v>0.0</v>
      </c>
      <c r="L74" s="13">
        <v>0.0</v>
      </c>
    </row>
    <row r="75" ht="15.75" customHeight="1">
      <c r="A75" s="9" t="s">
        <v>249</v>
      </c>
      <c r="B75" s="13" t="str">
        <f>iferror(if(countif('COFA - live'!E:E,A75),VLOOKUP("stable",'COFA - live'!$A$1:$C$70,3,False),VLOOKUP(A75,'COFA - live'!$A$1:$C$70,3,False)))</f>
        <v/>
      </c>
      <c r="C75" s="13"/>
      <c r="D75" s="13"/>
      <c r="E75" s="12">
        <v>0.0</v>
      </c>
      <c r="F75" s="13"/>
      <c r="G75" s="13"/>
      <c r="H75" s="13"/>
      <c r="I75" s="13"/>
      <c r="J75" s="13"/>
      <c r="K75" s="13">
        <v>0.0</v>
      </c>
      <c r="L75" s="13">
        <v>0.0</v>
      </c>
    </row>
    <row r="76" ht="15.75" customHeight="1">
      <c r="A76" s="9" t="s">
        <v>250</v>
      </c>
      <c r="B76" s="13">
        <f>iferror(if(countif('COFA - live'!E:E,A76),VLOOKUP("stable",'COFA - live'!$A$1:$C$70,3,False),VLOOKUP(A76,'COFA - live'!$A$1:$C$70,3,False)))</f>
        <v>0.055</v>
      </c>
      <c r="C76" s="13"/>
      <c r="D76" s="13"/>
      <c r="E76" s="12">
        <v>0.0</v>
      </c>
      <c r="F76" s="13"/>
      <c r="G76" s="13"/>
      <c r="H76" s="13"/>
      <c r="I76" s="13"/>
      <c r="J76" s="13"/>
      <c r="K76" s="13">
        <v>0.0</v>
      </c>
      <c r="L76" s="13">
        <v>0.0</v>
      </c>
    </row>
    <row r="77" ht="15.75" customHeight="1">
      <c r="A77" s="9" t="s">
        <v>251</v>
      </c>
      <c r="B77" s="13">
        <f>iferror(if(countif('COFA - live'!E:E,A77),VLOOKUP("stable",'COFA - live'!$A$1:$C$70,3,False),VLOOKUP(A77,'COFA - live'!$A$1:$C$70,3,False)))</f>
        <v>0.0103</v>
      </c>
      <c r="C77" s="13"/>
      <c r="D77" s="13"/>
      <c r="E77" s="12">
        <v>0.0</v>
      </c>
      <c r="F77" s="13"/>
      <c r="G77" s="13"/>
      <c r="H77" s="13"/>
      <c r="I77" s="13"/>
      <c r="J77" s="13"/>
      <c r="K77" s="13">
        <v>0.0</v>
      </c>
      <c r="L77" s="13">
        <v>0.0</v>
      </c>
    </row>
    <row r="78" ht="15.75" customHeight="1">
      <c r="A78" s="9" t="s">
        <v>252</v>
      </c>
      <c r="B78" s="13">
        <f>iferror(if(countif('COFA - live'!E:E,A78),VLOOKUP("stable",'COFA - live'!$A$1:$C$70,3,False),VLOOKUP(A78,'COFA - live'!$A$1:$C$70,3,False)))</f>
        <v>0.0133</v>
      </c>
      <c r="C78" s="13"/>
      <c r="D78" s="13"/>
      <c r="E78" s="12">
        <v>0.0</v>
      </c>
      <c r="F78" s="13"/>
      <c r="G78" s="13"/>
      <c r="H78" s="13"/>
      <c r="I78" s="13"/>
      <c r="J78" s="13"/>
      <c r="K78" s="13">
        <v>0.0</v>
      </c>
      <c r="L78" s="13">
        <v>0.0</v>
      </c>
    </row>
    <row r="79" ht="15.75" customHeight="1">
      <c r="A79" s="9" t="s">
        <v>253</v>
      </c>
      <c r="B79" s="13" t="str">
        <f>iferror(if(countif('COFA - live'!E:E,A79),VLOOKUP("stable",'COFA - live'!$A$1:$C$70,3,False),VLOOKUP(A79,'COFA - live'!$A$1:$C$70,3,False)))</f>
        <v/>
      </c>
      <c r="C79" s="13"/>
      <c r="D79" s="13"/>
      <c r="E79" s="12">
        <v>0.0</v>
      </c>
      <c r="F79" s="13"/>
      <c r="G79" s="13"/>
      <c r="H79" s="13"/>
      <c r="I79" s="13"/>
      <c r="J79" s="13"/>
      <c r="K79" s="13">
        <v>0.0</v>
      </c>
      <c r="L79" s="13">
        <v>0.0</v>
      </c>
    </row>
    <row r="80" ht="15.75" customHeight="1">
      <c r="A80" s="9" t="s">
        <v>254</v>
      </c>
      <c r="B80" s="13">
        <f>iferror(if(countif('COFA - live'!E:E,A80),VLOOKUP("stable",'COFA - live'!$A$1:$C$70,3,False),VLOOKUP(A80,'COFA - live'!$A$1:$C$70,3,False)))</f>
        <v>0.0161</v>
      </c>
      <c r="C80" s="13"/>
      <c r="D80" s="13"/>
      <c r="E80" s="12">
        <v>0.0</v>
      </c>
      <c r="F80" s="13"/>
      <c r="G80" s="13"/>
      <c r="H80" s="13"/>
      <c r="I80" s="13"/>
      <c r="J80" s="13"/>
      <c r="K80" s="13">
        <v>0.0</v>
      </c>
      <c r="L80" s="13">
        <v>0.0</v>
      </c>
    </row>
    <row r="81" ht="15.75" customHeight="1">
      <c r="A81" s="9" t="s">
        <v>255</v>
      </c>
      <c r="B81" s="13">
        <f>iferror(if(countif('COFA - live'!E:E,A81),VLOOKUP("stable",'COFA - live'!$A$1:$C$70,3,False),VLOOKUP(A81,'COFA - live'!$A$1:$C$70,3,False)))</f>
        <v>0.0169</v>
      </c>
      <c r="C81" s="13"/>
      <c r="D81" s="13"/>
      <c r="E81" s="12">
        <v>0.0</v>
      </c>
      <c r="F81" s="13"/>
      <c r="G81" s="13"/>
      <c r="H81" s="13"/>
      <c r="I81" s="13"/>
      <c r="J81" s="13"/>
      <c r="K81" s="13">
        <v>0.0</v>
      </c>
      <c r="L81" s="13">
        <v>0.0</v>
      </c>
    </row>
    <row r="82" ht="15.75" customHeight="1">
      <c r="A82" s="9" t="s">
        <v>256</v>
      </c>
      <c r="B82" s="13" t="str">
        <f>iferror(if(countif('COFA - live'!E:E,A82),VLOOKUP("stable",'COFA - live'!$A$1:$C$70,3,False),VLOOKUP(A82,'COFA - live'!$A$1:$C$70,3,False)))</f>
        <v/>
      </c>
      <c r="C82" s="13"/>
      <c r="D82" s="13"/>
      <c r="E82" s="12">
        <v>0.0</v>
      </c>
      <c r="F82" s="13"/>
      <c r="G82" s="13"/>
      <c r="H82" s="13"/>
      <c r="I82" s="13"/>
      <c r="J82" s="13"/>
      <c r="K82" s="13">
        <v>0.0</v>
      </c>
      <c r="L82" s="13">
        <v>0.0</v>
      </c>
    </row>
    <row r="83" ht="15.75" customHeight="1">
      <c r="A83" s="7" t="s">
        <v>277</v>
      </c>
      <c r="B83" s="13">
        <v>0.13</v>
      </c>
      <c r="E83" s="12">
        <v>0.0</v>
      </c>
      <c r="K83" s="13">
        <v>0.0</v>
      </c>
      <c r="L83" s="13">
        <v>0.0</v>
      </c>
    </row>
    <row r="84" ht="15.75" customHeight="1">
      <c r="A84" s="7" t="s">
        <v>278</v>
      </c>
      <c r="B84" s="13" t="str">
        <f>iferror(if(countif('COFA - live'!E:E,A84),VLOOKUP("stable",'COFA - live'!$A$1:$C$70,3,False),VLOOKUP(A84,'COFA - live'!$A$1:$C$70,3,False)))</f>
        <v/>
      </c>
      <c r="E84" s="12">
        <v>0.0</v>
      </c>
      <c r="K84" s="13">
        <v>0.0</v>
      </c>
      <c r="L84" s="13">
        <v>0.0</v>
      </c>
    </row>
    <row r="85" ht="15.75" customHeight="1">
      <c r="B85" s="13" t="str">
        <f>iferror(if(countif('COFA - live'!E:E,A85),VLOOKUP("stable",'COFA - live'!$A$1:$C$70,3,False),VLOOKUP(A85,'COFA - live'!$A$1:$C$70,3,False)))</f>
        <v/>
      </c>
      <c r="K85" s="13">
        <v>0.0</v>
      </c>
      <c r="L85" s="13">
        <v>0.0</v>
      </c>
    </row>
    <row r="86" ht="15.75" customHeight="1">
      <c r="B86" s="13" t="str">
        <f>iferror(if(countif('COFA - live'!E:E,A86),VLOOKUP("stable",'COFA - live'!$A$1:$C$70,3,False),VLOOKUP(A86,'COFA - live'!$A$1:$C$70,3,False)))</f>
        <v/>
      </c>
      <c r="K86" s="13">
        <v>0.0</v>
      </c>
    </row>
    <row r="87" ht="15.75" customHeight="1">
      <c r="A87" s="7" t="s">
        <v>257</v>
      </c>
      <c r="B87" s="13" t="str">
        <f>iferror(if(countif('COFA - live'!E:E,A87),VLOOKUP("stable",'COFA - live'!$A$1:$C$70,3,False),VLOOKUP(A87,'COFA - live'!$A$1:$C$70,3,False)))</f>
        <v/>
      </c>
      <c r="D87" s="9">
        <f t="shared" ref="D87:J87" si="1">COUNT(D2:D78)</f>
        <v>1</v>
      </c>
      <c r="E87" s="9">
        <f t="shared" si="1"/>
        <v>77</v>
      </c>
      <c r="F87" s="9">
        <f t="shared" si="1"/>
        <v>0</v>
      </c>
      <c r="G87" s="9">
        <f t="shared" si="1"/>
        <v>1</v>
      </c>
      <c r="H87" s="9">
        <f t="shared" si="1"/>
        <v>0</v>
      </c>
      <c r="I87" s="9">
        <f t="shared" si="1"/>
        <v>0</v>
      </c>
      <c r="J87" s="9">
        <f t="shared" si="1"/>
        <v>2</v>
      </c>
      <c r="K87" s="13">
        <v>0.0</v>
      </c>
    </row>
    <row r="88" ht="15.75" customHeight="1">
      <c r="B88" s="13" t="str">
        <f>iferror(if(countif('COFA - live'!E:E,A88),VLOOKUP("stable",'COFA - live'!$A$1:$C$70,3,False),VLOOKUP(A88,'COFA - live'!$A$1:$C$70,3,False)))</f>
        <v/>
      </c>
      <c r="K88" s="13">
        <v>0.0</v>
      </c>
    </row>
    <row r="89" ht="15.75" customHeight="1">
      <c r="K89" s="13">
        <v>0.0</v>
      </c>
    </row>
    <row r="90" ht="15.75" customHeight="1">
      <c r="K90" s="13">
        <v>0.0</v>
      </c>
    </row>
    <row r="91" ht="15.75" customHeight="1">
      <c r="K91" s="13">
        <v>0.0</v>
      </c>
    </row>
    <row r="92" ht="15.75" customHeight="1">
      <c r="K92" s="13">
        <v>0.0</v>
      </c>
    </row>
    <row r="93" ht="15.75" customHeight="1">
      <c r="K93" s="13">
        <v>0.0</v>
      </c>
    </row>
    <row r="94" ht="15.75" customHeight="1">
      <c r="K94" s="13">
        <v>0.0</v>
      </c>
    </row>
    <row r="95" ht="15.75" customHeight="1">
      <c r="K95" s="13">
        <v>0.0</v>
      </c>
    </row>
    <row r="96" ht="15.75" customHeight="1">
      <c r="K96" s="13">
        <v>0.0</v>
      </c>
    </row>
    <row r="97" ht="15.75" customHeight="1">
      <c r="K97" s="13">
        <v>0.0</v>
      </c>
    </row>
    <row r="98" ht="15.75" customHeight="1">
      <c r="K98" s="13">
        <v>0.0</v>
      </c>
    </row>
    <row r="99" ht="15.75" customHeight="1">
      <c r="K99" s="13">
        <v>0.0</v>
      </c>
    </row>
    <row r="100" ht="15.75" customHeight="1">
      <c r="K100" s="13">
        <v>0.0</v>
      </c>
    </row>
    <row r="101" ht="15.75" customHeight="1">
      <c r="K101" s="13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38"/>
  </cols>
  <sheetData>
    <row r="1">
      <c r="A1" s="9" t="str">
        <f>IFERROR(__xludf.DUMMYFUNCTION("IMPORTRANGE(""https://docs.google.com/spreadsheets/d/1_R5XGAbKIAiF9dmTsF3tMbRMvAh_nv1cUh_NAjqTboc/edit#gid=0"",""COFA live!B2:D60"")"),"")</f>
        <v/>
      </c>
      <c r="B1" s="9" t="str">
        <f>IFERROR(__xludf.DUMMYFUNCTION("""COMPUTED_VALUE"""),"Cost of Funding (Firm View)")</f>
        <v>Cost of Funding (Firm View)</v>
      </c>
      <c r="C1" s="9"/>
    </row>
    <row r="2">
      <c r="A2" s="9" t="str">
        <f>IFERROR(__xludf.DUMMYFUNCTION("""COMPUTED_VALUE"""),"Coin")</f>
        <v>Coin</v>
      </c>
      <c r="B2" s="9" t="str">
        <f>IFERROR(__xludf.DUMMYFUNCTION("""COMPUTED_VALUE"""),"Excl. All Collateral")</f>
        <v>Excl. All Collateral</v>
      </c>
      <c r="C2" s="9" t="str">
        <f>IFERROR(__xludf.DUMMYFUNCTION("""COMPUTED_VALUE"""),"Incl. All Collateral")</f>
        <v>Incl. All Collateral</v>
      </c>
    </row>
    <row r="3">
      <c r="A3" s="9" t="str">
        <f>IFERROR(__xludf.DUMMYFUNCTION("""COMPUTED_VALUE"""),"CEL")</f>
        <v>CEL</v>
      </c>
      <c r="B3" s="33">
        <f>IFERROR(__xludf.DUMMYFUNCTION("""COMPUTED_VALUE"""),0.0471)</f>
        <v>0.0471</v>
      </c>
      <c r="C3" s="33">
        <f>IFERROR(__xludf.DUMMYFUNCTION("""COMPUTED_VALUE"""),0.0388)</f>
        <v>0.0388</v>
      </c>
    </row>
    <row r="4">
      <c r="A4" s="9" t="str">
        <f>IFERROR(__xludf.DUMMYFUNCTION("""COMPUTED_VALUE"""),"1INCH")</f>
        <v>1INCH</v>
      </c>
      <c r="B4" s="33">
        <f>IFERROR(__xludf.DUMMYFUNCTION("""COMPUTED_VALUE"""),0.0403)</f>
        <v>0.0403</v>
      </c>
      <c r="C4" s="33">
        <f>IFERROR(__xludf.DUMMYFUNCTION("""COMPUTED_VALUE"""),0.0396)</f>
        <v>0.0396</v>
      </c>
      <c r="E4" s="7" t="s">
        <v>279</v>
      </c>
    </row>
    <row r="5">
      <c r="A5" s="9" t="str">
        <f>IFERROR(__xludf.DUMMYFUNCTION("""COMPUTED_VALUE"""),"AAVE")</f>
        <v>AAVE</v>
      </c>
      <c r="B5" s="33">
        <f>IFERROR(__xludf.DUMMYFUNCTION("""COMPUTED_VALUE"""),0.0499)</f>
        <v>0.0499</v>
      </c>
      <c r="C5" s="33">
        <f>IFERROR(__xludf.DUMMYFUNCTION("""COMPUTED_VALUE"""),0.04)</f>
        <v>0.04</v>
      </c>
      <c r="E5" s="9" t="s">
        <v>187</v>
      </c>
    </row>
    <row r="6">
      <c r="A6" s="9" t="str">
        <f>IFERROR(__xludf.DUMMYFUNCTION("""COMPUTED_VALUE"""),"ADA")</f>
        <v>ADA</v>
      </c>
      <c r="B6" s="33">
        <f>IFERROR(__xludf.DUMMYFUNCTION("""COMPUTED_VALUE"""),0.0396)</f>
        <v>0.0396</v>
      </c>
      <c r="C6" s="33">
        <f>IFERROR(__xludf.DUMMYFUNCTION("""COMPUTED_VALUE"""),0.0213)</f>
        <v>0.0213</v>
      </c>
      <c r="E6" s="9" t="s">
        <v>203</v>
      </c>
    </row>
    <row r="7">
      <c r="A7" s="9" t="str">
        <f>IFERROR(__xludf.DUMMYFUNCTION("""COMPUTED_VALUE"""),"BAT")</f>
        <v>BAT</v>
      </c>
      <c r="B7" s="33">
        <f>IFERROR(__xludf.DUMMYFUNCTION("""COMPUTED_VALUE"""),0.0103)</f>
        <v>0.0103</v>
      </c>
      <c r="C7" s="33">
        <f>IFERROR(__xludf.DUMMYFUNCTION("""COMPUTED_VALUE"""),0.0098)</f>
        <v>0.0098</v>
      </c>
      <c r="E7" s="9" t="s">
        <v>215</v>
      </c>
    </row>
    <row r="8">
      <c r="A8" s="9" t="str">
        <f>IFERROR(__xludf.DUMMYFUNCTION("""COMPUTED_VALUE"""),"BCH")</f>
        <v>BCH</v>
      </c>
      <c r="B8" s="33">
        <f>IFERROR(__xludf.DUMMYFUNCTION("""COMPUTED_VALUE"""),0.0464)</f>
        <v>0.0464</v>
      </c>
      <c r="C8" s="33">
        <f>IFERROR(__xludf.DUMMYFUNCTION("""COMPUTED_VALUE"""),0.0229)</f>
        <v>0.0229</v>
      </c>
      <c r="E8" s="9" t="s">
        <v>220</v>
      </c>
    </row>
    <row r="9">
      <c r="A9" s="9" t="str">
        <f>IFERROR(__xludf.DUMMYFUNCTION("""COMPUTED_VALUE"""),"BNB")</f>
        <v>BNB</v>
      </c>
      <c r="B9" s="33">
        <f>IFERROR(__xludf.DUMMYFUNCTION("""COMPUTED_VALUE"""),0.0677)</f>
        <v>0.0677</v>
      </c>
      <c r="C9" s="33">
        <f>IFERROR(__xludf.DUMMYFUNCTION("""COMPUTED_VALUE"""),0.0584)</f>
        <v>0.0584</v>
      </c>
      <c r="E9" s="9" t="s">
        <v>237</v>
      </c>
    </row>
    <row r="10">
      <c r="A10" s="9" t="str">
        <f>IFERROR(__xludf.DUMMYFUNCTION("""COMPUTED_VALUE"""),"BNT")</f>
        <v>BNT</v>
      </c>
      <c r="B10" s="33">
        <f>IFERROR(__xludf.DUMMYFUNCTION("""COMPUTED_VALUE"""),0.0588)</f>
        <v>0.0588</v>
      </c>
      <c r="C10" s="33">
        <f>IFERROR(__xludf.DUMMYFUNCTION("""COMPUTED_VALUE"""),0.0588)</f>
        <v>0.0588</v>
      </c>
      <c r="E10" s="9" t="s">
        <v>238</v>
      </c>
    </row>
    <row r="11">
      <c r="A11" s="9" t="str">
        <f>IFERROR(__xludf.DUMMYFUNCTION("""COMPUTED_VALUE"""),"BSV")</f>
        <v>BSV</v>
      </c>
      <c r="B11" s="33">
        <f>IFERROR(__xludf.DUMMYFUNCTION("""COMPUTED_VALUE"""),0.0198)</f>
        <v>0.0198</v>
      </c>
      <c r="C11" s="33">
        <f>IFERROR(__xludf.DUMMYFUNCTION("""COMPUTED_VALUE"""),0.0174)</f>
        <v>0.0174</v>
      </c>
      <c r="E11" s="9" t="s">
        <v>239</v>
      </c>
    </row>
    <row r="12">
      <c r="A12" s="9" t="str">
        <f>IFERROR(__xludf.DUMMYFUNCTION("""COMPUTED_VALUE"""),"BTC")</f>
        <v>BTC</v>
      </c>
      <c r="B12" s="33">
        <f>IFERROR(__xludf.DUMMYFUNCTION("""COMPUTED_VALUE"""),0.0397)</f>
        <v>0.0397</v>
      </c>
      <c r="C12" s="33">
        <f>IFERROR(__xludf.DUMMYFUNCTION("""COMPUTED_VALUE"""),0.0292)</f>
        <v>0.0292</v>
      </c>
      <c r="E12" s="9" t="s">
        <v>240</v>
      </c>
    </row>
    <row r="13">
      <c r="A13" s="9" t="str">
        <f>IFERROR(__xludf.DUMMYFUNCTION("""COMPUTED_VALUE"""),"BTG")</f>
        <v>BTG</v>
      </c>
      <c r="B13" s="33">
        <f>IFERROR(__xludf.DUMMYFUNCTION("""COMPUTED_VALUE"""),0.0)</f>
        <v>0</v>
      </c>
      <c r="C13" s="33">
        <f>IFERROR(__xludf.DUMMYFUNCTION("""COMPUTED_VALUE"""),0.0)</f>
        <v>0</v>
      </c>
      <c r="E13" s="9" t="s">
        <v>242</v>
      </c>
    </row>
    <row r="14">
      <c r="A14" s="9" t="str">
        <f>IFERROR(__xludf.DUMMYFUNCTION("""COMPUTED_VALUE"""),"BUSD")</f>
        <v>BUSD</v>
      </c>
      <c r="B14" s="33">
        <f>IFERROR(__xludf.DUMMYFUNCTION("""COMPUTED_VALUE"""),0.1009)</f>
        <v>0.1009</v>
      </c>
      <c r="C14" s="33">
        <f>IFERROR(__xludf.DUMMYFUNCTION("""COMPUTED_VALUE"""),0.1008)</f>
        <v>0.1008</v>
      </c>
      <c r="E14" s="9" t="s">
        <v>246</v>
      </c>
    </row>
    <row r="15">
      <c r="A15" s="9" t="str">
        <f>IFERROR(__xludf.DUMMYFUNCTION("""COMPUTED_VALUE"""),"COMP")</f>
        <v>COMP</v>
      </c>
      <c r="B15" s="33">
        <f>IFERROR(__xludf.DUMMYFUNCTION("""COMPUTED_VALUE"""),0.0462)</f>
        <v>0.0462</v>
      </c>
      <c r="C15" s="33">
        <f>IFERROR(__xludf.DUMMYFUNCTION("""COMPUTED_VALUE"""),0.045)</f>
        <v>0.045</v>
      </c>
      <c r="E15" s="9" t="s">
        <v>247</v>
      </c>
    </row>
    <row r="16">
      <c r="A16" s="9" t="str">
        <f>IFERROR(__xludf.DUMMYFUNCTION("""COMPUTED_VALUE"""),"DASH")</f>
        <v>DASH</v>
      </c>
      <c r="B16" s="33">
        <f>IFERROR(__xludf.DUMMYFUNCTION("""COMPUTED_VALUE"""),0.0464)</f>
        <v>0.0464</v>
      </c>
      <c r="C16" s="33">
        <f>IFERROR(__xludf.DUMMYFUNCTION("""COMPUTED_VALUE"""),0.0418)</f>
        <v>0.0418</v>
      </c>
      <c r="E16" s="9" t="s">
        <v>249</v>
      </c>
    </row>
    <row r="17">
      <c r="A17" s="9" t="str">
        <f>IFERROR(__xludf.DUMMYFUNCTION("""COMPUTED_VALUE"""),"DOT")</f>
        <v>DOT</v>
      </c>
      <c r="B17" s="33">
        <f>IFERROR(__xludf.DUMMYFUNCTION("""COMPUTED_VALUE"""),0.087)</f>
        <v>0.087</v>
      </c>
      <c r="C17" s="33">
        <f>IFERROR(__xludf.DUMMYFUNCTION("""COMPUTED_VALUE"""),0.0749)</f>
        <v>0.0749</v>
      </c>
      <c r="E17" s="9" t="s">
        <v>256</v>
      </c>
    </row>
    <row r="18">
      <c r="A18" s="9" t="str">
        <f>IFERROR(__xludf.DUMMYFUNCTION("""COMPUTED_VALUE"""),"EOS")</f>
        <v>EOS</v>
      </c>
      <c r="B18" s="33">
        <f>IFERROR(__xludf.DUMMYFUNCTION("""COMPUTED_VALUE"""),0.0474)</f>
        <v>0.0474</v>
      </c>
      <c r="C18" s="33">
        <f>IFERROR(__xludf.DUMMYFUNCTION("""COMPUTED_VALUE"""),0.0445)</f>
        <v>0.0445</v>
      </c>
      <c r="E18" s="9" t="s">
        <v>280</v>
      </c>
    </row>
    <row r="19">
      <c r="A19" s="9" t="str">
        <f>IFERROR(__xludf.DUMMYFUNCTION("""COMPUTED_VALUE"""),"ETC")</f>
        <v>ETC</v>
      </c>
      <c r="B19" s="33">
        <f>IFERROR(__xludf.DUMMYFUNCTION("""COMPUTED_VALUE"""),0.0304)</f>
        <v>0.0304</v>
      </c>
      <c r="C19" s="33">
        <f>IFERROR(__xludf.DUMMYFUNCTION("""COMPUTED_VALUE"""),0.0302)</f>
        <v>0.0302</v>
      </c>
      <c r="E19" s="9" t="s">
        <v>245</v>
      </c>
    </row>
    <row r="20">
      <c r="A20" s="9" t="str">
        <f>IFERROR(__xludf.DUMMYFUNCTION("""COMPUTED_VALUE"""),"ETH")</f>
        <v>ETH</v>
      </c>
      <c r="B20" s="33">
        <f>IFERROR(__xludf.DUMMYFUNCTION("""COMPUTED_VALUE"""),0.0472)</f>
        <v>0.0472</v>
      </c>
      <c r="C20" s="33">
        <f>IFERROR(__xludf.DUMMYFUNCTION("""COMPUTED_VALUE"""),0.0385)</f>
        <v>0.0385</v>
      </c>
      <c r="E20" s="9" t="s">
        <v>211</v>
      </c>
    </row>
    <row r="21">
      <c r="A21" s="9" t="str">
        <f>IFERROR(__xludf.DUMMYFUNCTION("""COMPUTED_VALUE"""),"GUSD")</f>
        <v>GUSD</v>
      </c>
      <c r="B21" s="33">
        <f>IFERROR(__xludf.DUMMYFUNCTION("""COMPUTED_VALUE"""),0.0923)</f>
        <v>0.0923</v>
      </c>
      <c r="C21" s="33">
        <f>IFERROR(__xludf.DUMMYFUNCTION("""COMPUTED_VALUE"""),0.0921)</f>
        <v>0.0921</v>
      </c>
    </row>
    <row r="22">
      <c r="A22" s="9" t="str">
        <f>IFERROR(__xludf.DUMMYFUNCTION("""COMPUTED_VALUE"""),"KNC")</f>
        <v>KNC</v>
      </c>
      <c r="B22" s="33">
        <f>IFERROR(__xludf.DUMMYFUNCTION("""COMPUTED_VALUE"""),0.0051)</f>
        <v>0.0051</v>
      </c>
      <c r="C22" s="33">
        <f>IFERROR(__xludf.DUMMYFUNCTION("""COMPUTED_VALUE"""),0.0049)</f>
        <v>0.0049</v>
      </c>
    </row>
    <row r="23">
      <c r="A23" s="9" t="str">
        <f>IFERROR(__xludf.DUMMYFUNCTION("""COMPUTED_VALUE"""),"LINK")</f>
        <v>LINK</v>
      </c>
      <c r="B23" s="33">
        <f>IFERROR(__xludf.DUMMYFUNCTION("""COMPUTED_VALUE"""),0.0298)</f>
        <v>0.0298</v>
      </c>
      <c r="C23" s="33">
        <f>IFERROR(__xludf.DUMMYFUNCTION("""COMPUTED_VALUE"""),0.0251)</f>
        <v>0.0251</v>
      </c>
    </row>
    <row r="24">
      <c r="A24" s="9" t="str">
        <f>IFERROR(__xludf.DUMMYFUNCTION("""COMPUTED_VALUE"""),"LPT")</f>
        <v>LPT</v>
      </c>
      <c r="B24" s="33">
        <f>IFERROR(__xludf.DUMMYFUNCTION("""COMPUTED_VALUE"""),0.0)</f>
        <v>0</v>
      </c>
      <c r="C24" s="33">
        <f>IFERROR(__xludf.DUMMYFUNCTION("""COMPUTED_VALUE"""),0.0)</f>
        <v>0</v>
      </c>
    </row>
    <row r="25">
      <c r="A25" s="9" t="str">
        <f>IFERROR(__xludf.DUMMYFUNCTION("""COMPUTED_VALUE"""),"LTC")</f>
        <v>LTC</v>
      </c>
      <c r="B25" s="33">
        <f>IFERROR(__xludf.DUMMYFUNCTION("""COMPUTED_VALUE"""),0.0325)</f>
        <v>0.0325</v>
      </c>
      <c r="C25" s="33">
        <f>IFERROR(__xludf.DUMMYFUNCTION("""COMPUTED_VALUE"""),0.0287)</f>
        <v>0.0287</v>
      </c>
    </row>
    <row r="26">
      <c r="A26" s="9" t="str">
        <f>IFERROR(__xludf.DUMMYFUNCTION("""COMPUTED_VALUE"""),"LUNA")</f>
        <v>LUNA</v>
      </c>
      <c r="B26" s="33">
        <f>IFERROR(__xludf.DUMMYFUNCTION("""COMPUTED_VALUE"""),0.0502)</f>
        <v>0.0502</v>
      </c>
      <c r="C26" s="33">
        <f>IFERROR(__xludf.DUMMYFUNCTION("""COMPUTED_VALUE"""),0.0492)</f>
        <v>0.0492</v>
      </c>
    </row>
    <row r="27">
      <c r="A27" s="9" t="str">
        <f>IFERROR(__xludf.DUMMYFUNCTION("""COMPUTED_VALUE"""),"MANA")</f>
        <v>MANA</v>
      </c>
      <c r="B27" s="33">
        <f>IFERROR(__xludf.DUMMYFUNCTION("""COMPUTED_VALUE"""),0.0052)</f>
        <v>0.0052</v>
      </c>
      <c r="C27" s="33">
        <f>IFERROR(__xludf.DUMMYFUNCTION("""COMPUTED_VALUE"""),0.0043)</f>
        <v>0.0043</v>
      </c>
    </row>
    <row r="28">
      <c r="A28" s="9" t="str">
        <f>IFERROR(__xludf.DUMMYFUNCTION("""COMPUTED_VALUE"""),"MATIC")</f>
        <v>MATIC</v>
      </c>
      <c r="B28" s="33">
        <f>IFERROR(__xludf.DUMMYFUNCTION("""COMPUTED_VALUE"""),0.0882)</f>
        <v>0.0882</v>
      </c>
      <c r="C28" s="33">
        <f>IFERROR(__xludf.DUMMYFUNCTION("""COMPUTED_VALUE"""),0.0813)</f>
        <v>0.0813</v>
      </c>
    </row>
    <row r="29">
      <c r="A29" s="9" t="str">
        <f>IFERROR(__xludf.DUMMYFUNCTION("""COMPUTED_VALUE"""),"MCDAI")</f>
        <v>MCDAI</v>
      </c>
      <c r="B29" s="33">
        <f>IFERROR(__xludf.DUMMYFUNCTION("""COMPUTED_VALUE"""),0.1685)</f>
        <v>0.1685</v>
      </c>
      <c r="C29" s="33">
        <f>IFERROR(__xludf.DUMMYFUNCTION("""COMPUTED_VALUE"""),0.168)</f>
        <v>0.168</v>
      </c>
    </row>
    <row r="30">
      <c r="A30" s="9" t="str">
        <f>IFERROR(__xludf.DUMMYFUNCTION("""COMPUTED_VALUE"""),"OMG")</f>
        <v>OMG</v>
      </c>
      <c r="B30" s="33">
        <f>IFERROR(__xludf.DUMMYFUNCTION("""COMPUTED_VALUE"""),0.0054)</f>
        <v>0.0054</v>
      </c>
      <c r="C30" s="33">
        <f>IFERROR(__xludf.DUMMYFUNCTION("""COMPUTED_VALUE"""),0.0045)</f>
        <v>0.0045</v>
      </c>
    </row>
    <row r="31">
      <c r="A31" s="9" t="str">
        <f>IFERROR(__xludf.DUMMYFUNCTION("""COMPUTED_VALUE"""),"ORBS")</f>
        <v>ORBS</v>
      </c>
      <c r="B31" s="33">
        <f>IFERROR(__xludf.DUMMYFUNCTION("""COMPUTED_VALUE"""),0.0)</f>
        <v>0</v>
      </c>
      <c r="C31" s="33">
        <f>IFERROR(__xludf.DUMMYFUNCTION("""COMPUTED_VALUE"""),0.0)</f>
        <v>0</v>
      </c>
    </row>
    <row r="32">
      <c r="A32" s="9" t="str">
        <f>IFERROR(__xludf.DUMMYFUNCTION("""COMPUTED_VALUE"""),"PAX")</f>
        <v>PAX</v>
      </c>
      <c r="B32" s="33">
        <f>IFERROR(__xludf.DUMMYFUNCTION("""COMPUTED_VALUE"""),0.0968)</f>
        <v>0.0968</v>
      </c>
      <c r="C32" s="33">
        <f>IFERROR(__xludf.DUMMYFUNCTION("""COMPUTED_VALUE"""),0.0967)</f>
        <v>0.0967</v>
      </c>
    </row>
    <row r="33">
      <c r="A33" s="9" t="str">
        <f>IFERROR(__xludf.DUMMYFUNCTION("""COMPUTED_VALUE"""),"PAXG")</f>
        <v>PAXG</v>
      </c>
      <c r="B33" s="33">
        <f>IFERROR(__xludf.DUMMYFUNCTION("""COMPUTED_VALUE"""),0.0545)</f>
        <v>0.0545</v>
      </c>
      <c r="C33" s="33">
        <f>IFERROR(__xludf.DUMMYFUNCTION("""COMPUTED_VALUE"""),0.0528)</f>
        <v>0.0528</v>
      </c>
    </row>
    <row r="34">
      <c r="A34" s="9" t="str">
        <f>IFERROR(__xludf.DUMMYFUNCTION("""COMPUTED_VALUE"""),"SGR")</f>
        <v>SGR</v>
      </c>
      <c r="B34" s="33">
        <f>IFERROR(__xludf.DUMMYFUNCTION("""COMPUTED_VALUE"""),0.0)</f>
        <v>0</v>
      </c>
      <c r="C34" s="33">
        <f>IFERROR(__xludf.DUMMYFUNCTION("""COMPUTED_VALUE"""),0.0)</f>
        <v>0</v>
      </c>
    </row>
    <row r="35">
      <c r="A35" s="9" t="str">
        <f>IFERROR(__xludf.DUMMYFUNCTION("""COMPUTED_VALUE"""),"SNX")</f>
        <v>SNX</v>
      </c>
      <c r="B35" s="33">
        <f>IFERROR(__xludf.DUMMYFUNCTION("""COMPUTED_VALUE"""),0.1379)</f>
        <v>0.1379</v>
      </c>
      <c r="C35" s="33">
        <f>IFERROR(__xludf.DUMMYFUNCTION("""COMPUTED_VALUE"""),0.135)</f>
        <v>0.135</v>
      </c>
    </row>
    <row r="36">
      <c r="A36" s="9" t="str">
        <f>IFERROR(__xludf.DUMMYFUNCTION("""COMPUTED_VALUE"""),"SUSHI")</f>
        <v>SUSHI</v>
      </c>
      <c r="B36" s="33">
        <f>IFERROR(__xludf.DUMMYFUNCTION("""COMPUTED_VALUE"""),0.0402)</f>
        <v>0.0402</v>
      </c>
      <c r="C36" s="33">
        <f>IFERROR(__xludf.DUMMYFUNCTION("""COMPUTED_VALUE"""),0.0387)</f>
        <v>0.0387</v>
      </c>
    </row>
    <row r="37">
      <c r="A37" s="9" t="str">
        <f>IFERROR(__xludf.DUMMYFUNCTION("""COMPUTED_VALUE"""),"TAUD")</f>
        <v>TAUD</v>
      </c>
      <c r="B37" s="33">
        <f>IFERROR(__xludf.DUMMYFUNCTION("""COMPUTED_VALUE"""),0.0924)</f>
        <v>0.0924</v>
      </c>
      <c r="C37" s="33">
        <f>IFERROR(__xludf.DUMMYFUNCTION("""COMPUTED_VALUE"""),0.0923)</f>
        <v>0.0923</v>
      </c>
    </row>
    <row r="38">
      <c r="A38" s="9" t="str">
        <f>IFERROR(__xludf.DUMMYFUNCTION("""COMPUTED_VALUE"""),"TCAD")</f>
        <v>TCAD</v>
      </c>
      <c r="B38" s="33">
        <f>IFERROR(__xludf.DUMMYFUNCTION("""COMPUTED_VALUE"""),0.1102)</f>
        <v>0.1102</v>
      </c>
      <c r="C38" s="33">
        <f>IFERROR(__xludf.DUMMYFUNCTION("""COMPUTED_VALUE"""),0.1102)</f>
        <v>0.1102</v>
      </c>
    </row>
    <row r="39">
      <c r="A39" s="9" t="str">
        <f>IFERROR(__xludf.DUMMYFUNCTION("""COMPUTED_VALUE"""),"TGBP")</f>
        <v>TGBP</v>
      </c>
      <c r="B39" s="33">
        <f>IFERROR(__xludf.DUMMYFUNCTION("""COMPUTED_VALUE"""),0.0997)</f>
        <v>0.0997</v>
      </c>
      <c r="C39" s="33">
        <f>IFERROR(__xludf.DUMMYFUNCTION("""COMPUTED_VALUE"""),0.0997)</f>
        <v>0.0997</v>
      </c>
    </row>
    <row r="40">
      <c r="A40" s="9" t="str">
        <f>IFERROR(__xludf.DUMMYFUNCTION("""COMPUTED_VALUE"""),"THKD")</f>
        <v>THKD</v>
      </c>
      <c r="B40" s="33">
        <f>IFERROR(__xludf.DUMMYFUNCTION("""COMPUTED_VALUE"""),0.0951)</f>
        <v>0.0951</v>
      </c>
      <c r="C40" s="33">
        <f>IFERROR(__xludf.DUMMYFUNCTION("""COMPUTED_VALUE"""),0.0951)</f>
        <v>0.0951</v>
      </c>
    </row>
    <row r="41">
      <c r="A41" s="9" t="str">
        <f>IFERROR(__xludf.DUMMYFUNCTION("""COMPUTED_VALUE"""),"TUSD")</f>
        <v>TUSD</v>
      </c>
      <c r="B41" s="33">
        <f>IFERROR(__xludf.DUMMYFUNCTION("""COMPUTED_VALUE"""),0.094)</f>
        <v>0.094</v>
      </c>
      <c r="C41" s="33">
        <f>IFERROR(__xludf.DUMMYFUNCTION("""COMPUTED_VALUE"""),0.0934)</f>
        <v>0.0934</v>
      </c>
    </row>
    <row r="42">
      <c r="A42" s="9" t="str">
        <f>IFERROR(__xludf.DUMMYFUNCTION("""COMPUTED_VALUE"""),"UMA")</f>
        <v>UMA</v>
      </c>
      <c r="B42" s="33">
        <f>IFERROR(__xludf.DUMMYFUNCTION("""COMPUTED_VALUE"""),0.01)</f>
        <v>0.01</v>
      </c>
      <c r="C42" s="33">
        <f>IFERROR(__xludf.DUMMYFUNCTION("""COMPUTED_VALUE"""),0.0092)</f>
        <v>0.0092</v>
      </c>
    </row>
    <row r="43">
      <c r="A43" s="9" t="str">
        <f>IFERROR(__xludf.DUMMYFUNCTION("""COMPUTED_VALUE"""),"UNI")</f>
        <v>UNI</v>
      </c>
      <c r="B43" s="33">
        <f>IFERROR(__xludf.DUMMYFUNCTION("""COMPUTED_VALUE"""),0.0255)</f>
        <v>0.0255</v>
      </c>
      <c r="C43" s="33">
        <f>IFERROR(__xludf.DUMMYFUNCTION("""COMPUTED_VALUE"""),0.0229)</f>
        <v>0.0229</v>
      </c>
    </row>
    <row r="44">
      <c r="A44" s="9" t="str">
        <f>IFERROR(__xludf.DUMMYFUNCTION("""COMPUTED_VALUE"""),"USDC")</f>
        <v>USDC</v>
      </c>
      <c r="B44" s="33">
        <f>IFERROR(__xludf.DUMMYFUNCTION("""COMPUTED_VALUE"""),0.1239)</f>
        <v>0.1239</v>
      </c>
      <c r="C44" s="33">
        <f>IFERROR(__xludf.DUMMYFUNCTION("""COMPUTED_VALUE"""),0.1159)</f>
        <v>0.1159</v>
      </c>
    </row>
    <row r="45">
      <c r="A45" s="9" t="str">
        <f>IFERROR(__xludf.DUMMYFUNCTION("""COMPUTED_VALUE"""),"USDT ERC20")</f>
        <v>USDT ERC20</v>
      </c>
      <c r="B45" s="33">
        <f>IFERROR(__xludf.DUMMYFUNCTION("""COMPUTED_VALUE"""),0.1246)</f>
        <v>0.1246</v>
      </c>
      <c r="C45" s="33">
        <f>IFERROR(__xludf.DUMMYFUNCTION("""COMPUTED_VALUE"""),0.1246)</f>
        <v>0.1246</v>
      </c>
    </row>
    <row r="46">
      <c r="A46" s="9" t="str">
        <f>IFERROR(__xludf.DUMMYFUNCTION("""COMPUTED_VALUE"""),"WDGLD")</f>
        <v>WDGLD</v>
      </c>
      <c r="B46" s="33">
        <f>IFERROR(__xludf.DUMMYFUNCTION("""COMPUTED_VALUE"""),0.0837)</f>
        <v>0.0837</v>
      </c>
      <c r="C46" s="33">
        <f>IFERROR(__xludf.DUMMYFUNCTION("""COMPUTED_VALUE"""),0.0837)</f>
        <v>0.0837</v>
      </c>
    </row>
    <row r="47">
      <c r="A47" s="9" t="str">
        <f>IFERROR(__xludf.DUMMYFUNCTION("""COMPUTED_VALUE"""),"XAUT")</f>
        <v>XAUT</v>
      </c>
      <c r="B47" s="33">
        <f>IFERROR(__xludf.DUMMYFUNCTION("""COMPUTED_VALUE"""),0.055)</f>
        <v>0.055</v>
      </c>
      <c r="C47" s="33">
        <f>IFERROR(__xludf.DUMMYFUNCTION("""COMPUTED_VALUE"""),0.055)</f>
        <v>0.055</v>
      </c>
    </row>
    <row r="48">
      <c r="A48" s="9" t="str">
        <f>IFERROR(__xludf.DUMMYFUNCTION("""COMPUTED_VALUE"""),"XLM")</f>
        <v>XLM</v>
      </c>
      <c r="B48" s="33">
        <f>IFERROR(__xludf.DUMMYFUNCTION("""COMPUTED_VALUE"""),0.0116)</f>
        <v>0.0116</v>
      </c>
      <c r="C48" s="33">
        <f>IFERROR(__xludf.DUMMYFUNCTION("""COMPUTED_VALUE"""),0.0103)</f>
        <v>0.0103</v>
      </c>
    </row>
    <row r="49">
      <c r="A49" s="9" t="str">
        <f>IFERROR(__xludf.DUMMYFUNCTION("""COMPUTED_VALUE"""),"XRP")</f>
        <v>XRP</v>
      </c>
      <c r="B49" s="33">
        <f>IFERROR(__xludf.DUMMYFUNCTION("""COMPUTED_VALUE"""),0.0172)</f>
        <v>0.0172</v>
      </c>
      <c r="C49" s="33">
        <f>IFERROR(__xludf.DUMMYFUNCTION("""COMPUTED_VALUE"""),0.0133)</f>
        <v>0.0133</v>
      </c>
    </row>
    <row r="50">
      <c r="A50" s="9" t="str">
        <f>IFERROR(__xludf.DUMMYFUNCTION("""COMPUTED_VALUE"""),"ZEC")</f>
        <v>ZEC</v>
      </c>
      <c r="B50" s="33">
        <f>IFERROR(__xludf.DUMMYFUNCTION("""COMPUTED_VALUE"""),0.0205)</f>
        <v>0.0205</v>
      </c>
      <c r="C50" s="33">
        <f>IFERROR(__xludf.DUMMYFUNCTION("""COMPUTED_VALUE"""),0.0161)</f>
        <v>0.0161</v>
      </c>
    </row>
    <row r="51">
      <c r="A51" s="9" t="str">
        <f>IFERROR(__xludf.DUMMYFUNCTION("""COMPUTED_VALUE"""),"ZRX")</f>
        <v>ZRX</v>
      </c>
      <c r="B51" s="33">
        <f>IFERROR(__xludf.DUMMYFUNCTION("""COMPUTED_VALUE"""),0.0177)</f>
        <v>0.0177</v>
      </c>
      <c r="C51" s="33">
        <f>IFERROR(__xludf.DUMMYFUNCTION("""COMPUTED_VALUE"""),0.0169)</f>
        <v>0.0169</v>
      </c>
    </row>
    <row r="52">
      <c r="A52" s="9" t="str">
        <f>IFERROR(__xludf.DUMMYFUNCTION("""COMPUTED_VALUE"""),"ZUSD")</f>
        <v>ZUSD</v>
      </c>
      <c r="B52" s="33">
        <f>IFERROR(__xludf.DUMMYFUNCTION("""COMPUTED_VALUE"""),0.1252)</f>
        <v>0.1252</v>
      </c>
      <c r="C52" s="33">
        <f>IFERROR(__xludf.DUMMYFUNCTION("""COMPUTED_VALUE"""),0.1252)</f>
        <v>0.1252</v>
      </c>
    </row>
    <row r="53">
      <c r="A53" s="9" t="str">
        <f>IFERROR(__xludf.DUMMYFUNCTION("""COMPUTED_VALUE"""),"Stable (USD)")</f>
        <v>Stable (USD)</v>
      </c>
      <c r="B53" s="33">
        <f>IFERROR(__xludf.DUMMYFUNCTION("""COMPUTED_VALUE"""),0.1235)</f>
        <v>0.1235</v>
      </c>
      <c r="C53" s="33">
        <f>IFERROR(__xludf.DUMMYFUNCTION("""COMPUTED_VALUE"""),0.1197)</f>
        <v>0.1197</v>
      </c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0"/>
  </cols>
  <sheetData>
    <row r="1">
      <c r="A1" s="34" t="s">
        <v>0</v>
      </c>
      <c r="B1" s="34" t="s">
        <v>281</v>
      </c>
      <c r="C1" s="34" t="s">
        <v>282</v>
      </c>
      <c r="D1" s="34" t="s">
        <v>283</v>
      </c>
      <c r="E1" s="35">
        <v>44536.0</v>
      </c>
    </row>
    <row r="2">
      <c r="A2" s="34" t="s">
        <v>244</v>
      </c>
      <c r="B2" s="36">
        <v>903308.51</v>
      </c>
      <c r="C2" s="37">
        <v>66735.88515</v>
      </c>
      <c r="D2" s="38">
        <v>0.0739</v>
      </c>
    </row>
    <row r="3">
      <c r="A3" s="34" t="s">
        <v>247</v>
      </c>
      <c r="B3" s="36">
        <v>5.81924E8</v>
      </c>
      <c r="C3" s="37">
        <v>5.2837135E7</v>
      </c>
      <c r="D3" s="38">
        <v>0.0908</v>
      </c>
    </row>
    <row r="4">
      <c r="A4" s="34" t="s">
        <v>246</v>
      </c>
      <c r="B4" s="36">
        <v>6.1885E8</v>
      </c>
      <c r="C4" s="36">
        <v>5.778425E7</v>
      </c>
      <c r="D4" s="38">
        <v>0.0934</v>
      </c>
    </row>
    <row r="5">
      <c r="A5" s="34" t="s">
        <v>167</v>
      </c>
      <c r="B5" s="36">
        <v>7.0861559E7</v>
      </c>
      <c r="C5" s="37">
        <v>5185250.776</v>
      </c>
      <c r="D5" s="38">
        <v>0.0732</v>
      </c>
    </row>
    <row r="6">
      <c r="A6" s="34" t="s">
        <v>252</v>
      </c>
      <c r="B6" s="36">
        <v>1.913753573E8</v>
      </c>
      <c r="C6" s="37">
        <v>8847696.667</v>
      </c>
      <c r="D6" s="38">
        <v>0.0462</v>
      </c>
    </row>
    <row r="7">
      <c r="A7" s="34" t="s">
        <v>180</v>
      </c>
      <c r="B7" s="37">
        <v>51700.0</v>
      </c>
      <c r="C7" s="37">
        <v>1965.0</v>
      </c>
      <c r="D7" s="38">
        <v>0.038</v>
      </c>
    </row>
    <row r="8">
      <c r="A8" s="34" t="s">
        <v>210</v>
      </c>
      <c r="B8" s="37">
        <v>30000.0</v>
      </c>
      <c r="C8" s="37">
        <v>1665.0</v>
      </c>
      <c r="D8" s="38">
        <v>0.0555</v>
      </c>
    </row>
    <row r="9">
      <c r="A9" s="34" t="s">
        <v>181</v>
      </c>
      <c r="B9" s="37">
        <v>2557740.95</v>
      </c>
      <c r="C9" s="37">
        <v>183041.8665</v>
      </c>
      <c r="D9" s="38">
        <v>0.0716</v>
      </c>
    </row>
    <row r="10">
      <c r="A10" s="34" t="s">
        <v>176</v>
      </c>
      <c r="B10" s="37">
        <v>20408.0</v>
      </c>
      <c r="C10" s="37">
        <v>11224.4</v>
      </c>
      <c r="D10" s="38">
        <v>0.55</v>
      </c>
    </row>
    <row r="11">
      <c r="A11" s="34" t="s">
        <v>185</v>
      </c>
      <c r="B11" s="37">
        <v>28412.59</v>
      </c>
      <c r="C11" s="37">
        <v>838.7501</v>
      </c>
      <c r="D11" s="38">
        <v>0.0295</v>
      </c>
    </row>
    <row r="12">
      <c r="A12" s="34" t="s">
        <v>204</v>
      </c>
      <c r="B12" s="37">
        <v>330000.0</v>
      </c>
      <c r="C12" s="37">
        <v>22650.0</v>
      </c>
      <c r="D12" s="38">
        <v>0.0686</v>
      </c>
    </row>
    <row r="13">
      <c r="A13" s="34" t="s">
        <v>214</v>
      </c>
      <c r="B13" s="37">
        <v>9776815.56</v>
      </c>
      <c r="C13" s="37">
        <v>614817.535</v>
      </c>
      <c r="D13" s="38">
        <v>0.0629</v>
      </c>
    </row>
    <row r="14">
      <c r="A14" s="34" t="s">
        <v>251</v>
      </c>
      <c r="B14" s="37">
        <v>4.05E7</v>
      </c>
      <c r="C14" s="37">
        <v>1855000.0</v>
      </c>
      <c r="D14" s="38">
        <v>0.0458</v>
      </c>
    </row>
    <row r="15">
      <c r="A15" s="34" t="s">
        <v>166</v>
      </c>
      <c r="B15" s="37">
        <v>19620.65</v>
      </c>
      <c r="C15" s="37">
        <v>1293.056875</v>
      </c>
      <c r="D15" s="38">
        <v>0.0659</v>
      </c>
    </row>
    <row r="16">
      <c r="A16" s="34" t="s">
        <v>198</v>
      </c>
      <c r="B16" s="37">
        <v>142036.39</v>
      </c>
      <c r="C16" s="37">
        <v>5030.1168</v>
      </c>
      <c r="D16" s="38">
        <v>0.0354</v>
      </c>
    </row>
    <row r="17">
      <c r="A17" s="34" t="s">
        <v>217</v>
      </c>
      <c r="B17" s="37">
        <v>553082.66</v>
      </c>
      <c r="C17" s="37">
        <v>37521.08763</v>
      </c>
      <c r="D17" s="38">
        <v>0.0678</v>
      </c>
    </row>
    <row r="18">
      <c r="A18" s="34" t="s">
        <v>178</v>
      </c>
      <c r="B18" s="37">
        <v>3980000.0</v>
      </c>
      <c r="C18" s="37">
        <v>254600.0</v>
      </c>
      <c r="D18" s="38">
        <v>0.064</v>
      </c>
    </row>
    <row r="19">
      <c r="A19" s="34" t="s">
        <v>196</v>
      </c>
      <c r="B19" s="37">
        <v>3977123.9</v>
      </c>
      <c r="C19" s="37">
        <v>264178.7004</v>
      </c>
      <c r="D19" s="38">
        <v>0.0664</v>
      </c>
    </row>
    <row r="20">
      <c r="A20" s="34" t="s">
        <v>245</v>
      </c>
      <c r="B20" s="37">
        <v>1.7E7</v>
      </c>
      <c r="C20" s="37">
        <v>1674500.0</v>
      </c>
      <c r="D20" s="38">
        <v>0.0985</v>
      </c>
    </row>
    <row r="21">
      <c r="A21" s="34" t="s">
        <v>206</v>
      </c>
      <c r="B21" s="37">
        <v>485283.17</v>
      </c>
      <c r="C21" s="37">
        <v>26263.1636</v>
      </c>
      <c r="D21" s="38">
        <v>0.0541</v>
      </c>
    </row>
    <row r="22">
      <c r="A22" s="34" t="s">
        <v>209</v>
      </c>
      <c r="B22" s="37">
        <v>316628.72</v>
      </c>
      <c r="C22" s="37">
        <v>16069.00315</v>
      </c>
      <c r="D22" s="38">
        <v>0.0508</v>
      </c>
    </row>
    <row r="23">
      <c r="A23" s="34" t="s">
        <v>179</v>
      </c>
      <c r="B23" s="37">
        <v>54750.0</v>
      </c>
      <c r="C23" s="37">
        <v>2606.875</v>
      </c>
      <c r="D23" s="38">
        <v>0.0476</v>
      </c>
    </row>
    <row r="24">
      <c r="A24" s="34" t="s">
        <v>192</v>
      </c>
      <c r="B24" s="37">
        <v>14000.0</v>
      </c>
      <c r="C24" s="37">
        <v>595.0</v>
      </c>
      <c r="D24" s="38">
        <v>0.0425</v>
      </c>
    </row>
    <row r="25">
      <c r="A25" s="34" t="s">
        <v>194</v>
      </c>
      <c r="B25" s="37">
        <v>577277.78</v>
      </c>
      <c r="C25" s="37">
        <v>52172.2224</v>
      </c>
      <c r="D25" s="38">
        <v>0.0904</v>
      </c>
    </row>
    <row r="26">
      <c r="A26" s="34" t="s">
        <v>233</v>
      </c>
      <c r="B26" s="37">
        <v>290225.0</v>
      </c>
      <c r="C26" s="37">
        <v>41371.0</v>
      </c>
      <c r="D26" s="38">
        <v>0.1425</v>
      </c>
    </row>
    <row r="27">
      <c r="A27" s="34" t="s">
        <v>213</v>
      </c>
      <c r="B27" s="37">
        <v>0.0</v>
      </c>
      <c r="C27" s="37">
        <v>0.0</v>
      </c>
      <c r="D27" s="39" t="e">
        <v>#DIV/0!</v>
      </c>
    </row>
    <row r="28">
      <c r="A28" s="34" t="s">
        <v>255</v>
      </c>
      <c r="B28" s="37">
        <v>3500000.0</v>
      </c>
      <c r="C28" s="37">
        <v>195000.0</v>
      </c>
      <c r="D28" s="38">
        <v>0.0557</v>
      </c>
    </row>
    <row r="29">
      <c r="A29" s="34" t="s">
        <v>224</v>
      </c>
      <c r="B29" s="37">
        <v>803656.0</v>
      </c>
      <c r="C29" s="37">
        <v>75810.76</v>
      </c>
      <c r="D29" s="38">
        <v>0.0943</v>
      </c>
    </row>
    <row r="30">
      <c r="A30" s="34" t="s">
        <v>177</v>
      </c>
      <c r="B30" s="37">
        <v>11679.0</v>
      </c>
      <c r="C30" s="37">
        <v>1896.875</v>
      </c>
      <c r="D30" s="38">
        <v>0.1624</v>
      </c>
    </row>
    <row r="31">
      <c r="A31" s="34" t="s">
        <v>184</v>
      </c>
      <c r="B31" s="37">
        <v>0.0</v>
      </c>
      <c r="C31" s="37">
        <v>0.0</v>
      </c>
      <c r="D31" s="39" t="e">
        <v>#DIV/0!</v>
      </c>
    </row>
    <row r="32">
      <c r="A32" s="34" t="s">
        <v>202</v>
      </c>
      <c r="B32" s="37">
        <v>37267.25</v>
      </c>
      <c r="C32" s="37">
        <v>2002.53256</v>
      </c>
      <c r="D32" s="38">
        <v>0.0537</v>
      </c>
    </row>
    <row r="33">
      <c r="A33" s="34" t="s">
        <v>188</v>
      </c>
      <c r="B33" s="37">
        <v>6913.3</v>
      </c>
      <c r="C33" s="37">
        <v>538.0786</v>
      </c>
      <c r="D33" s="38">
        <v>0.0778</v>
      </c>
    </row>
    <row r="34">
      <c r="A34" s="34" t="s">
        <v>253</v>
      </c>
      <c r="B34" s="37">
        <v>50.86</v>
      </c>
      <c r="C34" s="37">
        <v>4.22775</v>
      </c>
      <c r="D34" s="38">
        <v>0.0831</v>
      </c>
    </row>
    <row r="35">
      <c r="A35" s="34" t="s">
        <v>284</v>
      </c>
      <c r="B35" s="37">
        <v>199.57</v>
      </c>
      <c r="C35" s="37">
        <v>1.9957</v>
      </c>
      <c r="D35" s="38">
        <v>0.01</v>
      </c>
    </row>
    <row r="36">
      <c r="A36" s="34" t="s">
        <v>243</v>
      </c>
      <c r="B36" s="37">
        <v>94795.65</v>
      </c>
      <c r="C36" s="37">
        <v>7080.978125</v>
      </c>
      <c r="D36" s="38">
        <v>0.0747</v>
      </c>
    </row>
    <row r="37">
      <c r="A37" s="34" t="s">
        <v>197</v>
      </c>
      <c r="B37" s="37">
        <v>55000.0</v>
      </c>
      <c r="C37" s="37">
        <v>2750.0</v>
      </c>
      <c r="D37" s="38">
        <v>0.05</v>
      </c>
    </row>
    <row r="38">
      <c r="A38" s="34" t="s">
        <v>242</v>
      </c>
      <c r="B38" s="37">
        <v>0.0</v>
      </c>
      <c r="C38" s="37">
        <v>0.0</v>
      </c>
      <c r="D38" s="39" t="e">
        <v>#DIV/0!</v>
      </c>
    </row>
    <row r="39">
      <c r="A39" s="34" t="s">
        <v>254</v>
      </c>
      <c r="B39" s="37">
        <v>24000.0</v>
      </c>
      <c r="C39" s="37">
        <v>835.5</v>
      </c>
      <c r="D39" s="38">
        <v>0.0348</v>
      </c>
    </row>
    <row r="40">
      <c r="A40" s="34" t="s">
        <v>236</v>
      </c>
      <c r="B40" s="37">
        <v>99482.76</v>
      </c>
      <c r="C40" s="37">
        <v>14653.4485</v>
      </c>
      <c r="D40" s="38">
        <v>0.1473</v>
      </c>
    </row>
    <row r="41">
      <c r="A41" s="34" t="s">
        <v>285</v>
      </c>
      <c r="B41" s="37">
        <v>0.0</v>
      </c>
      <c r="C41" s="37">
        <v>0.0</v>
      </c>
      <c r="D41" s="39" t="e">
        <v>#DIV/0!</v>
      </c>
    </row>
    <row r="42">
      <c r="A42" s="34" t="s">
        <v>151</v>
      </c>
      <c r="B42" s="37">
        <v>2000000.0</v>
      </c>
      <c r="C42" s="37">
        <v>0.0</v>
      </c>
      <c r="D42" s="38">
        <v>0.0</v>
      </c>
    </row>
    <row r="43">
      <c r="A43" s="34" t="s">
        <v>190</v>
      </c>
      <c r="B43" s="37">
        <v>946377.72</v>
      </c>
      <c r="C43" s="37">
        <v>119594.43</v>
      </c>
      <c r="D43" s="38">
        <v>0.1264</v>
      </c>
    </row>
    <row r="44">
      <c r="A44" s="34" t="s">
        <v>203</v>
      </c>
      <c r="B44" s="37">
        <v>2.5E7</v>
      </c>
      <c r="C44" s="37">
        <v>2500000.0</v>
      </c>
      <c r="D44" s="38">
        <v>0.1</v>
      </c>
    </row>
    <row r="45">
      <c r="A45" s="34" t="s">
        <v>221</v>
      </c>
      <c r="B45" s="37">
        <v>225.0</v>
      </c>
      <c r="C45" s="37">
        <v>10.125</v>
      </c>
      <c r="D45" s="38">
        <v>0.045</v>
      </c>
    </row>
    <row r="46">
      <c r="A46" s="40"/>
      <c r="B46" s="40"/>
      <c r="C46" s="40"/>
      <c r="D46" s="40"/>
    </row>
    <row r="47">
      <c r="A47" s="40"/>
      <c r="B47" s="40"/>
      <c r="C47" s="40"/>
      <c r="D47" s="40"/>
    </row>
    <row r="48">
      <c r="A48" s="40"/>
      <c r="B48" s="40"/>
      <c r="C48" s="40"/>
      <c r="D48" s="40"/>
    </row>
    <row r="49">
      <c r="A49" s="40"/>
      <c r="B49" s="40"/>
      <c r="C49" s="40"/>
      <c r="D49" s="40"/>
    </row>
    <row r="50">
      <c r="A50" s="40"/>
      <c r="B50" s="40"/>
      <c r="C50" s="40"/>
      <c r="D50" s="40"/>
    </row>
    <row r="51">
      <c r="A51" s="40"/>
      <c r="B51" s="40"/>
      <c r="C51" s="40"/>
      <c r="D51" s="40"/>
    </row>
    <row r="52">
      <c r="A52" s="40"/>
      <c r="B52" s="40"/>
      <c r="C52" s="40"/>
      <c r="D52" s="40"/>
    </row>
    <row r="53">
      <c r="A53" s="40"/>
      <c r="B53" s="40"/>
      <c r="C53" s="40"/>
      <c r="D53" s="40"/>
    </row>
    <row r="54">
      <c r="A54" s="40"/>
      <c r="B54" s="40"/>
      <c r="C54" s="40"/>
      <c r="D54" s="40"/>
    </row>
    <row r="55">
      <c r="A55" s="40"/>
      <c r="B55" s="40"/>
      <c r="C55" s="40"/>
      <c r="D55" s="40"/>
    </row>
    <row r="56">
      <c r="A56" s="40"/>
      <c r="B56" s="40"/>
      <c r="C56" s="40"/>
      <c r="D56" s="40"/>
    </row>
    <row r="57">
      <c r="A57" s="40"/>
      <c r="B57" s="40"/>
      <c r="C57" s="40"/>
      <c r="D57" s="4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6" width="14.13"/>
  </cols>
  <sheetData>
    <row r="1">
      <c r="A1" s="41" t="s">
        <v>286</v>
      </c>
      <c r="C1" s="42"/>
      <c r="D1" s="41" t="s">
        <v>287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>
      <c r="A2" s="43">
        <v>44267.0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>
      <c r="A3" s="44" t="s">
        <v>288</v>
      </c>
      <c r="B3" s="44" t="s">
        <v>289</v>
      </c>
      <c r="C3" s="42"/>
      <c r="D3" s="45" t="s">
        <v>290</v>
      </c>
      <c r="E3" s="45" t="s">
        <v>291</v>
      </c>
      <c r="F3" s="44" t="s">
        <v>289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>
      <c r="A4" s="46" t="s">
        <v>167</v>
      </c>
      <c r="B4" s="47">
        <v>0.0</v>
      </c>
      <c r="C4" s="48"/>
      <c r="D4" s="49" t="s">
        <v>204</v>
      </c>
      <c r="E4" s="50">
        <v>4.57E-6</v>
      </c>
      <c r="F4" s="51">
        <f t="shared" ref="F4:F223" si="1">E4*24*365</f>
        <v>0.0400332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>
      <c r="A5" s="46" t="s">
        <v>292</v>
      </c>
      <c r="B5" s="47">
        <v>0.0409</v>
      </c>
      <c r="C5" s="48"/>
      <c r="D5" s="49" t="s">
        <v>233</v>
      </c>
      <c r="E5" s="52">
        <v>6.28E-6</v>
      </c>
      <c r="F5" s="51">
        <f t="shared" si="1"/>
        <v>0.0550128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r="6">
      <c r="A6" s="46" t="s">
        <v>293</v>
      </c>
      <c r="B6" s="47">
        <v>0.0</v>
      </c>
      <c r="C6" s="48"/>
      <c r="D6" s="49" t="s">
        <v>181</v>
      </c>
      <c r="E6" s="50">
        <v>1.0E-6</v>
      </c>
      <c r="F6" s="51">
        <f t="shared" si="1"/>
        <v>0.00876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>
      <c r="A7" s="46" t="s">
        <v>184</v>
      </c>
      <c r="B7" s="47">
        <v>0.0402</v>
      </c>
      <c r="C7" s="48"/>
      <c r="D7" s="49" t="s">
        <v>250</v>
      </c>
      <c r="E7" s="50">
        <v>1.0E-6</v>
      </c>
      <c r="F7" s="51">
        <f t="shared" si="1"/>
        <v>0.00876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</row>
    <row r="8">
      <c r="A8" s="46" t="s">
        <v>185</v>
      </c>
      <c r="B8" s="47">
        <v>0.0</v>
      </c>
      <c r="C8" s="48"/>
      <c r="D8" s="49" t="s">
        <v>179</v>
      </c>
      <c r="E8" s="50">
        <v>1.0E-6</v>
      </c>
      <c r="F8" s="51">
        <f t="shared" si="1"/>
        <v>0.00876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>
      <c r="A9" s="46" t="s">
        <v>186</v>
      </c>
      <c r="B9" s="47">
        <v>0.0693</v>
      </c>
      <c r="C9" s="48"/>
      <c r="D9" s="49" t="s">
        <v>284</v>
      </c>
      <c r="E9" s="50">
        <v>1.0E-6</v>
      </c>
      <c r="F9" s="51">
        <f t="shared" si="1"/>
        <v>0.00876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</row>
    <row r="10">
      <c r="A10" s="46" t="s">
        <v>192</v>
      </c>
      <c r="B10" s="47">
        <v>0.0635</v>
      </c>
      <c r="C10" s="48"/>
      <c r="D10" s="49" t="s">
        <v>253</v>
      </c>
      <c r="E10" s="50">
        <v>1.37E-5</v>
      </c>
      <c r="F10" s="51">
        <f t="shared" si="1"/>
        <v>0.120012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</row>
    <row r="11">
      <c r="A11" s="46" t="s">
        <v>196</v>
      </c>
      <c r="B11" s="47">
        <v>0.0628</v>
      </c>
      <c r="C11" s="48"/>
      <c r="D11" s="49" t="s">
        <v>185</v>
      </c>
      <c r="E11" s="50">
        <v>1.71E-6</v>
      </c>
      <c r="F11" s="51">
        <f t="shared" si="1"/>
        <v>0.0149796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r="12">
      <c r="A12" s="46" t="s">
        <v>197</v>
      </c>
      <c r="B12" s="47">
        <v>0.0</v>
      </c>
      <c r="C12" s="48"/>
      <c r="D12" s="49" t="s">
        <v>198</v>
      </c>
      <c r="E12" s="50">
        <v>1.37E-6</v>
      </c>
      <c r="F12" s="51">
        <f t="shared" si="1"/>
        <v>0.0120012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</row>
    <row r="13">
      <c r="A13" s="46" t="s">
        <v>198</v>
      </c>
      <c r="B13" s="47">
        <v>0.1266</v>
      </c>
      <c r="C13" s="48"/>
      <c r="D13" s="49" t="s">
        <v>204</v>
      </c>
      <c r="E13" s="50">
        <v>6.0E-6</v>
      </c>
      <c r="F13" s="51">
        <f t="shared" si="1"/>
        <v>0.05256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</row>
    <row r="14">
      <c r="A14" s="46" t="s">
        <v>294</v>
      </c>
      <c r="B14" s="47">
        <v>0.0</v>
      </c>
      <c r="C14" s="48"/>
      <c r="D14" s="49" t="s">
        <v>233</v>
      </c>
      <c r="E14" s="50">
        <v>6.28E-6</v>
      </c>
      <c r="F14" s="51">
        <f t="shared" si="1"/>
        <v>0.0550128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</row>
    <row r="15">
      <c r="A15" s="46" t="s">
        <v>206</v>
      </c>
      <c r="B15" s="47">
        <v>0.0555</v>
      </c>
      <c r="C15" s="48"/>
      <c r="D15" s="49" t="s">
        <v>181</v>
      </c>
      <c r="E15" s="50">
        <v>1.0E-6</v>
      </c>
      <c r="F15" s="51">
        <f t="shared" si="1"/>
        <v>0.00876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>
      <c r="A16" s="46" t="s">
        <v>209</v>
      </c>
      <c r="B16" s="47">
        <v>0.0</v>
      </c>
      <c r="C16" s="48"/>
      <c r="D16" s="49" t="s">
        <v>250</v>
      </c>
      <c r="E16" s="52">
        <v>1.0E-6</v>
      </c>
      <c r="F16" s="51">
        <f t="shared" si="1"/>
        <v>0.00876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>
      <c r="A17" s="46" t="s">
        <v>210</v>
      </c>
      <c r="B17" s="47">
        <v>0.1017</v>
      </c>
      <c r="C17" s="48"/>
      <c r="D17" s="49" t="s">
        <v>179</v>
      </c>
      <c r="E17" s="50">
        <v>1.0E-6</v>
      </c>
      <c r="F17" s="51">
        <f t="shared" si="1"/>
        <v>0.00876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>
      <c r="A18" s="46" t="s">
        <v>217</v>
      </c>
      <c r="B18" s="47">
        <v>0.3394</v>
      </c>
      <c r="C18" s="48"/>
      <c r="D18" s="49" t="s">
        <v>284</v>
      </c>
      <c r="E18" s="50">
        <v>1.0E-6</v>
      </c>
      <c r="F18" s="51">
        <f t="shared" si="1"/>
        <v>0.00876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>
      <c r="A19" s="46" t="s">
        <v>244</v>
      </c>
      <c r="B19" s="47">
        <v>0.0406</v>
      </c>
      <c r="C19" s="48"/>
      <c r="D19" s="49" t="s">
        <v>253</v>
      </c>
      <c r="E19" s="50">
        <v>1.37E-5</v>
      </c>
      <c r="F19" s="51">
        <f t="shared" si="1"/>
        <v>0.120012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</row>
    <row r="20">
      <c r="A20" s="46" t="s">
        <v>245</v>
      </c>
      <c r="B20" s="47">
        <v>0.0659</v>
      </c>
      <c r="C20" s="48"/>
      <c r="D20" s="49" t="s">
        <v>198</v>
      </c>
      <c r="E20" s="50">
        <v>1.37E-6</v>
      </c>
      <c r="F20" s="51">
        <f t="shared" si="1"/>
        <v>0.0120012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r="21">
      <c r="A21" s="53" t="s">
        <v>247</v>
      </c>
      <c r="B21" s="47">
        <v>0.2455</v>
      </c>
      <c r="C21" s="53" t="s">
        <v>247</v>
      </c>
      <c r="D21" s="49" t="s">
        <v>204</v>
      </c>
      <c r="E21" s="50">
        <v>4.57E-6</v>
      </c>
      <c r="F21" s="51">
        <f t="shared" si="1"/>
        <v>0.0400332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r="22">
      <c r="A22" s="46" t="s">
        <v>251</v>
      </c>
      <c r="B22" s="47">
        <v>0.0508</v>
      </c>
      <c r="C22" s="48"/>
      <c r="D22" s="49" t="s">
        <v>233</v>
      </c>
      <c r="E22" s="50">
        <v>6.28E-6</v>
      </c>
      <c r="F22" s="51">
        <f t="shared" si="1"/>
        <v>0.0550128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</row>
    <row r="23">
      <c r="A23" s="46" t="s">
        <v>252</v>
      </c>
      <c r="B23" s="47">
        <v>0.0066</v>
      </c>
      <c r="C23" s="48"/>
      <c r="D23" s="49" t="s">
        <v>181</v>
      </c>
      <c r="E23" s="50">
        <v>1.0E-6</v>
      </c>
      <c r="F23" s="51">
        <f t="shared" si="1"/>
        <v>0.00876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</row>
    <row r="24">
      <c r="A24" s="46" t="s">
        <v>253</v>
      </c>
      <c r="B24" s="47">
        <v>0.226</v>
      </c>
      <c r="C24" s="48"/>
      <c r="D24" s="49" t="s">
        <v>250</v>
      </c>
      <c r="E24" s="50">
        <v>1.0E-6</v>
      </c>
      <c r="F24" s="51">
        <f t="shared" si="1"/>
        <v>0.00876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r="25">
      <c r="A25" s="46" t="s">
        <v>254</v>
      </c>
      <c r="B25" s="47">
        <v>0.0</v>
      </c>
      <c r="C25" s="48"/>
      <c r="D25" s="49" t="s">
        <v>179</v>
      </c>
      <c r="E25" s="50">
        <v>1.0E-6</v>
      </c>
      <c r="F25" s="51">
        <f t="shared" si="1"/>
        <v>0.00876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>
      <c r="A26" s="46" t="s">
        <v>255</v>
      </c>
      <c r="B26" s="47">
        <v>0.0486</v>
      </c>
      <c r="C26" s="48"/>
      <c r="D26" s="49" t="s">
        <v>284</v>
      </c>
      <c r="E26" s="50">
        <v>1.0E-6</v>
      </c>
      <c r="F26" s="51">
        <f t="shared" si="1"/>
        <v>0.00876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>
      <c r="A27" s="42"/>
      <c r="B27" s="42"/>
      <c r="C27" s="42"/>
      <c r="D27" s="49" t="s">
        <v>253</v>
      </c>
      <c r="E27" s="50">
        <v>1.37E-5</v>
      </c>
      <c r="F27" s="51">
        <f t="shared" si="1"/>
        <v>0.120012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</row>
    <row r="28">
      <c r="A28" s="42"/>
      <c r="B28" s="42"/>
      <c r="C28" s="42"/>
      <c r="D28" s="49" t="s">
        <v>198</v>
      </c>
      <c r="E28" s="50">
        <v>1.37E-6</v>
      </c>
      <c r="F28" s="51">
        <f t="shared" si="1"/>
        <v>0.0120012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r="29">
      <c r="A29" s="42"/>
      <c r="B29" s="42"/>
      <c r="C29" s="42"/>
      <c r="D29" s="49" t="s">
        <v>204</v>
      </c>
      <c r="E29" s="52">
        <v>4.57E-6</v>
      </c>
      <c r="F29" s="51">
        <f t="shared" si="1"/>
        <v>0.0400332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>
      <c r="A30" s="42"/>
      <c r="B30" s="42"/>
      <c r="C30" s="42"/>
      <c r="D30" s="49" t="s">
        <v>233</v>
      </c>
      <c r="E30" s="50">
        <v>6.28E-6</v>
      </c>
      <c r="F30" s="51">
        <f t="shared" si="1"/>
        <v>0.0550128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</row>
    <row r="31">
      <c r="A31" s="42"/>
      <c r="B31" s="42"/>
      <c r="C31" s="42"/>
      <c r="D31" s="49" t="s">
        <v>181</v>
      </c>
      <c r="E31" s="50">
        <v>1.0E-6</v>
      </c>
      <c r="F31" s="51">
        <f t="shared" si="1"/>
        <v>0.00876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>
      <c r="A32" s="42"/>
      <c r="B32" s="42"/>
      <c r="C32" s="42"/>
      <c r="D32" s="49" t="s">
        <v>250</v>
      </c>
      <c r="E32" s="50">
        <v>1.0E-6</v>
      </c>
      <c r="F32" s="51">
        <f t="shared" si="1"/>
        <v>0.00876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>
      <c r="A33" s="42"/>
      <c r="B33" s="42"/>
      <c r="C33" s="42"/>
      <c r="D33" s="49" t="s">
        <v>179</v>
      </c>
      <c r="E33" s="50">
        <v>1.0E-6</v>
      </c>
      <c r="F33" s="51">
        <f t="shared" si="1"/>
        <v>0.00876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>
      <c r="A34" s="42"/>
      <c r="B34" s="42"/>
      <c r="C34" s="42"/>
      <c r="D34" s="49" t="s">
        <v>284</v>
      </c>
      <c r="E34" s="50">
        <v>1.0E-6</v>
      </c>
      <c r="F34" s="51">
        <f t="shared" si="1"/>
        <v>0.00876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>
      <c r="A35" s="42"/>
      <c r="B35" s="42"/>
      <c r="C35" s="42"/>
      <c r="D35" s="49" t="s">
        <v>253</v>
      </c>
      <c r="E35" s="50">
        <v>1.37E-5</v>
      </c>
      <c r="F35" s="51">
        <f t="shared" si="1"/>
        <v>0.120012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>
      <c r="A36" s="42"/>
      <c r="B36" s="42"/>
      <c r="C36" s="42"/>
      <c r="D36" s="49" t="s">
        <v>198</v>
      </c>
      <c r="E36" s="50">
        <v>1.37E-6</v>
      </c>
      <c r="F36" s="51">
        <f t="shared" si="1"/>
        <v>0.0120012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>
      <c r="A37" s="42"/>
      <c r="B37" s="42"/>
      <c r="C37" s="42"/>
      <c r="D37" s="49" t="s">
        <v>204</v>
      </c>
      <c r="E37" s="50">
        <v>4.57E-6</v>
      </c>
      <c r="F37" s="51">
        <f t="shared" si="1"/>
        <v>0.0400332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>
      <c r="A38" s="42"/>
      <c r="B38" s="42"/>
      <c r="C38" s="42"/>
      <c r="D38" s="49" t="s">
        <v>233</v>
      </c>
      <c r="E38" s="50">
        <v>6.28E-6</v>
      </c>
      <c r="F38" s="51">
        <f t="shared" si="1"/>
        <v>0.0550128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>
      <c r="A39" s="42"/>
      <c r="B39" s="42"/>
      <c r="C39" s="42"/>
      <c r="D39" s="49" t="s">
        <v>181</v>
      </c>
      <c r="E39" s="50">
        <v>1.0E-6</v>
      </c>
      <c r="F39" s="51">
        <f t="shared" si="1"/>
        <v>0.00876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>
      <c r="A40" s="42"/>
      <c r="B40" s="42"/>
      <c r="C40" s="42"/>
      <c r="D40" s="49" t="s">
        <v>250</v>
      </c>
      <c r="E40" s="52">
        <v>1.0E-6</v>
      </c>
      <c r="F40" s="51">
        <f t="shared" si="1"/>
        <v>0.00876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>
      <c r="A41" s="42"/>
      <c r="B41" s="42"/>
      <c r="C41" s="42"/>
      <c r="D41" s="49" t="s">
        <v>179</v>
      </c>
      <c r="E41" s="50">
        <v>1.0E-6</v>
      </c>
      <c r="F41" s="51">
        <f t="shared" si="1"/>
        <v>0.00876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>
      <c r="A42" s="42"/>
      <c r="B42" s="42"/>
      <c r="C42" s="42"/>
      <c r="D42" s="49" t="s">
        <v>284</v>
      </c>
      <c r="E42" s="50">
        <v>1.0E-6</v>
      </c>
      <c r="F42" s="51">
        <f t="shared" si="1"/>
        <v>0.00876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>
      <c r="A43" s="42"/>
      <c r="B43" s="42"/>
      <c r="C43" s="42"/>
      <c r="D43" s="49" t="s">
        <v>253</v>
      </c>
      <c r="E43" s="50">
        <v>1.37E-5</v>
      </c>
      <c r="F43" s="51">
        <f t="shared" si="1"/>
        <v>0.120012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>
      <c r="A44" s="42"/>
      <c r="B44" s="42"/>
      <c r="C44" s="42"/>
      <c r="D44" s="49" t="s">
        <v>198</v>
      </c>
      <c r="E44" s="50">
        <v>1.37E-6</v>
      </c>
      <c r="F44" s="51">
        <f t="shared" si="1"/>
        <v>0.0120012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>
      <c r="A45" s="42"/>
      <c r="B45" s="42"/>
      <c r="C45" s="42"/>
      <c r="D45" s="49" t="s">
        <v>204</v>
      </c>
      <c r="E45" s="50">
        <v>4.57E-6</v>
      </c>
      <c r="F45" s="51">
        <f t="shared" si="1"/>
        <v>0.0400332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>
      <c r="A46" s="42"/>
      <c r="B46" s="42"/>
      <c r="C46" s="42"/>
      <c r="D46" s="49" t="s">
        <v>233</v>
      </c>
      <c r="E46" s="50">
        <v>6.28E-6</v>
      </c>
      <c r="F46" s="51">
        <f t="shared" si="1"/>
        <v>0.0550128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>
      <c r="A47" s="42"/>
      <c r="B47" s="42"/>
      <c r="C47" s="42"/>
      <c r="D47" s="49" t="s">
        <v>181</v>
      </c>
      <c r="E47" s="50">
        <v>1.0E-6</v>
      </c>
      <c r="F47" s="51">
        <f t="shared" si="1"/>
        <v>0.00876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>
      <c r="A48" s="42"/>
      <c r="B48" s="42"/>
      <c r="C48" s="42"/>
      <c r="D48" s="49" t="s">
        <v>250</v>
      </c>
      <c r="E48" s="50">
        <v>1.0E-6</v>
      </c>
      <c r="F48" s="51">
        <f t="shared" si="1"/>
        <v>0.00876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>
      <c r="A49" s="42"/>
      <c r="B49" s="42"/>
      <c r="C49" s="42"/>
      <c r="D49" s="49" t="s">
        <v>179</v>
      </c>
      <c r="E49" s="50">
        <v>1.0E-6</v>
      </c>
      <c r="F49" s="51">
        <f t="shared" si="1"/>
        <v>0.00876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>
      <c r="A50" s="42"/>
      <c r="B50" s="42"/>
      <c r="C50" s="42"/>
      <c r="D50" s="49" t="s">
        <v>284</v>
      </c>
      <c r="E50" s="50">
        <v>1.0E-6</v>
      </c>
      <c r="F50" s="51">
        <f t="shared" si="1"/>
        <v>0.00876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>
      <c r="A51" s="42"/>
      <c r="B51" s="42"/>
      <c r="C51" s="42"/>
      <c r="D51" s="49" t="s">
        <v>253</v>
      </c>
      <c r="E51" s="50">
        <v>1.37E-5</v>
      </c>
      <c r="F51" s="51">
        <f t="shared" si="1"/>
        <v>0.120012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>
      <c r="A52" s="42"/>
      <c r="B52" s="42"/>
      <c r="C52" s="42"/>
      <c r="D52" s="49" t="s">
        <v>198</v>
      </c>
      <c r="E52" s="52">
        <v>1.37E-6</v>
      </c>
      <c r="F52" s="51">
        <f t="shared" si="1"/>
        <v>0.0120012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>
      <c r="A53" s="42"/>
      <c r="B53" s="42"/>
      <c r="C53" s="42"/>
      <c r="D53" s="49" t="s">
        <v>204</v>
      </c>
      <c r="E53" s="50">
        <v>4.57E-6</v>
      </c>
      <c r="F53" s="51">
        <f t="shared" si="1"/>
        <v>0.0400332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>
      <c r="A54" s="42"/>
      <c r="B54" s="42"/>
      <c r="C54" s="42"/>
      <c r="D54" s="49" t="s">
        <v>233</v>
      </c>
      <c r="E54" s="50">
        <v>6.28E-6</v>
      </c>
      <c r="F54" s="51">
        <f t="shared" si="1"/>
        <v>0.0550128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>
      <c r="A55" s="42"/>
      <c r="B55" s="42"/>
      <c r="C55" s="42"/>
      <c r="D55" s="49" t="s">
        <v>181</v>
      </c>
      <c r="E55" s="50">
        <v>1.0E-6</v>
      </c>
      <c r="F55" s="51">
        <f t="shared" si="1"/>
        <v>0.00876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>
      <c r="A56" s="42"/>
      <c r="B56" s="42"/>
      <c r="C56" s="42"/>
      <c r="D56" s="49" t="s">
        <v>250</v>
      </c>
      <c r="E56" s="50">
        <v>1.0E-6</v>
      </c>
      <c r="F56" s="51">
        <f t="shared" si="1"/>
        <v>0.00876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>
      <c r="A57" s="42"/>
      <c r="B57" s="42"/>
      <c r="C57" s="42"/>
      <c r="D57" s="49" t="s">
        <v>179</v>
      </c>
      <c r="E57" s="50">
        <v>1.0E-6</v>
      </c>
      <c r="F57" s="51">
        <f t="shared" si="1"/>
        <v>0.00876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>
      <c r="A58" s="42"/>
      <c r="B58" s="42"/>
      <c r="C58" s="42"/>
      <c r="D58" s="49" t="s">
        <v>284</v>
      </c>
      <c r="E58" s="50">
        <v>1.0E-6</v>
      </c>
      <c r="F58" s="51">
        <f t="shared" si="1"/>
        <v>0.00876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>
      <c r="A59" s="42"/>
      <c r="B59" s="42"/>
      <c r="C59" s="42"/>
      <c r="D59" s="49" t="s">
        <v>253</v>
      </c>
      <c r="E59" s="50">
        <v>1.37E-5</v>
      </c>
      <c r="F59" s="51">
        <f t="shared" si="1"/>
        <v>0.120012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>
      <c r="A60" s="42"/>
      <c r="B60" s="42"/>
      <c r="C60" s="42"/>
      <c r="D60" s="49" t="s">
        <v>198</v>
      </c>
      <c r="E60" s="50">
        <v>1.37E-6</v>
      </c>
      <c r="F60" s="51">
        <f t="shared" si="1"/>
        <v>0.0120012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>
      <c r="A61" s="42"/>
      <c r="B61" s="42"/>
      <c r="C61" s="42"/>
      <c r="D61" s="49" t="s">
        <v>204</v>
      </c>
      <c r="E61" s="50">
        <v>4.57E-6</v>
      </c>
      <c r="F61" s="51">
        <f t="shared" si="1"/>
        <v>0.0400332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>
      <c r="A62" s="42"/>
      <c r="B62" s="42"/>
      <c r="C62" s="42"/>
      <c r="D62" s="49" t="s">
        <v>233</v>
      </c>
      <c r="E62" s="50">
        <v>6.28E-6</v>
      </c>
      <c r="F62" s="51">
        <f t="shared" si="1"/>
        <v>0.0550128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>
      <c r="A63" s="42"/>
      <c r="B63" s="42"/>
      <c r="C63" s="42"/>
      <c r="D63" s="49" t="s">
        <v>181</v>
      </c>
      <c r="E63" s="50">
        <v>1.0E-6</v>
      </c>
      <c r="F63" s="51">
        <f t="shared" si="1"/>
        <v>0.00876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>
      <c r="A64" s="42"/>
      <c r="B64" s="42"/>
      <c r="C64" s="42"/>
      <c r="D64" s="49" t="s">
        <v>250</v>
      </c>
      <c r="E64" s="52">
        <v>1.0E-6</v>
      </c>
      <c r="F64" s="51">
        <f t="shared" si="1"/>
        <v>0.00876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>
      <c r="A65" s="42"/>
      <c r="B65" s="42"/>
      <c r="C65" s="42"/>
      <c r="D65" s="49" t="s">
        <v>179</v>
      </c>
      <c r="E65" s="50">
        <v>1.0E-6</v>
      </c>
      <c r="F65" s="51">
        <f t="shared" si="1"/>
        <v>0.00876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>
      <c r="A66" s="42"/>
      <c r="B66" s="42"/>
      <c r="C66" s="42"/>
      <c r="D66" s="49" t="s">
        <v>284</v>
      </c>
      <c r="E66" s="50">
        <v>1.0E-6</v>
      </c>
      <c r="F66" s="51">
        <f t="shared" si="1"/>
        <v>0.00876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>
      <c r="A67" s="42"/>
      <c r="B67" s="42"/>
      <c r="C67" s="42"/>
      <c r="D67" s="49" t="s">
        <v>253</v>
      </c>
      <c r="E67" s="50">
        <v>1.37E-5</v>
      </c>
      <c r="F67" s="51">
        <f t="shared" si="1"/>
        <v>0.120012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>
      <c r="A68" s="42"/>
      <c r="B68" s="42"/>
      <c r="C68" s="42"/>
      <c r="D68" s="49" t="s">
        <v>198</v>
      </c>
      <c r="E68" s="50">
        <v>1.37E-6</v>
      </c>
      <c r="F68" s="51">
        <f t="shared" si="1"/>
        <v>0.0120012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>
      <c r="A69" s="42"/>
      <c r="B69" s="42"/>
      <c r="C69" s="42"/>
      <c r="D69" s="49" t="s">
        <v>204</v>
      </c>
      <c r="E69" s="50">
        <v>4.57E-6</v>
      </c>
      <c r="F69" s="51">
        <f t="shared" si="1"/>
        <v>0.0400332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>
      <c r="A70" s="42"/>
      <c r="B70" s="42"/>
      <c r="C70" s="42"/>
      <c r="D70" s="49" t="s">
        <v>233</v>
      </c>
      <c r="E70" s="50">
        <v>6.28E-6</v>
      </c>
      <c r="F70" s="51">
        <f t="shared" si="1"/>
        <v>0.0550128</v>
      </c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>
      <c r="A71" s="42"/>
      <c r="B71" s="42"/>
      <c r="C71" s="42"/>
      <c r="D71" s="49" t="s">
        <v>181</v>
      </c>
      <c r="E71" s="50">
        <v>1.0E-6</v>
      </c>
      <c r="F71" s="51">
        <f t="shared" si="1"/>
        <v>0.00876</v>
      </c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>
      <c r="A72" s="42"/>
      <c r="B72" s="42"/>
      <c r="C72" s="42"/>
      <c r="D72" s="49" t="s">
        <v>250</v>
      </c>
      <c r="E72" s="50">
        <v>1.0E-6</v>
      </c>
      <c r="F72" s="51">
        <f t="shared" si="1"/>
        <v>0.00876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>
      <c r="A73" s="42"/>
      <c r="B73" s="42"/>
      <c r="C73" s="42"/>
      <c r="D73" s="49" t="s">
        <v>179</v>
      </c>
      <c r="E73" s="50">
        <v>1.0E-6</v>
      </c>
      <c r="F73" s="51">
        <f t="shared" si="1"/>
        <v>0.00876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>
      <c r="A74" s="42"/>
      <c r="B74" s="42"/>
      <c r="C74" s="42"/>
      <c r="D74" s="49" t="s">
        <v>284</v>
      </c>
      <c r="E74" s="50">
        <v>1.0E-6</v>
      </c>
      <c r="F74" s="51">
        <f t="shared" si="1"/>
        <v>0.00876</v>
      </c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>
      <c r="A75" s="42"/>
      <c r="B75" s="42"/>
      <c r="C75" s="42"/>
      <c r="D75" s="49" t="s">
        <v>253</v>
      </c>
      <c r="E75" s="50">
        <v>1.37E-5</v>
      </c>
      <c r="F75" s="51">
        <f t="shared" si="1"/>
        <v>0.120012</v>
      </c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>
      <c r="A76" s="42"/>
      <c r="B76" s="42"/>
      <c r="C76" s="42"/>
      <c r="D76" s="49" t="s">
        <v>198</v>
      </c>
      <c r="E76" s="52">
        <v>1.37E-6</v>
      </c>
      <c r="F76" s="51">
        <f t="shared" si="1"/>
        <v>0.0120012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>
      <c r="A77" s="42"/>
      <c r="B77" s="42"/>
      <c r="C77" s="42"/>
      <c r="D77" s="49" t="s">
        <v>204</v>
      </c>
      <c r="E77" s="50">
        <v>4.57E-6</v>
      </c>
      <c r="F77" s="51">
        <f t="shared" si="1"/>
        <v>0.0400332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>
      <c r="A78" s="42"/>
      <c r="B78" s="42"/>
      <c r="C78" s="42"/>
      <c r="D78" s="49" t="s">
        <v>233</v>
      </c>
      <c r="E78" s="50">
        <v>6.28E-6</v>
      </c>
      <c r="F78" s="51">
        <f t="shared" si="1"/>
        <v>0.0550128</v>
      </c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>
      <c r="A79" s="42"/>
      <c r="B79" s="42"/>
      <c r="C79" s="42"/>
      <c r="D79" s="49" t="s">
        <v>181</v>
      </c>
      <c r="E79" s="50">
        <v>1.0E-6</v>
      </c>
      <c r="F79" s="51">
        <f t="shared" si="1"/>
        <v>0.00876</v>
      </c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>
      <c r="A80" s="42"/>
      <c r="B80" s="42"/>
      <c r="C80" s="42"/>
      <c r="D80" s="49" t="s">
        <v>250</v>
      </c>
      <c r="E80" s="50">
        <v>1.0E-6</v>
      </c>
      <c r="F80" s="51">
        <f t="shared" si="1"/>
        <v>0.00876</v>
      </c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>
      <c r="A81" s="42"/>
      <c r="B81" s="42"/>
      <c r="C81" s="42"/>
      <c r="D81" s="49" t="s">
        <v>179</v>
      </c>
      <c r="E81" s="50">
        <v>1.0E-6</v>
      </c>
      <c r="F81" s="51">
        <f t="shared" si="1"/>
        <v>0.00876</v>
      </c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>
      <c r="A82" s="42"/>
      <c r="B82" s="42"/>
      <c r="C82" s="42"/>
      <c r="D82" s="49" t="s">
        <v>284</v>
      </c>
      <c r="E82" s="50">
        <v>1.0E-6</v>
      </c>
      <c r="F82" s="51">
        <f t="shared" si="1"/>
        <v>0.00876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>
      <c r="A83" s="42"/>
      <c r="B83" s="42"/>
      <c r="C83" s="42"/>
      <c r="D83" s="49" t="s">
        <v>253</v>
      </c>
      <c r="E83" s="50">
        <v>1.37E-5</v>
      </c>
      <c r="F83" s="51">
        <f t="shared" si="1"/>
        <v>0.120012</v>
      </c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>
      <c r="A84" s="42"/>
      <c r="B84" s="42"/>
      <c r="C84" s="42"/>
      <c r="D84" s="49" t="s">
        <v>198</v>
      </c>
      <c r="E84" s="50">
        <v>1.37E-6</v>
      </c>
      <c r="F84" s="51">
        <f t="shared" si="1"/>
        <v>0.0120012</v>
      </c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>
      <c r="A85" s="42"/>
      <c r="B85" s="42"/>
      <c r="C85" s="42"/>
      <c r="D85" s="49" t="s">
        <v>204</v>
      </c>
      <c r="E85" s="50">
        <v>4.57E-6</v>
      </c>
      <c r="F85" s="51">
        <f t="shared" si="1"/>
        <v>0.0400332</v>
      </c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>
      <c r="A86" s="42"/>
      <c r="B86" s="42"/>
      <c r="C86" s="42"/>
      <c r="D86" s="49" t="s">
        <v>233</v>
      </c>
      <c r="E86" s="50">
        <v>6.28E-6</v>
      </c>
      <c r="F86" s="51">
        <f t="shared" si="1"/>
        <v>0.0550128</v>
      </c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>
      <c r="A87" s="42"/>
      <c r="B87" s="42"/>
      <c r="C87" s="42"/>
      <c r="D87" s="49" t="s">
        <v>181</v>
      </c>
      <c r="E87" s="50">
        <v>1.0E-6</v>
      </c>
      <c r="F87" s="51">
        <f t="shared" si="1"/>
        <v>0.00876</v>
      </c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>
      <c r="A88" s="42"/>
      <c r="B88" s="42"/>
      <c r="C88" s="42"/>
      <c r="D88" s="49" t="s">
        <v>250</v>
      </c>
      <c r="E88" s="52">
        <v>1.0E-6</v>
      </c>
      <c r="F88" s="51">
        <f t="shared" si="1"/>
        <v>0.00876</v>
      </c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>
      <c r="A89" s="42"/>
      <c r="B89" s="42"/>
      <c r="C89" s="42"/>
      <c r="D89" s="49" t="s">
        <v>179</v>
      </c>
      <c r="E89" s="50">
        <v>1.712E-5</v>
      </c>
      <c r="F89" s="51">
        <f t="shared" si="1"/>
        <v>0.1499712</v>
      </c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>
      <c r="A90" s="42"/>
      <c r="B90" s="42"/>
      <c r="C90" s="42"/>
      <c r="D90" s="49" t="s">
        <v>284</v>
      </c>
      <c r="E90" s="50">
        <v>1.0E-6</v>
      </c>
      <c r="F90" s="51">
        <f t="shared" si="1"/>
        <v>0.00876</v>
      </c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>
      <c r="A91" s="42"/>
      <c r="B91" s="42"/>
      <c r="C91" s="42"/>
      <c r="D91" s="49" t="s">
        <v>253</v>
      </c>
      <c r="E91" s="50">
        <v>1.37E-5</v>
      </c>
      <c r="F91" s="51">
        <f t="shared" si="1"/>
        <v>0.120012</v>
      </c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>
      <c r="A92" s="42"/>
      <c r="B92" s="42"/>
      <c r="C92" s="42"/>
      <c r="D92" s="49" t="s">
        <v>198</v>
      </c>
      <c r="E92" s="50">
        <v>1.37E-6</v>
      </c>
      <c r="F92" s="51">
        <f t="shared" si="1"/>
        <v>0.0120012</v>
      </c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>
      <c r="A93" s="42"/>
      <c r="B93" s="42"/>
      <c r="C93" s="42"/>
      <c r="D93" s="49" t="s">
        <v>204</v>
      </c>
      <c r="E93" s="50">
        <v>4.57E-6</v>
      </c>
      <c r="F93" s="51">
        <f t="shared" si="1"/>
        <v>0.0400332</v>
      </c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>
      <c r="A94" s="42"/>
      <c r="B94" s="42"/>
      <c r="C94" s="42"/>
      <c r="D94" s="49" t="s">
        <v>233</v>
      </c>
      <c r="E94" s="50">
        <v>6.28E-6</v>
      </c>
      <c r="F94" s="51">
        <f t="shared" si="1"/>
        <v>0.0550128</v>
      </c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>
      <c r="A95" s="42"/>
      <c r="B95" s="42"/>
      <c r="C95" s="42"/>
      <c r="D95" s="49" t="s">
        <v>181</v>
      </c>
      <c r="E95" s="50">
        <v>1.0E-6</v>
      </c>
      <c r="F95" s="51">
        <f t="shared" si="1"/>
        <v>0.00876</v>
      </c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>
      <c r="A96" s="42"/>
      <c r="B96" s="42"/>
      <c r="C96" s="42"/>
      <c r="D96" s="49" t="s">
        <v>250</v>
      </c>
      <c r="E96" s="50">
        <v>1.0E-6</v>
      </c>
      <c r="F96" s="51">
        <f t="shared" si="1"/>
        <v>0.00876</v>
      </c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>
      <c r="A97" s="42"/>
      <c r="B97" s="42"/>
      <c r="C97" s="42"/>
      <c r="D97" s="49" t="s">
        <v>179</v>
      </c>
      <c r="E97" s="50">
        <v>1.712E-5</v>
      </c>
      <c r="F97" s="51">
        <f t="shared" si="1"/>
        <v>0.1499712</v>
      </c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>
      <c r="A98" s="42"/>
      <c r="B98" s="42"/>
      <c r="C98" s="42"/>
      <c r="D98" s="49" t="s">
        <v>284</v>
      </c>
      <c r="E98" s="50">
        <v>1.0E-6</v>
      </c>
      <c r="F98" s="51">
        <f t="shared" si="1"/>
        <v>0.00876</v>
      </c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>
      <c r="A99" s="42"/>
      <c r="B99" s="42"/>
      <c r="C99" s="42"/>
      <c r="D99" s="49" t="s">
        <v>253</v>
      </c>
      <c r="E99" s="50">
        <v>1.37E-5</v>
      </c>
      <c r="F99" s="51">
        <f t="shared" si="1"/>
        <v>0.120012</v>
      </c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>
      <c r="A100" s="42"/>
      <c r="B100" s="42"/>
      <c r="C100" s="42"/>
      <c r="D100" s="49" t="s">
        <v>198</v>
      </c>
      <c r="E100" s="52">
        <v>1.37E-6</v>
      </c>
      <c r="F100" s="51">
        <f t="shared" si="1"/>
        <v>0.0120012</v>
      </c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>
      <c r="A101" s="42"/>
      <c r="B101" s="42"/>
      <c r="C101" s="42"/>
      <c r="D101" s="49" t="s">
        <v>204</v>
      </c>
      <c r="E101" s="50">
        <v>4.57E-6</v>
      </c>
      <c r="F101" s="51">
        <f t="shared" si="1"/>
        <v>0.0400332</v>
      </c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>
      <c r="A102" s="42"/>
      <c r="B102" s="42"/>
      <c r="C102" s="42"/>
      <c r="D102" s="49" t="s">
        <v>233</v>
      </c>
      <c r="E102" s="50">
        <v>6.28E-6</v>
      </c>
      <c r="F102" s="51">
        <f t="shared" si="1"/>
        <v>0.0550128</v>
      </c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>
      <c r="A103" s="42"/>
      <c r="B103" s="42"/>
      <c r="C103" s="42"/>
      <c r="D103" s="49" t="s">
        <v>181</v>
      </c>
      <c r="E103" s="50">
        <v>1.0E-6</v>
      </c>
      <c r="F103" s="51">
        <f t="shared" si="1"/>
        <v>0.00876</v>
      </c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>
      <c r="A104" s="42"/>
      <c r="B104" s="42"/>
      <c r="C104" s="42"/>
      <c r="D104" s="49" t="s">
        <v>250</v>
      </c>
      <c r="E104" s="50">
        <v>1.0E-6</v>
      </c>
      <c r="F104" s="51">
        <f t="shared" si="1"/>
        <v>0.00876</v>
      </c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>
      <c r="A105" s="42"/>
      <c r="B105" s="42"/>
      <c r="C105" s="42"/>
      <c r="D105" s="49" t="s">
        <v>179</v>
      </c>
      <c r="E105" s="50">
        <v>5.0E-6</v>
      </c>
      <c r="F105" s="51">
        <f t="shared" si="1"/>
        <v>0.0438</v>
      </c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>
      <c r="A106" s="42"/>
      <c r="B106" s="42"/>
      <c r="C106" s="42"/>
      <c r="D106" s="49" t="s">
        <v>284</v>
      </c>
      <c r="E106" s="50">
        <v>1.0E-6</v>
      </c>
      <c r="F106" s="51">
        <f t="shared" si="1"/>
        <v>0.00876</v>
      </c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>
      <c r="A107" s="42"/>
      <c r="B107" s="42"/>
      <c r="C107" s="42"/>
      <c r="D107" s="49" t="s">
        <v>253</v>
      </c>
      <c r="E107" s="50">
        <v>1.37E-5</v>
      </c>
      <c r="F107" s="51">
        <f t="shared" si="1"/>
        <v>0.120012</v>
      </c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>
      <c r="A108" s="42"/>
      <c r="B108" s="42"/>
      <c r="C108" s="42"/>
      <c r="D108" s="49" t="s">
        <v>198</v>
      </c>
      <c r="E108" s="50">
        <v>1.37E-6</v>
      </c>
      <c r="F108" s="51">
        <f t="shared" si="1"/>
        <v>0.0120012</v>
      </c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>
      <c r="A109" s="42"/>
      <c r="B109" s="42"/>
      <c r="C109" s="42"/>
      <c r="D109" s="49" t="s">
        <v>204</v>
      </c>
      <c r="E109" s="50">
        <v>4.57E-6</v>
      </c>
      <c r="F109" s="51">
        <f t="shared" si="1"/>
        <v>0.0400332</v>
      </c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>
      <c r="A110" s="42"/>
      <c r="B110" s="42"/>
      <c r="C110" s="42"/>
      <c r="D110" s="49" t="s">
        <v>233</v>
      </c>
      <c r="E110" s="50">
        <v>6.28E-6</v>
      </c>
      <c r="F110" s="51">
        <f t="shared" si="1"/>
        <v>0.0550128</v>
      </c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>
      <c r="A111" s="42"/>
      <c r="B111" s="42"/>
      <c r="C111" s="42"/>
      <c r="D111" s="49" t="s">
        <v>181</v>
      </c>
      <c r="E111" s="50">
        <v>1.0E-6</v>
      </c>
      <c r="F111" s="51">
        <f t="shared" si="1"/>
        <v>0.00876</v>
      </c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>
      <c r="A112" s="42"/>
      <c r="B112" s="42"/>
      <c r="C112" s="42"/>
      <c r="D112" s="49" t="s">
        <v>250</v>
      </c>
      <c r="E112" s="50">
        <v>1.0E-6</v>
      </c>
      <c r="F112" s="51">
        <f t="shared" si="1"/>
        <v>0.00876</v>
      </c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>
      <c r="A113" s="42"/>
      <c r="B113" s="42"/>
      <c r="C113" s="42"/>
      <c r="D113" s="49" t="s">
        <v>179</v>
      </c>
      <c r="E113" s="50">
        <v>1.0E-6</v>
      </c>
      <c r="F113" s="51">
        <f t="shared" si="1"/>
        <v>0.00876</v>
      </c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>
      <c r="A114" s="42"/>
      <c r="B114" s="42"/>
      <c r="C114" s="42"/>
      <c r="D114" s="49" t="s">
        <v>284</v>
      </c>
      <c r="E114" s="50">
        <v>1.0E-6</v>
      </c>
      <c r="F114" s="51">
        <f t="shared" si="1"/>
        <v>0.00876</v>
      </c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>
      <c r="A115" s="42"/>
      <c r="B115" s="42"/>
      <c r="C115" s="42"/>
      <c r="D115" s="49" t="s">
        <v>253</v>
      </c>
      <c r="E115" s="50">
        <v>1.37E-5</v>
      </c>
      <c r="F115" s="51">
        <f t="shared" si="1"/>
        <v>0.120012</v>
      </c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>
      <c r="A116" s="42"/>
      <c r="B116" s="42"/>
      <c r="C116" s="42"/>
      <c r="D116" s="49" t="s">
        <v>198</v>
      </c>
      <c r="E116" s="50">
        <v>1.37E-6</v>
      </c>
      <c r="F116" s="51">
        <f t="shared" si="1"/>
        <v>0.0120012</v>
      </c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>
      <c r="A117" s="42"/>
      <c r="B117" s="42"/>
      <c r="C117" s="42"/>
      <c r="D117" s="49" t="s">
        <v>204</v>
      </c>
      <c r="E117" s="50">
        <v>4.57E-6</v>
      </c>
      <c r="F117" s="51">
        <f t="shared" si="1"/>
        <v>0.0400332</v>
      </c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>
      <c r="A118" s="42"/>
      <c r="B118" s="42"/>
      <c r="C118" s="42"/>
      <c r="D118" s="49" t="s">
        <v>233</v>
      </c>
      <c r="E118" s="50">
        <v>6.28E-6</v>
      </c>
      <c r="F118" s="51">
        <f t="shared" si="1"/>
        <v>0.0550128</v>
      </c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>
      <c r="A119" s="42"/>
      <c r="B119" s="42"/>
      <c r="C119" s="42"/>
      <c r="D119" s="49" t="s">
        <v>181</v>
      </c>
      <c r="E119" s="50">
        <v>1.0E-6</v>
      </c>
      <c r="F119" s="51">
        <f t="shared" si="1"/>
        <v>0.00876</v>
      </c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>
      <c r="A120" s="42"/>
      <c r="B120" s="42"/>
      <c r="C120" s="42"/>
      <c r="D120" s="49" t="s">
        <v>250</v>
      </c>
      <c r="E120" s="50">
        <v>1.0E-6</v>
      </c>
      <c r="F120" s="51">
        <f t="shared" si="1"/>
        <v>0.00876</v>
      </c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>
      <c r="A121" s="42"/>
      <c r="B121" s="42"/>
      <c r="C121" s="42"/>
      <c r="D121" s="49" t="s">
        <v>179</v>
      </c>
      <c r="E121" s="50">
        <v>1.0E-6</v>
      </c>
      <c r="F121" s="51">
        <f t="shared" si="1"/>
        <v>0.00876</v>
      </c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>
      <c r="A122" s="42"/>
      <c r="B122" s="42"/>
      <c r="C122" s="42"/>
      <c r="D122" s="49" t="s">
        <v>284</v>
      </c>
      <c r="E122" s="50">
        <v>1.0E-6</v>
      </c>
      <c r="F122" s="51">
        <f t="shared" si="1"/>
        <v>0.00876</v>
      </c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>
      <c r="A123" s="42"/>
      <c r="B123" s="42"/>
      <c r="C123" s="42"/>
      <c r="D123" s="49" t="s">
        <v>253</v>
      </c>
      <c r="E123" s="50">
        <v>1.37E-5</v>
      </c>
      <c r="F123" s="51">
        <f t="shared" si="1"/>
        <v>0.120012</v>
      </c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>
      <c r="A124" s="42"/>
      <c r="B124" s="42"/>
      <c r="C124" s="42"/>
      <c r="D124" s="49" t="s">
        <v>198</v>
      </c>
      <c r="E124" s="50">
        <v>1.37E-6</v>
      </c>
      <c r="F124" s="51">
        <f t="shared" si="1"/>
        <v>0.0120012</v>
      </c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>
      <c r="A125" s="42"/>
      <c r="B125" s="42"/>
      <c r="C125" s="42"/>
      <c r="D125" s="49" t="s">
        <v>204</v>
      </c>
      <c r="E125" s="50">
        <v>4.57E-6</v>
      </c>
      <c r="F125" s="51">
        <f t="shared" si="1"/>
        <v>0.0400332</v>
      </c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>
      <c r="A126" s="42"/>
      <c r="B126" s="42"/>
      <c r="C126" s="42"/>
      <c r="D126" s="49" t="s">
        <v>233</v>
      </c>
      <c r="E126" s="50">
        <v>6.28E-6</v>
      </c>
      <c r="F126" s="51">
        <f t="shared" si="1"/>
        <v>0.0550128</v>
      </c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>
      <c r="A127" s="42"/>
      <c r="B127" s="42"/>
      <c r="C127" s="42"/>
      <c r="D127" s="49" t="s">
        <v>181</v>
      </c>
      <c r="E127" s="50">
        <v>1.0E-6</v>
      </c>
      <c r="F127" s="51">
        <f t="shared" si="1"/>
        <v>0.00876</v>
      </c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>
      <c r="A128" s="42"/>
      <c r="B128" s="42"/>
      <c r="C128" s="42"/>
      <c r="D128" s="49" t="s">
        <v>250</v>
      </c>
      <c r="E128" s="50">
        <v>1.0E-6</v>
      </c>
      <c r="F128" s="51">
        <f t="shared" si="1"/>
        <v>0.00876</v>
      </c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>
      <c r="A129" s="42"/>
      <c r="B129" s="42"/>
      <c r="C129" s="42"/>
      <c r="D129" s="49" t="s">
        <v>179</v>
      </c>
      <c r="E129" s="50">
        <v>3.0E-6</v>
      </c>
      <c r="F129" s="51">
        <f t="shared" si="1"/>
        <v>0.02628</v>
      </c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>
      <c r="A130" s="42"/>
      <c r="B130" s="42"/>
      <c r="C130" s="42"/>
      <c r="D130" s="49" t="s">
        <v>284</v>
      </c>
      <c r="E130" s="50">
        <v>1.0E-6</v>
      </c>
      <c r="F130" s="51">
        <f t="shared" si="1"/>
        <v>0.00876</v>
      </c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>
      <c r="A131" s="42"/>
      <c r="B131" s="42"/>
      <c r="C131" s="42"/>
      <c r="D131" s="49" t="s">
        <v>253</v>
      </c>
      <c r="E131" s="50">
        <v>1.37E-5</v>
      </c>
      <c r="F131" s="51">
        <f t="shared" si="1"/>
        <v>0.120012</v>
      </c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>
      <c r="A132" s="42"/>
      <c r="B132" s="42"/>
      <c r="C132" s="42"/>
      <c r="D132" s="49" t="s">
        <v>198</v>
      </c>
      <c r="E132" s="50">
        <v>1.37E-6</v>
      </c>
      <c r="F132" s="51">
        <f t="shared" si="1"/>
        <v>0.0120012</v>
      </c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>
      <c r="A133" s="42"/>
      <c r="B133" s="42"/>
      <c r="C133" s="42"/>
      <c r="D133" s="49" t="s">
        <v>204</v>
      </c>
      <c r="E133" s="50">
        <v>4.57E-6</v>
      </c>
      <c r="F133" s="51">
        <f t="shared" si="1"/>
        <v>0.0400332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>
      <c r="A134" s="42"/>
      <c r="B134" s="42"/>
      <c r="C134" s="42"/>
      <c r="D134" s="49" t="s">
        <v>233</v>
      </c>
      <c r="E134" s="50">
        <v>6.28E-6</v>
      </c>
      <c r="F134" s="51">
        <f t="shared" si="1"/>
        <v>0.0550128</v>
      </c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>
      <c r="A135" s="42"/>
      <c r="B135" s="42"/>
      <c r="C135" s="42"/>
      <c r="D135" s="49" t="s">
        <v>181</v>
      </c>
      <c r="E135" s="50">
        <v>1.0E-6</v>
      </c>
      <c r="F135" s="51">
        <f t="shared" si="1"/>
        <v>0.00876</v>
      </c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>
      <c r="A136" s="42"/>
      <c r="B136" s="42"/>
      <c r="C136" s="42"/>
      <c r="D136" s="49" t="s">
        <v>250</v>
      </c>
      <c r="E136" s="50">
        <v>1.0E-6</v>
      </c>
      <c r="F136" s="51">
        <f t="shared" si="1"/>
        <v>0.00876</v>
      </c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>
      <c r="A137" s="42"/>
      <c r="B137" s="42"/>
      <c r="C137" s="42"/>
      <c r="D137" s="49" t="s">
        <v>179</v>
      </c>
      <c r="E137" s="50">
        <v>1.0E-6</v>
      </c>
      <c r="F137" s="51">
        <f t="shared" si="1"/>
        <v>0.00876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>
      <c r="A138" s="42"/>
      <c r="B138" s="42"/>
      <c r="C138" s="42"/>
      <c r="D138" s="49" t="s">
        <v>284</v>
      </c>
      <c r="E138" s="50">
        <v>1.0E-6</v>
      </c>
      <c r="F138" s="51">
        <f t="shared" si="1"/>
        <v>0.00876</v>
      </c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>
      <c r="A139" s="42"/>
      <c r="B139" s="42"/>
      <c r="C139" s="42"/>
      <c r="D139" s="49" t="s">
        <v>253</v>
      </c>
      <c r="E139" s="50">
        <v>1.37E-5</v>
      </c>
      <c r="F139" s="51">
        <f t="shared" si="1"/>
        <v>0.120012</v>
      </c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>
      <c r="A140" s="42"/>
      <c r="B140" s="42"/>
      <c r="C140" s="42"/>
      <c r="D140" s="49" t="s">
        <v>198</v>
      </c>
      <c r="E140" s="50">
        <v>1.37E-6</v>
      </c>
      <c r="F140" s="51">
        <f t="shared" si="1"/>
        <v>0.0120012</v>
      </c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>
      <c r="A141" s="42"/>
      <c r="B141" s="42"/>
      <c r="C141" s="42"/>
      <c r="D141" s="49" t="s">
        <v>204</v>
      </c>
      <c r="E141" s="50">
        <v>4.57E-6</v>
      </c>
      <c r="F141" s="51">
        <f t="shared" si="1"/>
        <v>0.0400332</v>
      </c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>
      <c r="A142" s="42"/>
      <c r="B142" s="42"/>
      <c r="C142" s="42"/>
      <c r="D142" s="49" t="s">
        <v>233</v>
      </c>
      <c r="E142" s="50">
        <v>6.28E-6</v>
      </c>
      <c r="F142" s="51">
        <f t="shared" si="1"/>
        <v>0.0550128</v>
      </c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>
      <c r="A143" s="42"/>
      <c r="B143" s="42"/>
      <c r="C143" s="42"/>
      <c r="D143" s="49" t="s">
        <v>181</v>
      </c>
      <c r="E143" s="50">
        <v>1.0E-6</v>
      </c>
      <c r="F143" s="51">
        <f t="shared" si="1"/>
        <v>0.00876</v>
      </c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>
      <c r="A144" s="42"/>
      <c r="B144" s="42"/>
      <c r="C144" s="42"/>
      <c r="D144" s="49" t="s">
        <v>250</v>
      </c>
      <c r="E144" s="50">
        <v>1.0E-6</v>
      </c>
      <c r="F144" s="51">
        <f t="shared" si="1"/>
        <v>0.00876</v>
      </c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>
      <c r="A145" s="42"/>
      <c r="B145" s="42"/>
      <c r="C145" s="42"/>
      <c r="D145" s="49" t="s">
        <v>179</v>
      </c>
      <c r="E145" s="50">
        <v>1.0E-6</v>
      </c>
      <c r="F145" s="51">
        <f t="shared" si="1"/>
        <v>0.00876</v>
      </c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>
      <c r="A146" s="42"/>
      <c r="B146" s="42"/>
      <c r="C146" s="42"/>
      <c r="D146" s="49" t="s">
        <v>284</v>
      </c>
      <c r="E146" s="50">
        <v>1.0E-6</v>
      </c>
      <c r="F146" s="51">
        <f t="shared" si="1"/>
        <v>0.00876</v>
      </c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>
      <c r="A147" s="42"/>
      <c r="B147" s="42"/>
      <c r="C147" s="42"/>
      <c r="D147" s="49" t="s">
        <v>253</v>
      </c>
      <c r="E147" s="50">
        <v>1.37E-5</v>
      </c>
      <c r="F147" s="51">
        <f t="shared" si="1"/>
        <v>0.120012</v>
      </c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>
      <c r="A148" s="42"/>
      <c r="B148" s="42"/>
      <c r="C148" s="42"/>
      <c r="D148" s="49" t="s">
        <v>198</v>
      </c>
      <c r="E148" s="50">
        <v>1.37E-6</v>
      </c>
      <c r="F148" s="51">
        <f t="shared" si="1"/>
        <v>0.0120012</v>
      </c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>
      <c r="A149" s="42"/>
      <c r="B149" s="42"/>
      <c r="C149" s="42"/>
      <c r="D149" s="49" t="s">
        <v>204</v>
      </c>
      <c r="E149" s="50">
        <v>4.57E-6</v>
      </c>
      <c r="F149" s="51">
        <f t="shared" si="1"/>
        <v>0.0400332</v>
      </c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>
      <c r="A150" s="42"/>
      <c r="B150" s="42"/>
      <c r="C150" s="42"/>
      <c r="D150" s="49" t="s">
        <v>233</v>
      </c>
      <c r="E150" s="50">
        <v>6.28E-6</v>
      </c>
      <c r="F150" s="51">
        <f t="shared" si="1"/>
        <v>0.0550128</v>
      </c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>
      <c r="A151" s="42"/>
      <c r="B151" s="42"/>
      <c r="C151" s="42"/>
      <c r="D151" s="49" t="s">
        <v>181</v>
      </c>
      <c r="E151" s="52">
        <v>1.0E-6</v>
      </c>
      <c r="F151" s="51">
        <f t="shared" si="1"/>
        <v>0.00876</v>
      </c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>
      <c r="A152" s="42"/>
      <c r="B152" s="42"/>
      <c r="C152" s="42"/>
      <c r="D152" s="49" t="s">
        <v>250</v>
      </c>
      <c r="E152" s="52">
        <v>1.0E-6</v>
      </c>
      <c r="F152" s="51">
        <f t="shared" si="1"/>
        <v>0.00876</v>
      </c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>
      <c r="A153" s="42"/>
      <c r="B153" s="42"/>
      <c r="C153" s="42"/>
      <c r="D153" s="49" t="s">
        <v>179</v>
      </c>
      <c r="E153" s="52">
        <v>4.57E-6</v>
      </c>
      <c r="F153" s="51">
        <f t="shared" si="1"/>
        <v>0.0400332</v>
      </c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>
      <c r="A154" s="42"/>
      <c r="B154" s="42"/>
      <c r="C154" s="42"/>
      <c r="D154" s="49" t="s">
        <v>284</v>
      </c>
      <c r="E154" s="52">
        <v>1.0E-6</v>
      </c>
      <c r="F154" s="51">
        <f t="shared" si="1"/>
        <v>0.00876</v>
      </c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>
      <c r="A155" s="42"/>
      <c r="B155" s="42"/>
      <c r="C155" s="42"/>
      <c r="D155" s="49" t="s">
        <v>253</v>
      </c>
      <c r="E155" s="52">
        <v>1.37E-5</v>
      </c>
      <c r="F155" s="51">
        <f t="shared" si="1"/>
        <v>0.120012</v>
      </c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>
      <c r="A156" s="42"/>
      <c r="B156" s="42"/>
      <c r="C156" s="42"/>
      <c r="D156" s="49" t="s">
        <v>198</v>
      </c>
      <c r="E156" s="52">
        <v>2.28E-6</v>
      </c>
      <c r="F156" s="51">
        <f t="shared" si="1"/>
        <v>0.0199728</v>
      </c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>
      <c r="A157" s="42"/>
      <c r="B157" s="42"/>
      <c r="C157" s="42"/>
      <c r="D157" s="49" t="s">
        <v>204</v>
      </c>
      <c r="E157" s="52">
        <v>4.57E-6</v>
      </c>
      <c r="F157" s="51">
        <f t="shared" si="1"/>
        <v>0.0400332</v>
      </c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>
      <c r="A158" s="42"/>
      <c r="B158" s="42"/>
      <c r="C158" s="42"/>
      <c r="D158" s="49" t="s">
        <v>233</v>
      </c>
      <c r="E158" s="52">
        <v>6.28E-6</v>
      </c>
      <c r="F158" s="51">
        <f t="shared" si="1"/>
        <v>0.0550128</v>
      </c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>
      <c r="A159" s="42"/>
      <c r="B159" s="42"/>
      <c r="C159" s="42"/>
      <c r="D159" s="49" t="s">
        <v>181</v>
      </c>
      <c r="E159" s="52">
        <v>1.0E-6</v>
      </c>
      <c r="F159" s="51">
        <f t="shared" si="1"/>
        <v>0.00876</v>
      </c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>
      <c r="A160" s="42"/>
      <c r="B160" s="42"/>
      <c r="C160" s="42"/>
      <c r="D160" s="49" t="s">
        <v>250</v>
      </c>
      <c r="E160" s="52">
        <v>1.0E-6</v>
      </c>
      <c r="F160" s="51">
        <f t="shared" si="1"/>
        <v>0.00876</v>
      </c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>
      <c r="A161" s="42"/>
      <c r="B161" s="42"/>
      <c r="C161" s="42"/>
      <c r="D161" s="49" t="s">
        <v>179</v>
      </c>
      <c r="E161" s="52">
        <v>4.57E-6</v>
      </c>
      <c r="F161" s="51">
        <f t="shared" si="1"/>
        <v>0.0400332</v>
      </c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>
      <c r="A162" s="42"/>
      <c r="B162" s="42"/>
      <c r="C162" s="42"/>
      <c r="D162" s="49" t="s">
        <v>284</v>
      </c>
      <c r="E162" s="52">
        <v>1.0E-6</v>
      </c>
      <c r="F162" s="51">
        <f t="shared" si="1"/>
        <v>0.00876</v>
      </c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>
      <c r="A163" s="42"/>
      <c r="B163" s="42"/>
      <c r="C163" s="42"/>
      <c r="D163" s="49" t="s">
        <v>253</v>
      </c>
      <c r="E163" s="52">
        <v>1.37E-5</v>
      </c>
      <c r="F163" s="51">
        <f t="shared" si="1"/>
        <v>0.120012</v>
      </c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>
      <c r="A164" s="42"/>
      <c r="B164" s="42"/>
      <c r="C164" s="42"/>
      <c r="D164" s="49" t="s">
        <v>198</v>
      </c>
      <c r="E164" s="52">
        <v>2.28E-6</v>
      </c>
      <c r="F164" s="51">
        <f t="shared" si="1"/>
        <v>0.0199728</v>
      </c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>
      <c r="A165" s="42"/>
      <c r="B165" s="42"/>
      <c r="C165" s="42"/>
      <c r="D165" s="49" t="s">
        <v>204</v>
      </c>
      <c r="E165" s="52">
        <v>4.57E-6</v>
      </c>
      <c r="F165" s="51">
        <f t="shared" si="1"/>
        <v>0.0400332</v>
      </c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>
      <c r="A166" s="42"/>
      <c r="B166" s="42"/>
      <c r="C166" s="42"/>
      <c r="D166" s="49" t="s">
        <v>233</v>
      </c>
      <c r="E166" s="52">
        <v>6.28E-6</v>
      </c>
      <c r="F166" s="51">
        <f t="shared" si="1"/>
        <v>0.0550128</v>
      </c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>
      <c r="A167" s="42"/>
      <c r="B167" s="42"/>
      <c r="C167" s="42"/>
      <c r="D167" s="49" t="s">
        <v>181</v>
      </c>
      <c r="E167" s="52">
        <v>1.0E-6</v>
      </c>
      <c r="F167" s="51">
        <f t="shared" si="1"/>
        <v>0.00876</v>
      </c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>
      <c r="A168" s="42"/>
      <c r="B168" s="42"/>
      <c r="C168" s="42"/>
      <c r="D168" s="49" t="s">
        <v>250</v>
      </c>
      <c r="E168" s="52">
        <v>1.0E-6</v>
      </c>
      <c r="F168" s="51">
        <f t="shared" si="1"/>
        <v>0.00876</v>
      </c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>
      <c r="A169" s="42"/>
      <c r="B169" s="42"/>
      <c r="C169" s="42"/>
      <c r="D169" s="49" t="s">
        <v>179</v>
      </c>
      <c r="E169" s="52">
        <v>4.57E-6</v>
      </c>
      <c r="F169" s="51">
        <f t="shared" si="1"/>
        <v>0.0400332</v>
      </c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>
      <c r="A170" s="42"/>
      <c r="B170" s="42"/>
      <c r="C170" s="42"/>
      <c r="D170" s="49" t="s">
        <v>284</v>
      </c>
      <c r="E170" s="52">
        <v>1.0E-6</v>
      </c>
      <c r="F170" s="51">
        <f t="shared" si="1"/>
        <v>0.00876</v>
      </c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>
      <c r="A171" s="42"/>
      <c r="B171" s="42"/>
      <c r="C171" s="42"/>
      <c r="D171" s="49" t="s">
        <v>253</v>
      </c>
      <c r="E171" s="52">
        <v>1.37E-5</v>
      </c>
      <c r="F171" s="51">
        <f t="shared" si="1"/>
        <v>0.120012</v>
      </c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>
      <c r="A172" s="42"/>
      <c r="B172" s="42"/>
      <c r="C172" s="42"/>
      <c r="D172" s="49" t="s">
        <v>198</v>
      </c>
      <c r="E172" s="52">
        <v>2.28E-6</v>
      </c>
      <c r="F172" s="51">
        <f t="shared" si="1"/>
        <v>0.0199728</v>
      </c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>
      <c r="A173" s="42"/>
      <c r="B173" s="42"/>
      <c r="C173" s="42"/>
      <c r="D173" s="49" t="s">
        <v>204</v>
      </c>
      <c r="E173" s="52">
        <v>4.57E-6</v>
      </c>
      <c r="F173" s="51">
        <f t="shared" si="1"/>
        <v>0.0400332</v>
      </c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>
      <c r="A174" s="42"/>
      <c r="B174" s="42"/>
      <c r="C174" s="42"/>
      <c r="D174" s="49" t="s">
        <v>233</v>
      </c>
      <c r="E174" s="52">
        <v>6.28E-6</v>
      </c>
      <c r="F174" s="51">
        <f t="shared" si="1"/>
        <v>0.0550128</v>
      </c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>
      <c r="A175" s="42"/>
      <c r="B175" s="42"/>
      <c r="C175" s="42"/>
      <c r="D175" s="49" t="s">
        <v>181</v>
      </c>
      <c r="E175" s="52">
        <v>1.0E-6</v>
      </c>
      <c r="F175" s="51">
        <f t="shared" si="1"/>
        <v>0.00876</v>
      </c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>
      <c r="A176" s="42"/>
      <c r="B176" s="42"/>
      <c r="C176" s="42"/>
      <c r="D176" s="49" t="s">
        <v>250</v>
      </c>
      <c r="E176" s="52">
        <v>1.0E-6</v>
      </c>
      <c r="F176" s="51">
        <f t="shared" si="1"/>
        <v>0.00876</v>
      </c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>
      <c r="A177" s="42"/>
      <c r="B177" s="42"/>
      <c r="C177" s="42"/>
      <c r="D177" s="49" t="s">
        <v>179</v>
      </c>
      <c r="E177" s="52">
        <v>4.57E-6</v>
      </c>
      <c r="F177" s="51">
        <f t="shared" si="1"/>
        <v>0.0400332</v>
      </c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>
      <c r="A178" s="42"/>
      <c r="B178" s="42"/>
      <c r="C178" s="42"/>
      <c r="D178" s="49" t="s">
        <v>284</v>
      </c>
      <c r="E178" s="52">
        <v>1.0E-6</v>
      </c>
      <c r="F178" s="51">
        <f t="shared" si="1"/>
        <v>0.00876</v>
      </c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>
      <c r="A179" s="42"/>
      <c r="B179" s="42"/>
      <c r="C179" s="42"/>
      <c r="D179" s="49" t="s">
        <v>253</v>
      </c>
      <c r="E179" s="52">
        <v>1.37E-5</v>
      </c>
      <c r="F179" s="51">
        <f t="shared" si="1"/>
        <v>0.120012</v>
      </c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>
      <c r="A180" s="42"/>
      <c r="B180" s="42"/>
      <c r="C180" s="42"/>
      <c r="D180" s="49" t="s">
        <v>198</v>
      </c>
      <c r="E180" s="52">
        <v>2.28E-6</v>
      </c>
      <c r="F180" s="51">
        <f t="shared" si="1"/>
        <v>0.0199728</v>
      </c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>
      <c r="A181" s="42"/>
      <c r="B181" s="42"/>
      <c r="C181" s="42"/>
      <c r="D181" s="49" t="s">
        <v>204</v>
      </c>
      <c r="E181" s="52">
        <v>4.57E-6</v>
      </c>
      <c r="F181" s="51">
        <f t="shared" si="1"/>
        <v>0.0400332</v>
      </c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>
      <c r="A182" s="42"/>
      <c r="B182" s="42"/>
      <c r="C182" s="42"/>
      <c r="D182" s="49" t="s">
        <v>233</v>
      </c>
      <c r="E182" s="52">
        <v>6.28E-6</v>
      </c>
      <c r="F182" s="51">
        <f t="shared" si="1"/>
        <v>0.0550128</v>
      </c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>
      <c r="A183" s="42"/>
      <c r="B183" s="42"/>
      <c r="C183" s="42"/>
      <c r="D183" s="49" t="s">
        <v>181</v>
      </c>
      <c r="E183" s="52">
        <v>1.0E-6</v>
      </c>
      <c r="F183" s="51">
        <f t="shared" si="1"/>
        <v>0.00876</v>
      </c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>
      <c r="A184" s="42"/>
      <c r="B184" s="42"/>
      <c r="C184" s="42"/>
      <c r="D184" s="49" t="s">
        <v>250</v>
      </c>
      <c r="E184" s="52">
        <v>1.0E-6</v>
      </c>
      <c r="F184" s="51">
        <f t="shared" si="1"/>
        <v>0.00876</v>
      </c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>
      <c r="A185" s="42"/>
      <c r="B185" s="42"/>
      <c r="C185" s="42"/>
      <c r="D185" s="49" t="s">
        <v>179</v>
      </c>
      <c r="E185" s="52">
        <v>4.57E-6</v>
      </c>
      <c r="F185" s="51">
        <f t="shared" si="1"/>
        <v>0.0400332</v>
      </c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>
      <c r="A186" s="42"/>
      <c r="B186" s="42"/>
      <c r="C186" s="42"/>
      <c r="D186" s="49" t="s">
        <v>284</v>
      </c>
      <c r="E186" s="52">
        <v>1.0E-6</v>
      </c>
      <c r="F186" s="51">
        <f t="shared" si="1"/>
        <v>0.00876</v>
      </c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>
      <c r="A187" s="42"/>
      <c r="B187" s="42"/>
      <c r="C187" s="42"/>
      <c r="D187" s="49" t="s">
        <v>253</v>
      </c>
      <c r="E187" s="52">
        <v>1.37E-5</v>
      </c>
      <c r="F187" s="51">
        <f t="shared" si="1"/>
        <v>0.120012</v>
      </c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>
      <c r="A188" s="42"/>
      <c r="B188" s="42"/>
      <c r="C188" s="42"/>
      <c r="D188" s="49" t="s">
        <v>198</v>
      </c>
      <c r="E188" s="52">
        <v>2.28E-6</v>
      </c>
      <c r="F188" s="51">
        <f t="shared" si="1"/>
        <v>0.0199728</v>
      </c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>
      <c r="A189" s="42"/>
      <c r="B189" s="42"/>
      <c r="C189" s="42"/>
      <c r="D189" s="49" t="s">
        <v>204</v>
      </c>
      <c r="E189" s="52">
        <v>4.57E-6</v>
      </c>
      <c r="F189" s="51">
        <f t="shared" si="1"/>
        <v>0.0400332</v>
      </c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>
      <c r="A190" s="42"/>
      <c r="B190" s="42"/>
      <c r="C190" s="42"/>
      <c r="D190" s="49" t="s">
        <v>233</v>
      </c>
      <c r="E190" s="52">
        <v>6.28E-6</v>
      </c>
      <c r="F190" s="51">
        <f t="shared" si="1"/>
        <v>0.0550128</v>
      </c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>
      <c r="A191" s="42"/>
      <c r="B191" s="42"/>
      <c r="C191" s="42"/>
      <c r="D191" s="49" t="s">
        <v>181</v>
      </c>
      <c r="E191" s="52">
        <v>1.0E-6</v>
      </c>
      <c r="F191" s="51">
        <f t="shared" si="1"/>
        <v>0.00876</v>
      </c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>
      <c r="A192" s="42"/>
      <c r="B192" s="42"/>
      <c r="C192" s="42"/>
      <c r="D192" s="49" t="s">
        <v>250</v>
      </c>
      <c r="E192" s="52">
        <v>1.0E-6</v>
      </c>
      <c r="F192" s="51">
        <f t="shared" si="1"/>
        <v>0.00876</v>
      </c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>
      <c r="A193" s="42"/>
      <c r="B193" s="42"/>
      <c r="C193" s="42"/>
      <c r="D193" s="49" t="s">
        <v>284</v>
      </c>
      <c r="E193" s="52">
        <v>1.0E-6</v>
      </c>
      <c r="F193" s="51">
        <f t="shared" si="1"/>
        <v>0.00876</v>
      </c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>
      <c r="A194" s="42"/>
      <c r="B194" s="42"/>
      <c r="C194" s="42"/>
      <c r="D194" s="49" t="s">
        <v>179</v>
      </c>
      <c r="E194" s="52">
        <v>4.57E-6</v>
      </c>
      <c r="F194" s="51">
        <f t="shared" si="1"/>
        <v>0.0400332</v>
      </c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>
      <c r="A195" s="42"/>
      <c r="B195" s="42"/>
      <c r="C195" s="42"/>
      <c r="D195" s="49" t="s">
        <v>253</v>
      </c>
      <c r="E195" s="52">
        <v>1.37E-5</v>
      </c>
      <c r="F195" s="51">
        <f t="shared" si="1"/>
        <v>0.120012</v>
      </c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>
      <c r="A196" s="42"/>
      <c r="B196" s="42"/>
      <c r="C196" s="42"/>
      <c r="D196" s="49" t="s">
        <v>198</v>
      </c>
      <c r="E196" s="52">
        <v>2.28E-6</v>
      </c>
      <c r="F196" s="51">
        <f t="shared" si="1"/>
        <v>0.0199728</v>
      </c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>
      <c r="A197" s="42"/>
      <c r="B197" s="42"/>
      <c r="C197" s="42"/>
      <c r="D197" s="49"/>
      <c r="E197" s="52"/>
      <c r="F197" s="51">
        <f t="shared" si="1"/>
        <v>0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>
      <c r="A198" s="42"/>
      <c r="B198" s="42"/>
      <c r="C198" s="42"/>
      <c r="D198" s="49"/>
      <c r="E198" s="52"/>
      <c r="F198" s="51">
        <f t="shared" si="1"/>
        <v>0</v>
      </c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>
      <c r="A199" s="42"/>
      <c r="B199" s="42"/>
      <c r="C199" s="42"/>
      <c r="D199" s="49"/>
      <c r="E199" s="52"/>
      <c r="F199" s="51">
        <f t="shared" si="1"/>
        <v>0</v>
      </c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>
      <c r="A200" s="42"/>
      <c r="B200" s="42"/>
      <c r="C200" s="42"/>
      <c r="D200" s="49"/>
      <c r="E200" s="52"/>
      <c r="F200" s="51">
        <f t="shared" si="1"/>
        <v>0</v>
      </c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>
      <c r="A201" s="42"/>
      <c r="B201" s="42"/>
      <c r="C201" s="42"/>
      <c r="D201" s="49"/>
      <c r="E201" s="52"/>
      <c r="F201" s="51">
        <f t="shared" si="1"/>
        <v>0</v>
      </c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>
      <c r="A202" s="42"/>
      <c r="B202" s="42"/>
      <c r="C202" s="42"/>
      <c r="D202" s="49"/>
      <c r="E202" s="52"/>
      <c r="F202" s="51">
        <f t="shared" si="1"/>
        <v>0</v>
      </c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>
      <c r="A203" s="42"/>
      <c r="B203" s="42"/>
      <c r="C203" s="42"/>
      <c r="D203" s="49"/>
      <c r="E203" s="52"/>
      <c r="F203" s="51">
        <f t="shared" si="1"/>
        <v>0</v>
      </c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>
      <c r="A204" s="42"/>
      <c r="B204" s="42"/>
      <c r="C204" s="42"/>
      <c r="D204" s="49"/>
      <c r="E204" s="52"/>
      <c r="F204" s="51">
        <f t="shared" si="1"/>
        <v>0</v>
      </c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>
      <c r="A205" s="42"/>
      <c r="B205" s="42"/>
      <c r="C205" s="42"/>
      <c r="D205" s="49"/>
      <c r="E205" s="52"/>
      <c r="F205" s="51">
        <f t="shared" si="1"/>
        <v>0</v>
      </c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>
      <c r="A206" s="42"/>
      <c r="B206" s="42"/>
      <c r="C206" s="42"/>
      <c r="D206" s="42"/>
      <c r="E206" s="42"/>
      <c r="F206" s="51">
        <f t="shared" si="1"/>
        <v>0</v>
      </c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>
      <c r="A207" s="42"/>
      <c r="B207" s="42"/>
      <c r="C207" s="42"/>
      <c r="D207" s="42"/>
      <c r="E207" s="42"/>
      <c r="F207" s="51">
        <f t="shared" si="1"/>
        <v>0</v>
      </c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>
      <c r="A208" s="42"/>
      <c r="B208" s="42"/>
      <c r="C208" s="42"/>
      <c r="D208" s="42"/>
      <c r="E208" s="42"/>
      <c r="F208" s="51">
        <f t="shared" si="1"/>
        <v>0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>
      <c r="A209" s="42"/>
      <c r="B209" s="42"/>
      <c r="C209" s="42"/>
      <c r="D209" s="42"/>
      <c r="E209" s="42"/>
      <c r="F209" s="51">
        <f t="shared" si="1"/>
        <v>0</v>
      </c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>
      <c r="A210" s="42"/>
      <c r="B210" s="42"/>
      <c r="C210" s="42"/>
      <c r="D210" s="42"/>
      <c r="E210" s="42"/>
      <c r="F210" s="51">
        <f t="shared" si="1"/>
        <v>0</v>
      </c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>
      <c r="A211" s="42"/>
      <c r="B211" s="42"/>
      <c r="C211" s="42"/>
      <c r="D211" s="42"/>
      <c r="E211" s="42"/>
      <c r="F211" s="51">
        <f t="shared" si="1"/>
        <v>0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>
      <c r="A212" s="42"/>
      <c r="B212" s="42"/>
      <c r="C212" s="42"/>
      <c r="D212" s="42"/>
      <c r="E212" s="42"/>
      <c r="F212" s="51">
        <f t="shared" si="1"/>
        <v>0</v>
      </c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>
      <c r="A213" s="42"/>
      <c r="B213" s="42"/>
      <c r="C213" s="42"/>
      <c r="D213" s="42"/>
      <c r="E213" s="42"/>
      <c r="F213" s="51">
        <f t="shared" si="1"/>
        <v>0</v>
      </c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>
      <c r="A214" s="42"/>
      <c r="B214" s="42"/>
      <c r="C214" s="42"/>
      <c r="D214" s="42"/>
      <c r="E214" s="42"/>
      <c r="F214" s="51">
        <f t="shared" si="1"/>
        <v>0</v>
      </c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>
      <c r="A215" s="42"/>
      <c r="B215" s="42"/>
      <c r="C215" s="42"/>
      <c r="D215" s="42"/>
      <c r="E215" s="42"/>
      <c r="F215" s="51">
        <f t="shared" si="1"/>
        <v>0</v>
      </c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>
      <c r="A216" s="42"/>
      <c r="B216" s="42"/>
      <c r="C216" s="42"/>
      <c r="D216" s="42"/>
      <c r="E216" s="42"/>
      <c r="F216" s="51">
        <f t="shared" si="1"/>
        <v>0</v>
      </c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>
      <c r="A217" s="42"/>
      <c r="B217" s="42"/>
      <c r="C217" s="42"/>
      <c r="D217" s="42"/>
      <c r="E217" s="42"/>
      <c r="F217" s="51">
        <f t="shared" si="1"/>
        <v>0</v>
      </c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>
      <c r="A218" s="42"/>
      <c r="B218" s="42"/>
      <c r="C218" s="42"/>
      <c r="D218" s="42"/>
      <c r="E218" s="42"/>
      <c r="F218" s="51">
        <f t="shared" si="1"/>
        <v>0</v>
      </c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>
      <c r="A219" s="42"/>
      <c r="B219" s="42"/>
      <c r="C219" s="42"/>
      <c r="D219" s="42"/>
      <c r="E219" s="42"/>
      <c r="F219" s="51">
        <f t="shared" si="1"/>
        <v>0</v>
      </c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>
      <c r="A220" s="42"/>
      <c r="B220" s="42"/>
      <c r="C220" s="42"/>
      <c r="D220" s="42"/>
      <c r="E220" s="42"/>
      <c r="F220" s="51">
        <f t="shared" si="1"/>
        <v>0</v>
      </c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>
      <c r="A221" s="42"/>
      <c r="B221" s="42"/>
      <c r="C221" s="42"/>
      <c r="D221" s="42"/>
      <c r="E221" s="42"/>
      <c r="F221" s="51">
        <f t="shared" si="1"/>
        <v>0</v>
      </c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>
      <c r="A222" s="42"/>
      <c r="B222" s="42"/>
      <c r="C222" s="42"/>
      <c r="D222" s="42"/>
      <c r="E222" s="42"/>
      <c r="F222" s="51">
        <f t="shared" si="1"/>
        <v>0</v>
      </c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>
      <c r="A223" s="42"/>
      <c r="B223" s="42"/>
      <c r="C223" s="42"/>
      <c r="D223" s="42"/>
      <c r="E223" s="42"/>
      <c r="F223" s="51">
        <f t="shared" si="1"/>
        <v>0</v>
      </c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>
      <c r="A224" s="42"/>
      <c r="B224" s="42"/>
      <c r="C224" s="42"/>
      <c r="D224" s="42"/>
      <c r="E224" s="42"/>
      <c r="F224" s="54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>
      <c r="A225" s="42"/>
      <c r="B225" s="42"/>
      <c r="C225" s="42"/>
      <c r="D225" s="42"/>
      <c r="E225" s="42"/>
      <c r="F225" s="54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>
      <c r="A226" s="42"/>
      <c r="B226" s="42"/>
      <c r="C226" s="42"/>
      <c r="D226" s="42"/>
      <c r="E226" s="42"/>
      <c r="F226" s="54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>
      <c r="A227" s="42"/>
      <c r="B227" s="42"/>
      <c r="C227" s="42"/>
      <c r="D227" s="42"/>
      <c r="E227" s="42"/>
      <c r="F227" s="54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>
      <c r="A228" s="42"/>
      <c r="B228" s="42"/>
      <c r="C228" s="42"/>
      <c r="D228" s="42"/>
      <c r="E228" s="42"/>
      <c r="F228" s="54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>
      <c r="A229" s="42"/>
      <c r="B229" s="42"/>
      <c r="C229" s="42"/>
      <c r="D229" s="42"/>
      <c r="E229" s="42"/>
      <c r="F229" s="54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>
      <c r="A230" s="42"/>
      <c r="B230" s="42"/>
      <c r="C230" s="42"/>
      <c r="D230" s="42"/>
      <c r="E230" s="42"/>
      <c r="F230" s="54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>
      <c r="A231" s="42"/>
      <c r="B231" s="42"/>
      <c r="C231" s="42"/>
      <c r="D231" s="42"/>
      <c r="E231" s="42"/>
      <c r="F231" s="54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>
      <c r="A232" s="42"/>
      <c r="B232" s="42"/>
      <c r="C232" s="42"/>
      <c r="D232" s="42"/>
      <c r="E232" s="42"/>
      <c r="F232" s="54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>
      <c r="A233" s="42"/>
      <c r="B233" s="42"/>
      <c r="C233" s="42"/>
      <c r="D233" s="42"/>
      <c r="E233" s="42"/>
      <c r="F233" s="54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>
      <c r="A234" s="42"/>
      <c r="B234" s="42"/>
      <c r="C234" s="42"/>
      <c r="D234" s="42"/>
      <c r="E234" s="42"/>
      <c r="F234" s="54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>
      <c r="A235" s="42"/>
      <c r="B235" s="42"/>
      <c r="C235" s="42"/>
      <c r="D235" s="42"/>
      <c r="E235" s="42"/>
      <c r="F235" s="54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>
      <c r="A236" s="42"/>
      <c r="B236" s="42"/>
      <c r="C236" s="42"/>
      <c r="D236" s="42"/>
      <c r="E236" s="42"/>
      <c r="F236" s="54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>
      <c r="A237" s="42"/>
      <c r="B237" s="42"/>
      <c r="C237" s="42"/>
      <c r="D237" s="42"/>
      <c r="E237" s="42"/>
      <c r="F237" s="54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>
      <c r="A238" s="42"/>
      <c r="B238" s="42"/>
      <c r="C238" s="42"/>
      <c r="D238" s="42"/>
      <c r="E238" s="42"/>
      <c r="F238" s="54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>
      <c r="A239" s="42"/>
      <c r="B239" s="42"/>
      <c r="C239" s="42"/>
      <c r="D239" s="42"/>
      <c r="E239" s="42"/>
      <c r="F239" s="54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>
      <c r="A240" s="42"/>
      <c r="B240" s="42"/>
      <c r="C240" s="42"/>
      <c r="D240" s="42"/>
      <c r="E240" s="42"/>
      <c r="F240" s="54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>
      <c r="A241" s="42"/>
      <c r="B241" s="42"/>
      <c r="C241" s="42"/>
      <c r="D241" s="42"/>
      <c r="E241" s="42"/>
      <c r="F241" s="54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>
      <c r="A242" s="42"/>
      <c r="B242" s="42"/>
      <c r="C242" s="42"/>
      <c r="D242" s="42"/>
      <c r="E242" s="42"/>
      <c r="F242" s="54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>
      <c r="A243" s="42"/>
      <c r="B243" s="42"/>
      <c r="C243" s="42"/>
      <c r="D243" s="42"/>
      <c r="E243" s="42"/>
      <c r="F243" s="54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>
      <c r="A244" s="42"/>
      <c r="B244" s="42"/>
      <c r="C244" s="42"/>
      <c r="D244" s="42"/>
      <c r="E244" s="42"/>
      <c r="F244" s="54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>
      <c r="A245" s="42"/>
      <c r="B245" s="42"/>
      <c r="C245" s="42"/>
      <c r="D245" s="42"/>
      <c r="E245" s="42"/>
      <c r="F245" s="54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>
      <c r="A246" s="42"/>
      <c r="B246" s="42"/>
      <c r="C246" s="42"/>
      <c r="D246" s="42"/>
      <c r="E246" s="42"/>
      <c r="F246" s="54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>
      <c r="A247" s="42"/>
      <c r="B247" s="42"/>
      <c r="C247" s="42"/>
      <c r="D247" s="42"/>
      <c r="E247" s="42"/>
      <c r="F247" s="54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>
      <c r="A248" s="42"/>
      <c r="B248" s="42"/>
      <c r="C248" s="42"/>
      <c r="D248" s="42"/>
      <c r="E248" s="42"/>
      <c r="F248" s="54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>
      <c r="A249" s="42"/>
      <c r="B249" s="42"/>
      <c r="C249" s="42"/>
      <c r="D249" s="42"/>
      <c r="E249" s="42"/>
      <c r="F249" s="54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>
      <c r="A250" s="42"/>
      <c r="B250" s="42"/>
      <c r="C250" s="42"/>
      <c r="D250" s="42"/>
      <c r="E250" s="42"/>
      <c r="F250" s="54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>
      <c r="A251" s="42"/>
      <c r="B251" s="42"/>
      <c r="C251" s="42"/>
      <c r="D251" s="42"/>
      <c r="E251" s="42"/>
      <c r="F251" s="54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>
      <c r="A252" s="42"/>
      <c r="B252" s="42"/>
      <c r="C252" s="42"/>
      <c r="D252" s="42"/>
      <c r="E252" s="42"/>
      <c r="F252" s="54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>
      <c r="A253" s="42"/>
      <c r="B253" s="42"/>
      <c r="C253" s="42"/>
      <c r="D253" s="42"/>
      <c r="E253" s="42"/>
      <c r="F253" s="54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>
      <c r="A254" s="42"/>
      <c r="B254" s="42"/>
      <c r="C254" s="42"/>
      <c r="D254" s="42"/>
      <c r="E254" s="42"/>
      <c r="F254" s="54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>
      <c r="A255" s="42"/>
      <c r="B255" s="42"/>
      <c r="C255" s="42"/>
      <c r="D255" s="42"/>
      <c r="E255" s="42"/>
      <c r="F255" s="54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>
      <c r="A256" s="42"/>
      <c r="B256" s="42"/>
      <c r="C256" s="42"/>
      <c r="D256" s="42"/>
      <c r="E256" s="42"/>
      <c r="F256" s="54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>
      <c r="A257" s="42"/>
      <c r="B257" s="42"/>
      <c r="C257" s="42"/>
      <c r="D257" s="42"/>
      <c r="E257" s="42"/>
      <c r="F257" s="54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>
      <c r="A258" s="42"/>
      <c r="B258" s="42"/>
      <c r="C258" s="42"/>
      <c r="D258" s="42"/>
      <c r="E258" s="42"/>
      <c r="F258" s="54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>
      <c r="A259" s="42"/>
      <c r="B259" s="42"/>
      <c r="C259" s="42"/>
      <c r="D259" s="42"/>
      <c r="E259" s="42"/>
      <c r="F259" s="54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>
      <c r="A260" s="42"/>
      <c r="B260" s="42"/>
      <c r="C260" s="42"/>
      <c r="D260" s="42"/>
      <c r="E260" s="42"/>
      <c r="F260" s="54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>
      <c r="A261" s="42"/>
      <c r="B261" s="42"/>
      <c r="C261" s="42"/>
      <c r="D261" s="42"/>
      <c r="E261" s="42"/>
      <c r="F261" s="54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>
      <c r="A262" s="42"/>
      <c r="B262" s="42"/>
      <c r="C262" s="42"/>
      <c r="D262" s="42"/>
      <c r="E262" s="42"/>
      <c r="F262" s="54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>
      <c r="A263" s="42"/>
      <c r="B263" s="42"/>
      <c r="C263" s="42"/>
      <c r="D263" s="42"/>
      <c r="E263" s="42"/>
      <c r="F263" s="54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>
      <c r="A264" s="42"/>
      <c r="B264" s="42"/>
      <c r="C264" s="42"/>
      <c r="D264" s="42"/>
      <c r="E264" s="42"/>
      <c r="F264" s="54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>
      <c r="A265" s="42"/>
      <c r="B265" s="42"/>
      <c r="C265" s="42"/>
      <c r="D265" s="42"/>
      <c r="E265" s="42"/>
      <c r="F265" s="54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>
      <c r="A266" s="42"/>
      <c r="B266" s="42"/>
      <c r="C266" s="42"/>
      <c r="D266" s="42"/>
      <c r="E266" s="42"/>
      <c r="F266" s="54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>
      <c r="A267" s="42"/>
      <c r="B267" s="42"/>
      <c r="C267" s="42"/>
      <c r="D267" s="42"/>
      <c r="E267" s="42"/>
      <c r="F267" s="54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>
      <c r="A268" s="42"/>
      <c r="B268" s="42"/>
      <c r="C268" s="42"/>
      <c r="D268" s="42"/>
      <c r="E268" s="42"/>
      <c r="F268" s="54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>
      <c r="A269" s="42"/>
      <c r="B269" s="42"/>
      <c r="C269" s="42"/>
      <c r="D269" s="42"/>
      <c r="E269" s="42"/>
      <c r="F269" s="54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>
      <c r="A270" s="42"/>
      <c r="B270" s="42"/>
      <c r="C270" s="42"/>
      <c r="D270" s="42"/>
      <c r="E270" s="42"/>
      <c r="F270" s="54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>
      <c r="A271" s="42"/>
      <c r="B271" s="42"/>
      <c r="C271" s="42"/>
      <c r="D271" s="42"/>
      <c r="E271" s="42"/>
      <c r="F271" s="54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>
      <c r="A272" s="42"/>
      <c r="B272" s="42"/>
      <c r="C272" s="42"/>
      <c r="D272" s="42"/>
      <c r="E272" s="42"/>
      <c r="F272" s="54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>
      <c r="A273" s="42"/>
      <c r="B273" s="42"/>
      <c r="C273" s="42"/>
      <c r="D273" s="42"/>
      <c r="E273" s="42"/>
      <c r="F273" s="54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>
      <c r="A274" s="42"/>
      <c r="B274" s="42"/>
      <c r="C274" s="42"/>
      <c r="D274" s="42"/>
      <c r="E274" s="42"/>
      <c r="F274" s="54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>
      <c r="A275" s="42"/>
      <c r="B275" s="42"/>
      <c r="C275" s="42"/>
      <c r="D275" s="42"/>
      <c r="E275" s="42"/>
      <c r="F275" s="54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>
      <c r="A276" s="42"/>
      <c r="B276" s="42"/>
      <c r="C276" s="42"/>
      <c r="D276" s="42"/>
      <c r="E276" s="42"/>
      <c r="F276" s="54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>
      <c r="A277" s="42"/>
      <c r="B277" s="42"/>
      <c r="C277" s="42"/>
      <c r="D277" s="42"/>
      <c r="E277" s="42"/>
      <c r="F277" s="54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>
      <c r="A278" s="42"/>
      <c r="B278" s="42"/>
      <c r="C278" s="42"/>
      <c r="D278" s="42"/>
      <c r="E278" s="42"/>
      <c r="F278" s="54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>
      <c r="A279" s="42"/>
      <c r="B279" s="42"/>
      <c r="C279" s="42"/>
      <c r="D279" s="42"/>
      <c r="E279" s="42"/>
      <c r="F279" s="54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>
      <c r="A280" s="42"/>
      <c r="B280" s="42"/>
      <c r="C280" s="42"/>
      <c r="D280" s="42"/>
      <c r="E280" s="42"/>
      <c r="F280" s="54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>
      <c r="A281" s="42"/>
      <c r="B281" s="42"/>
      <c r="C281" s="42"/>
      <c r="D281" s="42"/>
      <c r="E281" s="42"/>
      <c r="F281" s="54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>
      <c r="A282" s="42"/>
      <c r="B282" s="42"/>
      <c r="C282" s="42"/>
      <c r="D282" s="42"/>
      <c r="E282" s="42"/>
      <c r="F282" s="54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>
      <c r="A283" s="42"/>
      <c r="B283" s="42"/>
      <c r="C283" s="42"/>
      <c r="D283" s="42"/>
      <c r="E283" s="42"/>
      <c r="F283" s="54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>
      <c r="A284" s="42"/>
      <c r="B284" s="42"/>
      <c r="C284" s="42"/>
      <c r="D284" s="42"/>
      <c r="E284" s="42"/>
      <c r="F284" s="54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>
      <c r="A285" s="42"/>
      <c r="B285" s="42"/>
      <c r="C285" s="42"/>
      <c r="D285" s="42"/>
      <c r="E285" s="42"/>
      <c r="F285" s="54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>
      <c r="A286" s="42"/>
      <c r="B286" s="42"/>
      <c r="C286" s="42"/>
      <c r="D286" s="42"/>
      <c r="E286" s="42"/>
      <c r="F286" s="54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>
      <c r="A287" s="42"/>
      <c r="B287" s="42"/>
      <c r="C287" s="42"/>
      <c r="D287" s="42"/>
      <c r="E287" s="42"/>
      <c r="F287" s="54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>
      <c r="A288" s="42"/>
      <c r="B288" s="42"/>
      <c r="C288" s="42"/>
      <c r="D288" s="42"/>
      <c r="E288" s="42"/>
      <c r="F288" s="54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>
      <c r="A289" s="42"/>
      <c r="B289" s="42"/>
      <c r="C289" s="42"/>
      <c r="D289" s="42"/>
      <c r="E289" s="42"/>
      <c r="F289" s="54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>
      <c r="A290" s="42"/>
      <c r="B290" s="42"/>
      <c r="C290" s="42"/>
      <c r="D290" s="42"/>
      <c r="E290" s="42"/>
      <c r="F290" s="54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>
      <c r="A291" s="42"/>
      <c r="B291" s="42"/>
      <c r="C291" s="42"/>
      <c r="D291" s="42"/>
      <c r="E291" s="42"/>
      <c r="F291" s="54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>
      <c r="A292" s="42"/>
      <c r="B292" s="42"/>
      <c r="C292" s="42"/>
      <c r="D292" s="42"/>
      <c r="E292" s="42"/>
      <c r="F292" s="54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>
      <c r="A293" s="42"/>
      <c r="B293" s="42"/>
      <c r="C293" s="42"/>
      <c r="D293" s="42"/>
      <c r="E293" s="42"/>
      <c r="F293" s="54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>
      <c r="A294" s="42"/>
      <c r="B294" s="42"/>
      <c r="C294" s="42"/>
      <c r="D294" s="42"/>
      <c r="E294" s="42"/>
      <c r="F294" s="54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>
      <c r="A295" s="42"/>
      <c r="B295" s="42"/>
      <c r="C295" s="42"/>
      <c r="D295" s="42"/>
      <c r="E295" s="42"/>
      <c r="F295" s="54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>
      <c r="A296" s="42"/>
      <c r="B296" s="42"/>
      <c r="C296" s="42"/>
      <c r="D296" s="42"/>
      <c r="E296" s="42"/>
      <c r="F296" s="54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>
      <c r="A297" s="42"/>
      <c r="B297" s="42"/>
      <c r="C297" s="42"/>
      <c r="D297" s="42"/>
      <c r="E297" s="42"/>
      <c r="F297" s="54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>
      <c r="A298" s="42"/>
      <c r="B298" s="42"/>
      <c r="C298" s="42"/>
      <c r="D298" s="42"/>
      <c r="E298" s="42"/>
      <c r="F298" s="54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>
      <c r="A299" s="42"/>
      <c r="B299" s="42"/>
      <c r="C299" s="42"/>
      <c r="D299" s="42"/>
      <c r="E299" s="42"/>
      <c r="F299" s="54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>
      <c r="A300" s="42"/>
      <c r="B300" s="42"/>
      <c r="C300" s="42"/>
      <c r="D300" s="42"/>
      <c r="E300" s="42"/>
      <c r="F300" s="54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>
      <c r="A301" s="42"/>
      <c r="B301" s="42"/>
      <c r="C301" s="42"/>
      <c r="D301" s="42"/>
      <c r="E301" s="42"/>
      <c r="F301" s="54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>
      <c r="A302" s="42"/>
      <c r="B302" s="42"/>
      <c r="C302" s="42"/>
      <c r="D302" s="42"/>
      <c r="E302" s="42"/>
      <c r="F302" s="54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>
      <c r="A303" s="42"/>
      <c r="B303" s="42"/>
      <c r="C303" s="42"/>
      <c r="D303" s="42"/>
      <c r="E303" s="42"/>
      <c r="F303" s="54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>
      <c r="A304" s="42"/>
      <c r="B304" s="42"/>
      <c r="C304" s="42"/>
      <c r="D304" s="42"/>
      <c r="E304" s="42"/>
      <c r="F304" s="54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>
      <c r="A305" s="42"/>
      <c r="B305" s="42"/>
      <c r="C305" s="42"/>
      <c r="D305" s="42"/>
      <c r="E305" s="42"/>
      <c r="F305" s="54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>
      <c r="A306" s="42"/>
      <c r="B306" s="42"/>
      <c r="C306" s="42"/>
      <c r="D306" s="42"/>
      <c r="E306" s="42"/>
      <c r="F306" s="54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>
      <c r="A307" s="42"/>
      <c r="B307" s="42"/>
      <c r="C307" s="42"/>
      <c r="D307" s="42"/>
      <c r="E307" s="42"/>
      <c r="F307" s="54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>
      <c r="A308" s="42"/>
      <c r="B308" s="42"/>
      <c r="C308" s="42"/>
      <c r="D308" s="42"/>
      <c r="E308" s="42"/>
      <c r="F308" s="54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>
      <c r="A309" s="42"/>
      <c r="B309" s="42"/>
      <c r="C309" s="42"/>
      <c r="D309" s="42"/>
      <c r="E309" s="42"/>
      <c r="F309" s="54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>
      <c r="A310" s="42"/>
      <c r="B310" s="42"/>
      <c r="C310" s="42"/>
      <c r="D310" s="42"/>
      <c r="E310" s="42"/>
      <c r="F310" s="54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>
      <c r="A311" s="42"/>
      <c r="B311" s="42"/>
      <c r="C311" s="42"/>
      <c r="D311" s="42"/>
      <c r="E311" s="42"/>
      <c r="F311" s="54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>
      <c r="A312" s="42"/>
      <c r="B312" s="42"/>
      <c r="C312" s="42"/>
      <c r="D312" s="42"/>
      <c r="E312" s="42"/>
      <c r="F312" s="54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>
      <c r="A313" s="42"/>
      <c r="B313" s="42"/>
      <c r="C313" s="42"/>
      <c r="D313" s="42"/>
      <c r="E313" s="42"/>
      <c r="F313" s="54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>
      <c r="A314" s="42"/>
      <c r="B314" s="42"/>
      <c r="C314" s="42"/>
      <c r="D314" s="42"/>
      <c r="E314" s="42"/>
      <c r="F314" s="54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>
      <c r="A315" s="42"/>
      <c r="B315" s="42"/>
      <c r="C315" s="42"/>
      <c r="D315" s="42"/>
      <c r="E315" s="42"/>
      <c r="F315" s="54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>
      <c r="A316" s="42"/>
      <c r="B316" s="42"/>
      <c r="C316" s="42"/>
      <c r="D316" s="42"/>
      <c r="E316" s="42"/>
      <c r="F316" s="54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>
      <c r="A317" s="42"/>
      <c r="B317" s="42"/>
      <c r="C317" s="42"/>
      <c r="D317" s="42"/>
      <c r="E317" s="42"/>
      <c r="F317" s="54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>
      <c r="A318" s="42"/>
      <c r="B318" s="42"/>
      <c r="C318" s="42"/>
      <c r="D318" s="42"/>
      <c r="E318" s="42"/>
      <c r="F318" s="54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>
      <c r="A319" s="42"/>
      <c r="B319" s="42"/>
      <c r="C319" s="42"/>
      <c r="D319" s="42"/>
      <c r="E319" s="42"/>
      <c r="F319" s="54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>
      <c r="A320" s="42"/>
      <c r="B320" s="42"/>
      <c r="C320" s="42"/>
      <c r="D320" s="42"/>
      <c r="E320" s="42"/>
      <c r="F320" s="54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>
      <c r="A321" s="42"/>
      <c r="B321" s="42"/>
      <c r="C321" s="42"/>
      <c r="D321" s="42"/>
      <c r="E321" s="42"/>
      <c r="F321" s="54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>
      <c r="A322" s="42"/>
      <c r="B322" s="42"/>
      <c r="C322" s="42"/>
      <c r="D322" s="42"/>
      <c r="E322" s="42"/>
      <c r="F322" s="54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>
      <c r="A323" s="42"/>
      <c r="B323" s="42"/>
      <c r="C323" s="42"/>
      <c r="D323" s="42"/>
      <c r="E323" s="42"/>
      <c r="F323" s="54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>
      <c r="A324" s="42"/>
      <c r="B324" s="42"/>
      <c r="C324" s="42"/>
      <c r="D324" s="42"/>
      <c r="E324" s="42"/>
      <c r="F324" s="54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>
      <c r="A325" s="42"/>
      <c r="B325" s="42"/>
      <c r="C325" s="42"/>
      <c r="D325" s="42"/>
      <c r="E325" s="42"/>
      <c r="F325" s="54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>
      <c r="A326" s="42"/>
      <c r="B326" s="42"/>
      <c r="C326" s="42"/>
      <c r="D326" s="42"/>
      <c r="E326" s="42"/>
      <c r="F326" s="54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>
      <c r="A327" s="42"/>
      <c r="B327" s="42"/>
      <c r="C327" s="42"/>
      <c r="D327" s="42"/>
      <c r="E327" s="42"/>
      <c r="F327" s="54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>
      <c r="A328" s="42"/>
      <c r="B328" s="42"/>
      <c r="C328" s="42"/>
      <c r="D328" s="42"/>
      <c r="E328" s="42"/>
      <c r="F328" s="54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>
      <c r="A329" s="42"/>
      <c r="B329" s="42"/>
      <c r="C329" s="42"/>
      <c r="D329" s="42"/>
      <c r="E329" s="42"/>
      <c r="F329" s="54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>
      <c r="A330" s="42"/>
      <c r="B330" s="42"/>
      <c r="C330" s="42"/>
      <c r="D330" s="42"/>
      <c r="E330" s="42"/>
      <c r="F330" s="54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>
      <c r="A331" s="42"/>
      <c r="B331" s="42"/>
      <c r="C331" s="42"/>
      <c r="D331" s="42"/>
      <c r="E331" s="42"/>
      <c r="F331" s="54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>
      <c r="A332" s="42"/>
      <c r="B332" s="42"/>
      <c r="C332" s="42"/>
      <c r="D332" s="42"/>
      <c r="E332" s="42"/>
      <c r="F332" s="54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>
      <c r="A333" s="42"/>
      <c r="B333" s="42"/>
      <c r="C333" s="42"/>
      <c r="D333" s="42"/>
      <c r="E333" s="42"/>
      <c r="F333" s="54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>
      <c r="A334" s="42"/>
      <c r="B334" s="42"/>
      <c r="C334" s="42"/>
      <c r="D334" s="42"/>
      <c r="E334" s="42"/>
      <c r="F334" s="54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>
      <c r="A335" s="42"/>
      <c r="B335" s="42"/>
      <c r="C335" s="42"/>
      <c r="D335" s="42"/>
      <c r="E335" s="42"/>
      <c r="F335" s="54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>
      <c r="A336" s="42"/>
      <c r="B336" s="42"/>
      <c r="C336" s="42"/>
      <c r="D336" s="42"/>
      <c r="E336" s="42"/>
      <c r="F336" s="54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>
      <c r="A337" s="42"/>
      <c r="B337" s="42"/>
      <c r="C337" s="42"/>
      <c r="D337" s="42"/>
      <c r="E337" s="42"/>
      <c r="F337" s="54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>
      <c r="A338" s="42"/>
      <c r="B338" s="42"/>
      <c r="C338" s="42"/>
      <c r="D338" s="42"/>
      <c r="E338" s="42"/>
      <c r="F338" s="54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>
      <c r="A339" s="42"/>
      <c r="B339" s="42"/>
      <c r="C339" s="42"/>
      <c r="D339" s="42"/>
      <c r="E339" s="42"/>
      <c r="F339" s="54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>
      <c r="A340" s="42"/>
      <c r="B340" s="42"/>
      <c r="C340" s="42"/>
      <c r="D340" s="42"/>
      <c r="E340" s="42"/>
      <c r="F340" s="54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>
      <c r="A341" s="42"/>
      <c r="B341" s="42"/>
      <c r="C341" s="42"/>
      <c r="D341" s="42"/>
      <c r="E341" s="42"/>
      <c r="F341" s="54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>
      <c r="A342" s="42"/>
      <c r="B342" s="42"/>
      <c r="C342" s="42"/>
      <c r="D342" s="42"/>
      <c r="E342" s="42"/>
      <c r="F342" s="54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>
      <c r="A343" s="42"/>
      <c r="B343" s="42"/>
      <c r="C343" s="42"/>
      <c r="D343" s="42"/>
      <c r="E343" s="42"/>
      <c r="F343" s="54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>
      <c r="A344" s="42"/>
      <c r="B344" s="42"/>
      <c r="C344" s="42"/>
      <c r="D344" s="42"/>
      <c r="E344" s="42"/>
      <c r="F344" s="54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>
      <c r="A345" s="42"/>
      <c r="B345" s="42"/>
      <c r="C345" s="42"/>
      <c r="D345" s="42"/>
      <c r="E345" s="42"/>
      <c r="F345" s="54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>
      <c r="A346" s="42"/>
      <c r="B346" s="42"/>
      <c r="C346" s="42"/>
      <c r="D346" s="42"/>
      <c r="E346" s="42"/>
      <c r="F346" s="54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>
      <c r="A347" s="42"/>
      <c r="B347" s="42"/>
      <c r="C347" s="42"/>
      <c r="D347" s="42"/>
      <c r="E347" s="42"/>
      <c r="F347" s="54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>
      <c r="A348" s="42"/>
      <c r="B348" s="42"/>
      <c r="C348" s="42"/>
      <c r="D348" s="42"/>
      <c r="E348" s="42"/>
      <c r="F348" s="54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>
      <c r="A349" s="42"/>
      <c r="B349" s="42"/>
      <c r="C349" s="42"/>
      <c r="D349" s="42"/>
      <c r="E349" s="42"/>
      <c r="F349" s="54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>
      <c r="A350" s="42"/>
      <c r="B350" s="42"/>
      <c r="C350" s="42"/>
      <c r="D350" s="42"/>
      <c r="E350" s="42"/>
      <c r="F350" s="54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>
      <c r="A351" s="42"/>
      <c r="B351" s="42"/>
      <c r="C351" s="42"/>
      <c r="D351" s="42"/>
      <c r="E351" s="42"/>
      <c r="F351" s="54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>
      <c r="A352" s="42"/>
      <c r="B352" s="42"/>
      <c r="C352" s="42"/>
      <c r="D352" s="42"/>
      <c r="E352" s="42"/>
      <c r="F352" s="54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>
      <c r="A353" s="42"/>
      <c r="B353" s="42"/>
      <c r="C353" s="42"/>
      <c r="D353" s="42"/>
      <c r="E353" s="42"/>
      <c r="F353" s="54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>
      <c r="A354" s="42"/>
      <c r="B354" s="42"/>
      <c r="C354" s="42"/>
      <c r="D354" s="42"/>
      <c r="E354" s="42"/>
      <c r="F354" s="54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>
      <c r="A355" s="42"/>
      <c r="B355" s="42"/>
      <c r="C355" s="42"/>
      <c r="D355" s="42"/>
      <c r="E355" s="42"/>
      <c r="F355" s="54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>
      <c r="A356" s="42"/>
      <c r="B356" s="42"/>
      <c r="C356" s="42"/>
      <c r="D356" s="42"/>
      <c r="E356" s="42"/>
      <c r="F356" s="54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>
      <c r="A357" s="42"/>
      <c r="B357" s="42"/>
      <c r="C357" s="42"/>
      <c r="D357" s="42"/>
      <c r="E357" s="42"/>
      <c r="F357" s="54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>
      <c r="A358" s="42"/>
      <c r="B358" s="42"/>
      <c r="C358" s="42"/>
      <c r="D358" s="42"/>
      <c r="E358" s="42"/>
      <c r="F358" s="54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>
      <c r="A359" s="42"/>
      <c r="B359" s="42"/>
      <c r="C359" s="42"/>
      <c r="D359" s="42"/>
      <c r="E359" s="42"/>
      <c r="F359" s="54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>
      <c r="A360" s="42"/>
      <c r="B360" s="42"/>
      <c r="C360" s="42"/>
      <c r="D360" s="42"/>
      <c r="E360" s="42"/>
      <c r="F360" s="54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>
      <c r="A361" s="42"/>
      <c r="B361" s="42"/>
      <c r="C361" s="42"/>
      <c r="D361" s="42"/>
      <c r="E361" s="42"/>
      <c r="F361" s="54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>
      <c r="A362" s="42"/>
      <c r="B362" s="42"/>
      <c r="C362" s="42"/>
      <c r="D362" s="42"/>
      <c r="E362" s="42"/>
      <c r="F362" s="54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>
      <c r="A363" s="42"/>
      <c r="B363" s="42"/>
      <c r="C363" s="42"/>
      <c r="D363" s="42"/>
      <c r="E363" s="42"/>
      <c r="F363" s="54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>
      <c r="A364" s="42"/>
      <c r="B364" s="42"/>
      <c r="C364" s="42"/>
      <c r="D364" s="42"/>
      <c r="E364" s="42"/>
      <c r="F364" s="54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>
      <c r="A365" s="42"/>
      <c r="B365" s="42"/>
      <c r="C365" s="42"/>
      <c r="D365" s="42"/>
      <c r="E365" s="42"/>
      <c r="F365" s="54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>
      <c r="A366" s="42"/>
      <c r="B366" s="42"/>
      <c r="C366" s="42"/>
      <c r="D366" s="42"/>
      <c r="E366" s="42"/>
      <c r="F366" s="54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>
      <c r="A367" s="42"/>
      <c r="B367" s="42"/>
      <c r="C367" s="42"/>
      <c r="D367" s="42"/>
      <c r="E367" s="42"/>
      <c r="F367" s="54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>
      <c r="A368" s="42"/>
      <c r="B368" s="42"/>
      <c r="C368" s="42"/>
      <c r="D368" s="42"/>
      <c r="E368" s="42"/>
      <c r="F368" s="54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>
      <c r="A369" s="42"/>
      <c r="B369" s="42"/>
      <c r="C369" s="42"/>
      <c r="D369" s="42"/>
      <c r="E369" s="42"/>
      <c r="F369" s="54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>
      <c r="A370" s="42"/>
      <c r="B370" s="42"/>
      <c r="C370" s="42"/>
      <c r="D370" s="42"/>
      <c r="E370" s="42"/>
      <c r="F370" s="54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>
      <c r="A371" s="42"/>
      <c r="B371" s="42"/>
      <c r="C371" s="42"/>
      <c r="D371" s="42"/>
      <c r="E371" s="42"/>
      <c r="F371" s="54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>
      <c r="A372" s="42"/>
      <c r="B372" s="42"/>
      <c r="C372" s="42"/>
      <c r="D372" s="42"/>
      <c r="E372" s="42"/>
      <c r="F372" s="54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>
      <c r="A373" s="42"/>
      <c r="B373" s="42"/>
      <c r="C373" s="42"/>
      <c r="D373" s="42"/>
      <c r="E373" s="42"/>
      <c r="F373" s="54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>
      <c r="A374" s="42"/>
      <c r="B374" s="42"/>
      <c r="C374" s="42"/>
      <c r="D374" s="42"/>
      <c r="E374" s="42"/>
      <c r="F374" s="54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>
      <c r="A375" s="42"/>
      <c r="B375" s="42"/>
      <c r="C375" s="42"/>
      <c r="D375" s="42"/>
      <c r="E375" s="42"/>
      <c r="F375" s="54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>
      <c r="A376" s="42"/>
      <c r="B376" s="42"/>
      <c r="C376" s="42"/>
      <c r="D376" s="42"/>
      <c r="E376" s="42"/>
      <c r="F376" s="54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>
      <c r="A377" s="42"/>
      <c r="B377" s="42"/>
      <c r="C377" s="42"/>
      <c r="D377" s="42"/>
      <c r="E377" s="42"/>
      <c r="F377" s="54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>
      <c r="A378" s="42"/>
      <c r="B378" s="42"/>
      <c r="C378" s="42"/>
      <c r="D378" s="42"/>
      <c r="E378" s="42"/>
      <c r="F378" s="54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>
      <c r="A379" s="42"/>
      <c r="B379" s="42"/>
      <c r="C379" s="42"/>
      <c r="D379" s="42"/>
      <c r="E379" s="42"/>
      <c r="F379" s="54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>
      <c r="A380" s="42"/>
      <c r="B380" s="42"/>
      <c r="C380" s="42"/>
      <c r="D380" s="42"/>
      <c r="E380" s="42"/>
      <c r="F380" s="54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>
      <c r="A381" s="42"/>
      <c r="B381" s="42"/>
      <c r="C381" s="42"/>
      <c r="D381" s="42"/>
      <c r="E381" s="42"/>
      <c r="F381" s="54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>
      <c r="A382" s="42"/>
      <c r="B382" s="42"/>
      <c r="C382" s="42"/>
      <c r="D382" s="42"/>
      <c r="E382" s="42"/>
      <c r="F382" s="54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>
      <c r="A383" s="42"/>
      <c r="B383" s="42"/>
      <c r="C383" s="42"/>
      <c r="D383" s="42"/>
      <c r="E383" s="42"/>
      <c r="F383" s="54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>
      <c r="A384" s="42"/>
      <c r="B384" s="42"/>
      <c r="C384" s="42"/>
      <c r="D384" s="42"/>
      <c r="E384" s="42"/>
      <c r="F384" s="54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>
      <c r="A385" s="42"/>
      <c r="B385" s="42"/>
      <c r="C385" s="42"/>
      <c r="D385" s="42"/>
      <c r="E385" s="42"/>
      <c r="F385" s="54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>
      <c r="A386" s="42"/>
      <c r="B386" s="42"/>
      <c r="C386" s="42"/>
      <c r="D386" s="42"/>
      <c r="E386" s="42"/>
      <c r="F386" s="54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>
      <c r="A387" s="42"/>
      <c r="B387" s="42"/>
      <c r="C387" s="42"/>
      <c r="D387" s="42"/>
      <c r="E387" s="42"/>
      <c r="F387" s="54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>
      <c r="A388" s="42"/>
      <c r="B388" s="42"/>
      <c r="C388" s="42"/>
      <c r="D388" s="42"/>
      <c r="E388" s="42"/>
      <c r="F388" s="54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>
      <c r="A389" s="42"/>
      <c r="B389" s="42"/>
      <c r="C389" s="42"/>
      <c r="D389" s="42"/>
      <c r="E389" s="42"/>
      <c r="F389" s="54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>
      <c r="A390" s="42"/>
      <c r="B390" s="42"/>
      <c r="C390" s="42"/>
      <c r="D390" s="42"/>
      <c r="E390" s="42"/>
      <c r="F390" s="54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>
      <c r="A391" s="42"/>
      <c r="B391" s="42"/>
      <c r="C391" s="42"/>
      <c r="D391" s="42"/>
      <c r="E391" s="42"/>
      <c r="F391" s="54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>
      <c r="A392" s="42"/>
      <c r="B392" s="42"/>
      <c r="C392" s="42"/>
      <c r="D392" s="42"/>
      <c r="E392" s="42"/>
      <c r="F392" s="54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>
      <c r="A393" s="42"/>
      <c r="B393" s="42"/>
      <c r="C393" s="42"/>
      <c r="D393" s="42"/>
      <c r="E393" s="42"/>
      <c r="F393" s="54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>
      <c r="A394" s="42"/>
      <c r="B394" s="42"/>
      <c r="C394" s="42"/>
      <c r="D394" s="42"/>
      <c r="E394" s="42"/>
      <c r="F394" s="54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>
      <c r="A395" s="42"/>
      <c r="B395" s="42"/>
      <c r="C395" s="42"/>
      <c r="D395" s="42"/>
      <c r="E395" s="42"/>
      <c r="F395" s="54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>
      <c r="A396" s="42"/>
      <c r="B396" s="42"/>
      <c r="C396" s="42"/>
      <c r="D396" s="42"/>
      <c r="E396" s="42"/>
      <c r="F396" s="54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>
      <c r="A397" s="42"/>
      <c r="B397" s="42"/>
      <c r="C397" s="42"/>
      <c r="D397" s="42"/>
      <c r="E397" s="42"/>
      <c r="F397" s="54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>
      <c r="A398" s="42"/>
      <c r="B398" s="42"/>
      <c r="C398" s="42"/>
      <c r="D398" s="42"/>
      <c r="E398" s="42"/>
      <c r="F398" s="54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>
      <c r="A399" s="42"/>
      <c r="B399" s="42"/>
      <c r="C399" s="42"/>
      <c r="D399" s="42"/>
      <c r="E399" s="42"/>
      <c r="F399" s="54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>
      <c r="A400" s="42"/>
      <c r="B400" s="42"/>
      <c r="C400" s="42"/>
      <c r="D400" s="42"/>
      <c r="E400" s="42"/>
      <c r="F400" s="54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>
      <c r="A401" s="42"/>
      <c r="B401" s="42"/>
      <c r="C401" s="42"/>
      <c r="D401" s="42"/>
      <c r="E401" s="42"/>
      <c r="F401" s="54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>
      <c r="A402" s="42"/>
      <c r="B402" s="42"/>
      <c r="C402" s="42"/>
      <c r="D402" s="42"/>
      <c r="E402" s="42"/>
      <c r="F402" s="54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>
      <c r="A403" s="42"/>
      <c r="B403" s="42"/>
      <c r="C403" s="42"/>
      <c r="D403" s="42"/>
      <c r="E403" s="42"/>
      <c r="F403" s="54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>
      <c r="A404" s="42"/>
      <c r="B404" s="42"/>
      <c r="C404" s="42"/>
      <c r="D404" s="42"/>
      <c r="E404" s="42"/>
      <c r="F404" s="54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>
      <c r="A405" s="42"/>
      <c r="B405" s="42"/>
      <c r="C405" s="42"/>
      <c r="D405" s="42"/>
      <c r="E405" s="42"/>
      <c r="F405" s="54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>
      <c r="A406" s="42"/>
      <c r="B406" s="42"/>
      <c r="C406" s="42"/>
      <c r="D406" s="42"/>
      <c r="E406" s="42"/>
      <c r="F406" s="54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>
      <c r="A407" s="42"/>
      <c r="B407" s="42"/>
      <c r="C407" s="42"/>
      <c r="D407" s="42"/>
      <c r="E407" s="42"/>
      <c r="F407" s="54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>
      <c r="A408" s="42"/>
      <c r="B408" s="42"/>
      <c r="C408" s="42"/>
      <c r="D408" s="42"/>
      <c r="E408" s="42"/>
      <c r="F408" s="54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>
      <c r="A409" s="42"/>
      <c r="B409" s="42"/>
      <c r="C409" s="42"/>
      <c r="D409" s="42"/>
      <c r="E409" s="42"/>
      <c r="F409" s="54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>
      <c r="A410" s="42"/>
      <c r="B410" s="42"/>
      <c r="C410" s="42"/>
      <c r="D410" s="42"/>
      <c r="E410" s="42"/>
      <c r="F410" s="54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>
      <c r="A411" s="42"/>
      <c r="B411" s="42"/>
      <c r="C411" s="42"/>
      <c r="D411" s="42"/>
      <c r="E411" s="42"/>
      <c r="F411" s="54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>
      <c r="A412" s="42"/>
      <c r="B412" s="42"/>
      <c r="C412" s="42"/>
      <c r="D412" s="42"/>
      <c r="E412" s="42"/>
      <c r="F412" s="54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>
      <c r="A413" s="42"/>
      <c r="B413" s="42"/>
      <c r="C413" s="42"/>
      <c r="D413" s="42"/>
      <c r="E413" s="42"/>
      <c r="F413" s="54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>
      <c r="A414" s="42"/>
      <c r="B414" s="42"/>
      <c r="C414" s="42"/>
      <c r="D414" s="42"/>
      <c r="E414" s="42"/>
      <c r="F414" s="54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>
      <c r="A415" s="42"/>
      <c r="B415" s="42"/>
      <c r="C415" s="42"/>
      <c r="D415" s="42"/>
      <c r="E415" s="42"/>
      <c r="F415" s="54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>
      <c r="A416" s="42"/>
      <c r="B416" s="42"/>
      <c r="C416" s="42"/>
      <c r="D416" s="42"/>
      <c r="E416" s="42"/>
      <c r="F416" s="54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>
      <c r="A417" s="42"/>
      <c r="B417" s="42"/>
      <c r="C417" s="42"/>
      <c r="D417" s="42"/>
      <c r="E417" s="42"/>
      <c r="F417" s="54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>
      <c r="A418" s="42"/>
      <c r="B418" s="42"/>
      <c r="C418" s="42"/>
      <c r="D418" s="42"/>
      <c r="E418" s="42"/>
      <c r="F418" s="54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>
      <c r="A419" s="42"/>
      <c r="B419" s="42"/>
      <c r="C419" s="42"/>
      <c r="D419" s="42"/>
      <c r="E419" s="42"/>
      <c r="F419" s="54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>
      <c r="A420" s="42"/>
      <c r="B420" s="42"/>
      <c r="C420" s="42"/>
      <c r="D420" s="42"/>
      <c r="E420" s="42"/>
      <c r="F420" s="54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>
      <c r="A421" s="42"/>
      <c r="B421" s="42"/>
      <c r="C421" s="42"/>
      <c r="D421" s="42"/>
      <c r="E421" s="42"/>
      <c r="F421" s="54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>
      <c r="A422" s="42"/>
      <c r="B422" s="42"/>
      <c r="C422" s="42"/>
      <c r="D422" s="42"/>
      <c r="E422" s="42"/>
      <c r="F422" s="54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>
      <c r="A423" s="42"/>
      <c r="B423" s="42"/>
      <c r="C423" s="42"/>
      <c r="D423" s="42"/>
      <c r="E423" s="42"/>
      <c r="F423" s="54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>
      <c r="A424" s="42"/>
      <c r="B424" s="42"/>
      <c r="C424" s="42"/>
      <c r="D424" s="42"/>
      <c r="E424" s="42"/>
      <c r="F424" s="54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>
      <c r="A425" s="42"/>
      <c r="B425" s="42"/>
      <c r="C425" s="42"/>
      <c r="D425" s="42"/>
      <c r="E425" s="42"/>
      <c r="F425" s="54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>
      <c r="A426" s="42"/>
      <c r="B426" s="42"/>
      <c r="C426" s="42"/>
      <c r="D426" s="42"/>
      <c r="E426" s="42"/>
      <c r="F426" s="54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>
      <c r="A427" s="42"/>
      <c r="B427" s="42"/>
      <c r="C427" s="42"/>
      <c r="D427" s="42"/>
      <c r="E427" s="42"/>
      <c r="F427" s="54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>
      <c r="A428" s="42"/>
      <c r="B428" s="42"/>
      <c r="C428" s="42"/>
      <c r="D428" s="42"/>
      <c r="E428" s="42"/>
      <c r="F428" s="54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>
      <c r="A429" s="42"/>
      <c r="B429" s="42"/>
      <c r="C429" s="42"/>
      <c r="D429" s="42"/>
      <c r="E429" s="42"/>
      <c r="F429" s="54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>
      <c r="A430" s="42"/>
      <c r="B430" s="42"/>
      <c r="C430" s="42"/>
      <c r="D430" s="42"/>
      <c r="E430" s="42"/>
      <c r="F430" s="54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>
      <c r="A431" s="42"/>
      <c r="B431" s="42"/>
      <c r="C431" s="42"/>
      <c r="D431" s="42"/>
      <c r="E431" s="42"/>
      <c r="F431" s="54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>
      <c r="A432" s="42"/>
      <c r="B432" s="42"/>
      <c r="C432" s="42"/>
      <c r="D432" s="42"/>
      <c r="E432" s="42"/>
      <c r="F432" s="54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>
      <c r="A433" s="42"/>
      <c r="B433" s="42"/>
      <c r="C433" s="42"/>
      <c r="D433" s="42"/>
      <c r="E433" s="42"/>
      <c r="F433" s="54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>
      <c r="A434" s="42"/>
      <c r="B434" s="42"/>
      <c r="C434" s="42"/>
      <c r="D434" s="42"/>
      <c r="E434" s="42"/>
      <c r="F434" s="54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>
      <c r="A435" s="42"/>
      <c r="B435" s="42"/>
      <c r="C435" s="42"/>
      <c r="D435" s="42"/>
      <c r="E435" s="42"/>
      <c r="F435" s="54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>
      <c r="A436" s="42"/>
      <c r="B436" s="42"/>
      <c r="C436" s="42"/>
      <c r="D436" s="42"/>
      <c r="E436" s="42"/>
      <c r="F436" s="54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>
      <c r="A437" s="42"/>
      <c r="B437" s="42"/>
      <c r="C437" s="42"/>
      <c r="D437" s="42"/>
      <c r="E437" s="42"/>
      <c r="F437" s="54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>
      <c r="A438" s="42"/>
      <c r="B438" s="42"/>
      <c r="C438" s="42"/>
      <c r="D438" s="42"/>
      <c r="E438" s="42"/>
      <c r="F438" s="54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>
      <c r="A439" s="42"/>
      <c r="B439" s="42"/>
      <c r="C439" s="42"/>
      <c r="D439" s="42"/>
      <c r="E439" s="42"/>
      <c r="F439" s="54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>
      <c r="A440" s="42"/>
      <c r="B440" s="42"/>
      <c r="C440" s="42"/>
      <c r="D440" s="42"/>
      <c r="E440" s="42"/>
      <c r="F440" s="54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>
      <c r="A441" s="42"/>
      <c r="B441" s="42"/>
      <c r="C441" s="42"/>
      <c r="D441" s="42"/>
      <c r="E441" s="42"/>
      <c r="F441" s="54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>
      <c r="A442" s="42"/>
      <c r="B442" s="42"/>
      <c r="C442" s="42"/>
      <c r="D442" s="42"/>
      <c r="E442" s="42"/>
      <c r="F442" s="54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>
      <c r="A443" s="42"/>
      <c r="B443" s="42"/>
      <c r="C443" s="42"/>
      <c r="D443" s="42"/>
      <c r="E443" s="42"/>
      <c r="F443" s="54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>
      <c r="A444" s="42"/>
      <c r="B444" s="42"/>
      <c r="C444" s="42"/>
      <c r="D444" s="42"/>
      <c r="E444" s="42"/>
      <c r="F444" s="54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>
      <c r="A445" s="42"/>
      <c r="B445" s="42"/>
      <c r="C445" s="42"/>
      <c r="D445" s="42"/>
      <c r="E445" s="42"/>
      <c r="F445" s="54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>
      <c r="A446" s="42"/>
      <c r="B446" s="42"/>
      <c r="C446" s="42"/>
      <c r="D446" s="42"/>
      <c r="E446" s="42"/>
      <c r="F446" s="54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>
      <c r="A447" s="42"/>
      <c r="B447" s="42"/>
      <c r="C447" s="42"/>
      <c r="D447" s="42"/>
      <c r="E447" s="42"/>
      <c r="F447" s="54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>
      <c r="A448" s="42"/>
      <c r="B448" s="42"/>
      <c r="C448" s="42"/>
      <c r="D448" s="42"/>
      <c r="E448" s="42"/>
      <c r="F448" s="54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>
      <c r="A449" s="42"/>
      <c r="B449" s="42"/>
      <c r="C449" s="42"/>
      <c r="D449" s="42"/>
      <c r="E449" s="42"/>
      <c r="F449" s="54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>
      <c r="A450" s="42"/>
      <c r="B450" s="42"/>
      <c r="C450" s="42"/>
      <c r="D450" s="42"/>
      <c r="E450" s="42"/>
      <c r="F450" s="54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>
      <c r="A451" s="42"/>
      <c r="B451" s="42"/>
      <c r="C451" s="42"/>
      <c r="D451" s="42"/>
      <c r="E451" s="42"/>
      <c r="F451" s="54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>
      <c r="A452" s="42"/>
      <c r="B452" s="42"/>
      <c r="C452" s="42"/>
      <c r="D452" s="42"/>
      <c r="E452" s="42"/>
      <c r="F452" s="54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>
      <c r="A453" s="42"/>
      <c r="B453" s="42"/>
      <c r="C453" s="42"/>
      <c r="D453" s="42"/>
      <c r="E453" s="42"/>
      <c r="F453" s="54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>
      <c r="A454" s="42"/>
      <c r="B454" s="42"/>
      <c r="C454" s="42"/>
      <c r="D454" s="42"/>
      <c r="E454" s="42"/>
      <c r="F454" s="54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>
      <c r="A455" s="42"/>
      <c r="B455" s="42"/>
      <c r="C455" s="42"/>
      <c r="D455" s="42"/>
      <c r="E455" s="42"/>
      <c r="F455" s="54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>
      <c r="A456" s="42"/>
      <c r="B456" s="42"/>
      <c r="C456" s="42"/>
      <c r="D456" s="42"/>
      <c r="E456" s="42"/>
      <c r="F456" s="54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>
      <c r="A457" s="42"/>
      <c r="B457" s="42"/>
      <c r="C457" s="42"/>
      <c r="D457" s="42"/>
      <c r="E457" s="42"/>
      <c r="F457" s="54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>
      <c r="A458" s="42"/>
      <c r="B458" s="42"/>
      <c r="C458" s="42"/>
      <c r="D458" s="42"/>
      <c r="E458" s="42"/>
      <c r="F458" s="54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>
      <c r="A459" s="42"/>
      <c r="B459" s="42"/>
      <c r="C459" s="42"/>
      <c r="D459" s="42"/>
      <c r="E459" s="42"/>
      <c r="F459" s="54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>
      <c r="A460" s="42"/>
      <c r="B460" s="42"/>
      <c r="C460" s="42"/>
      <c r="D460" s="42"/>
      <c r="E460" s="42"/>
      <c r="F460" s="54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>
      <c r="A461" s="42"/>
      <c r="B461" s="42"/>
      <c r="C461" s="42"/>
      <c r="D461" s="42"/>
      <c r="E461" s="42"/>
      <c r="F461" s="54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>
      <c r="A462" s="42"/>
      <c r="B462" s="42"/>
      <c r="C462" s="42"/>
      <c r="D462" s="42"/>
      <c r="E462" s="42"/>
      <c r="F462" s="54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>
      <c r="A463" s="42"/>
      <c r="B463" s="42"/>
      <c r="C463" s="42"/>
      <c r="D463" s="42"/>
      <c r="E463" s="42"/>
      <c r="F463" s="54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>
      <c r="A464" s="42"/>
      <c r="B464" s="42"/>
      <c r="C464" s="42"/>
      <c r="D464" s="42"/>
      <c r="E464" s="42"/>
      <c r="F464" s="54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>
      <c r="A465" s="42"/>
      <c r="B465" s="42"/>
      <c r="C465" s="42"/>
      <c r="D465" s="42"/>
      <c r="E465" s="42"/>
      <c r="F465" s="54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>
      <c r="A466" s="42"/>
      <c r="B466" s="42"/>
      <c r="C466" s="42"/>
      <c r="D466" s="42"/>
      <c r="E466" s="42"/>
      <c r="F466" s="54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>
      <c r="A467" s="42"/>
      <c r="B467" s="42"/>
      <c r="C467" s="42"/>
      <c r="D467" s="42"/>
      <c r="E467" s="42"/>
      <c r="F467" s="54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>
      <c r="A468" s="42"/>
      <c r="B468" s="42"/>
      <c r="C468" s="42"/>
      <c r="D468" s="42"/>
      <c r="E468" s="42"/>
      <c r="F468" s="54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>
      <c r="A469" s="42"/>
      <c r="B469" s="42"/>
      <c r="C469" s="42"/>
      <c r="D469" s="42"/>
      <c r="E469" s="42"/>
      <c r="F469" s="54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>
      <c r="A470" s="42"/>
      <c r="B470" s="42"/>
      <c r="C470" s="42"/>
      <c r="D470" s="42"/>
      <c r="E470" s="42"/>
      <c r="F470" s="54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>
      <c r="A471" s="42"/>
      <c r="B471" s="42"/>
      <c r="C471" s="42"/>
      <c r="D471" s="42"/>
      <c r="E471" s="42"/>
      <c r="F471" s="54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>
      <c r="A472" s="42"/>
      <c r="B472" s="42"/>
      <c r="C472" s="42"/>
      <c r="D472" s="42"/>
      <c r="E472" s="42"/>
      <c r="F472" s="54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>
      <c r="A473" s="42"/>
      <c r="B473" s="42"/>
      <c r="C473" s="42"/>
      <c r="D473" s="42"/>
      <c r="E473" s="42"/>
      <c r="F473" s="54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>
      <c r="A474" s="42"/>
      <c r="B474" s="42"/>
      <c r="C474" s="42"/>
      <c r="D474" s="42"/>
      <c r="E474" s="42"/>
      <c r="F474" s="54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>
      <c r="A475" s="42"/>
      <c r="B475" s="42"/>
      <c r="C475" s="42"/>
      <c r="D475" s="42"/>
      <c r="E475" s="42"/>
      <c r="F475" s="54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>
      <c r="A476" s="42"/>
      <c r="B476" s="42"/>
      <c r="C476" s="42"/>
      <c r="D476" s="42"/>
      <c r="E476" s="42"/>
      <c r="F476" s="54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>
      <c r="A477" s="42"/>
      <c r="B477" s="42"/>
      <c r="C477" s="42"/>
      <c r="D477" s="42"/>
      <c r="E477" s="42"/>
      <c r="F477" s="54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>
      <c r="A478" s="42"/>
      <c r="B478" s="42"/>
      <c r="C478" s="42"/>
      <c r="D478" s="42"/>
      <c r="E478" s="42"/>
      <c r="F478" s="54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>
      <c r="A479" s="42"/>
      <c r="B479" s="42"/>
      <c r="C479" s="42"/>
      <c r="D479" s="42"/>
      <c r="E479" s="42"/>
      <c r="F479" s="54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>
      <c r="A480" s="42"/>
      <c r="B480" s="42"/>
      <c r="C480" s="42"/>
      <c r="D480" s="42"/>
      <c r="E480" s="42"/>
      <c r="F480" s="54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>
      <c r="A481" s="42"/>
      <c r="B481" s="42"/>
      <c r="C481" s="42"/>
      <c r="D481" s="42"/>
      <c r="E481" s="42"/>
      <c r="F481" s="54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>
      <c r="A482" s="42"/>
      <c r="B482" s="42"/>
      <c r="C482" s="42"/>
      <c r="D482" s="42"/>
      <c r="E482" s="42"/>
      <c r="F482" s="54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>
      <c r="A483" s="42"/>
      <c r="B483" s="42"/>
      <c r="C483" s="42"/>
      <c r="D483" s="42"/>
      <c r="E483" s="42"/>
      <c r="F483" s="54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>
      <c r="A484" s="42"/>
      <c r="B484" s="42"/>
      <c r="C484" s="42"/>
      <c r="D484" s="42"/>
      <c r="E484" s="42"/>
      <c r="F484" s="54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>
      <c r="A485" s="42"/>
      <c r="B485" s="42"/>
      <c r="C485" s="42"/>
      <c r="D485" s="42"/>
      <c r="E485" s="42"/>
      <c r="F485" s="54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>
      <c r="A486" s="42"/>
      <c r="B486" s="42"/>
      <c r="C486" s="42"/>
      <c r="D486" s="42"/>
      <c r="E486" s="42"/>
      <c r="F486" s="54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>
      <c r="A487" s="42"/>
      <c r="B487" s="42"/>
      <c r="C487" s="42"/>
      <c r="D487" s="42"/>
      <c r="E487" s="42"/>
      <c r="F487" s="54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>
      <c r="A488" s="42"/>
      <c r="B488" s="42"/>
      <c r="C488" s="42"/>
      <c r="D488" s="42"/>
      <c r="E488" s="42"/>
      <c r="F488" s="54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>
      <c r="A489" s="42"/>
      <c r="B489" s="42"/>
      <c r="C489" s="42"/>
      <c r="D489" s="42"/>
      <c r="E489" s="42"/>
      <c r="F489" s="54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>
      <c r="A490" s="42"/>
      <c r="B490" s="42"/>
      <c r="C490" s="42"/>
      <c r="D490" s="42"/>
      <c r="E490" s="42"/>
      <c r="F490" s="54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>
      <c r="A491" s="42"/>
      <c r="B491" s="42"/>
      <c r="C491" s="42"/>
      <c r="D491" s="42"/>
      <c r="E491" s="42"/>
      <c r="F491" s="54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>
      <c r="A492" s="42"/>
      <c r="B492" s="42"/>
      <c r="C492" s="42"/>
      <c r="D492" s="42"/>
      <c r="E492" s="42"/>
      <c r="F492" s="54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>
      <c r="A493" s="42"/>
      <c r="B493" s="42"/>
      <c r="C493" s="42"/>
      <c r="D493" s="42"/>
      <c r="E493" s="42"/>
      <c r="F493" s="54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>
      <c r="A494" s="42"/>
      <c r="B494" s="42"/>
      <c r="C494" s="42"/>
      <c r="D494" s="42"/>
      <c r="E494" s="42"/>
      <c r="F494" s="54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>
      <c r="A495" s="42"/>
      <c r="B495" s="42"/>
      <c r="C495" s="42"/>
      <c r="D495" s="42"/>
      <c r="E495" s="42"/>
      <c r="F495" s="54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>
      <c r="A496" s="42"/>
      <c r="B496" s="42"/>
      <c r="C496" s="42"/>
      <c r="D496" s="42"/>
      <c r="E496" s="42"/>
      <c r="F496" s="54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>
      <c r="A497" s="42"/>
      <c r="B497" s="42"/>
      <c r="C497" s="42"/>
      <c r="D497" s="42"/>
      <c r="E497" s="42"/>
      <c r="F497" s="54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>
      <c r="A498" s="42"/>
      <c r="B498" s="42"/>
      <c r="C498" s="42"/>
      <c r="D498" s="42"/>
      <c r="E498" s="42"/>
      <c r="F498" s="54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>
      <c r="A499" s="42"/>
      <c r="B499" s="42"/>
      <c r="C499" s="42"/>
      <c r="D499" s="42"/>
      <c r="E499" s="42"/>
      <c r="F499" s="54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>
      <c r="A500" s="42"/>
      <c r="B500" s="42"/>
      <c r="C500" s="42"/>
      <c r="D500" s="42"/>
      <c r="E500" s="42"/>
      <c r="F500" s="54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>
      <c r="A501" s="42"/>
      <c r="B501" s="42"/>
      <c r="C501" s="42"/>
      <c r="D501" s="42"/>
      <c r="E501" s="42"/>
      <c r="F501" s="54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>
      <c r="A502" s="42"/>
      <c r="B502" s="42"/>
      <c r="C502" s="42"/>
      <c r="D502" s="42"/>
      <c r="E502" s="42"/>
      <c r="F502" s="54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>
      <c r="A503" s="42"/>
      <c r="B503" s="42"/>
      <c r="C503" s="42"/>
      <c r="D503" s="42"/>
      <c r="E503" s="42"/>
      <c r="F503" s="54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>
      <c r="A504" s="42"/>
      <c r="B504" s="42"/>
      <c r="C504" s="42"/>
      <c r="D504" s="42"/>
      <c r="E504" s="42"/>
      <c r="F504" s="54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>
      <c r="A505" s="42"/>
      <c r="B505" s="42"/>
      <c r="C505" s="42"/>
      <c r="D505" s="42"/>
      <c r="E505" s="42"/>
      <c r="F505" s="54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>
      <c r="A506" s="42"/>
      <c r="B506" s="42"/>
      <c r="C506" s="42"/>
      <c r="D506" s="42"/>
      <c r="E506" s="42"/>
      <c r="F506" s="54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>
      <c r="A507" s="42"/>
      <c r="B507" s="42"/>
      <c r="C507" s="42"/>
      <c r="D507" s="42"/>
      <c r="E507" s="42"/>
      <c r="F507" s="54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>
      <c r="A508" s="42"/>
      <c r="B508" s="42"/>
      <c r="C508" s="42"/>
      <c r="D508" s="42"/>
      <c r="E508" s="42"/>
      <c r="F508" s="54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>
      <c r="A509" s="42"/>
      <c r="B509" s="42"/>
      <c r="C509" s="42"/>
      <c r="D509" s="42"/>
      <c r="E509" s="42"/>
      <c r="F509" s="54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>
      <c r="A510" s="42"/>
      <c r="B510" s="42"/>
      <c r="C510" s="42"/>
      <c r="D510" s="42"/>
      <c r="E510" s="42"/>
      <c r="F510" s="54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>
      <c r="A511" s="42"/>
      <c r="B511" s="42"/>
      <c r="C511" s="42"/>
      <c r="D511" s="42"/>
      <c r="E511" s="42"/>
      <c r="F511" s="54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>
      <c r="A512" s="42"/>
      <c r="B512" s="42"/>
      <c r="C512" s="42"/>
      <c r="D512" s="42"/>
      <c r="E512" s="42"/>
      <c r="F512" s="54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>
      <c r="A513" s="42"/>
      <c r="B513" s="42"/>
      <c r="C513" s="42"/>
      <c r="D513" s="42"/>
      <c r="E513" s="42"/>
      <c r="F513" s="54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>
      <c r="A514" s="42"/>
      <c r="B514" s="42"/>
      <c r="C514" s="42"/>
      <c r="D514" s="42"/>
      <c r="E514" s="42"/>
      <c r="F514" s="54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>
      <c r="A515" s="42"/>
      <c r="B515" s="42"/>
      <c r="C515" s="42"/>
      <c r="D515" s="42"/>
      <c r="E515" s="42"/>
      <c r="F515" s="54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>
      <c r="A516" s="42"/>
      <c r="B516" s="42"/>
      <c r="C516" s="42"/>
      <c r="D516" s="42"/>
      <c r="E516" s="42"/>
      <c r="F516" s="54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>
      <c r="A517" s="42"/>
      <c r="B517" s="42"/>
      <c r="C517" s="42"/>
      <c r="D517" s="42"/>
      <c r="E517" s="42"/>
      <c r="F517" s="54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>
      <c r="A518" s="42"/>
      <c r="B518" s="42"/>
      <c r="C518" s="42"/>
      <c r="D518" s="42"/>
      <c r="E518" s="42"/>
      <c r="F518" s="54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>
      <c r="A519" s="42"/>
      <c r="B519" s="42"/>
      <c r="C519" s="42"/>
      <c r="D519" s="42"/>
      <c r="E519" s="42"/>
      <c r="F519" s="54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>
      <c r="A520" s="42"/>
      <c r="B520" s="42"/>
      <c r="C520" s="42"/>
      <c r="D520" s="42"/>
      <c r="E520" s="42"/>
      <c r="F520" s="54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>
      <c r="A521" s="42"/>
      <c r="B521" s="42"/>
      <c r="C521" s="42"/>
      <c r="D521" s="42"/>
      <c r="E521" s="42"/>
      <c r="F521" s="54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>
      <c r="A522" s="42"/>
      <c r="B522" s="42"/>
      <c r="C522" s="42"/>
      <c r="D522" s="42"/>
      <c r="E522" s="42"/>
      <c r="F522" s="54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>
      <c r="A523" s="42"/>
      <c r="B523" s="42"/>
      <c r="C523" s="42"/>
      <c r="D523" s="42"/>
      <c r="E523" s="42"/>
      <c r="F523" s="54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>
      <c r="A524" s="42"/>
      <c r="B524" s="42"/>
      <c r="C524" s="42"/>
      <c r="D524" s="42"/>
      <c r="E524" s="42"/>
      <c r="F524" s="54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>
      <c r="A525" s="42"/>
      <c r="B525" s="42"/>
      <c r="C525" s="42"/>
      <c r="D525" s="42"/>
      <c r="E525" s="42"/>
      <c r="F525" s="54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>
      <c r="A526" s="42"/>
      <c r="B526" s="42"/>
      <c r="C526" s="42"/>
      <c r="D526" s="42"/>
      <c r="E526" s="42"/>
      <c r="F526" s="54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>
      <c r="A527" s="42"/>
      <c r="B527" s="42"/>
      <c r="C527" s="42"/>
      <c r="D527" s="42"/>
      <c r="E527" s="42"/>
      <c r="F527" s="54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>
      <c r="A528" s="42"/>
      <c r="B528" s="42"/>
      <c r="C528" s="42"/>
      <c r="D528" s="42"/>
      <c r="E528" s="42"/>
      <c r="F528" s="54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>
      <c r="A529" s="42"/>
      <c r="B529" s="42"/>
      <c r="C529" s="42"/>
      <c r="D529" s="42"/>
      <c r="E529" s="42"/>
      <c r="F529" s="54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>
      <c r="A530" s="42"/>
      <c r="B530" s="42"/>
      <c r="C530" s="42"/>
      <c r="D530" s="42"/>
      <c r="E530" s="42"/>
      <c r="F530" s="54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>
      <c r="A531" s="42"/>
      <c r="B531" s="42"/>
      <c r="C531" s="42"/>
      <c r="D531" s="42"/>
      <c r="E531" s="42"/>
      <c r="F531" s="54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>
      <c r="A532" s="42"/>
      <c r="B532" s="42"/>
      <c r="C532" s="42"/>
      <c r="D532" s="42"/>
      <c r="E532" s="42"/>
      <c r="F532" s="54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>
      <c r="A533" s="42"/>
      <c r="B533" s="42"/>
      <c r="C533" s="42"/>
      <c r="D533" s="42"/>
      <c r="E533" s="42"/>
      <c r="F533" s="54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>
      <c r="A534" s="42"/>
      <c r="B534" s="42"/>
      <c r="C534" s="42"/>
      <c r="D534" s="42"/>
      <c r="E534" s="42"/>
      <c r="F534" s="54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>
      <c r="A535" s="42"/>
      <c r="B535" s="42"/>
      <c r="C535" s="42"/>
      <c r="D535" s="42"/>
      <c r="E535" s="42"/>
      <c r="F535" s="54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>
      <c r="A536" s="42"/>
      <c r="B536" s="42"/>
      <c r="C536" s="42"/>
      <c r="D536" s="42"/>
      <c r="E536" s="42"/>
      <c r="F536" s="54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>
      <c r="A537" s="42"/>
      <c r="B537" s="42"/>
      <c r="C537" s="42"/>
      <c r="D537" s="42"/>
      <c r="E537" s="42"/>
      <c r="F537" s="54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>
      <c r="A538" s="42"/>
      <c r="B538" s="42"/>
      <c r="C538" s="42"/>
      <c r="D538" s="42"/>
      <c r="E538" s="42"/>
      <c r="F538" s="54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>
      <c r="A539" s="42"/>
      <c r="B539" s="42"/>
      <c r="C539" s="42"/>
      <c r="D539" s="42"/>
      <c r="E539" s="42"/>
      <c r="F539" s="54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>
      <c r="A540" s="42"/>
      <c r="B540" s="42"/>
      <c r="C540" s="42"/>
      <c r="D540" s="42"/>
      <c r="E540" s="42"/>
      <c r="F540" s="54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>
      <c r="A541" s="42"/>
      <c r="B541" s="42"/>
      <c r="C541" s="42"/>
      <c r="D541" s="42"/>
      <c r="E541" s="42"/>
      <c r="F541" s="54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>
      <c r="A542" s="42"/>
      <c r="B542" s="42"/>
      <c r="C542" s="42"/>
      <c r="D542" s="42"/>
      <c r="E542" s="42"/>
      <c r="F542" s="54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>
      <c r="A543" s="42"/>
      <c r="B543" s="42"/>
      <c r="C543" s="42"/>
      <c r="D543" s="42"/>
      <c r="E543" s="42"/>
      <c r="F543" s="54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>
      <c r="A544" s="42"/>
      <c r="B544" s="42"/>
      <c r="C544" s="42"/>
      <c r="D544" s="42"/>
      <c r="E544" s="42"/>
      <c r="F544" s="54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>
      <c r="A545" s="42"/>
      <c r="B545" s="42"/>
      <c r="C545" s="42"/>
      <c r="D545" s="42"/>
      <c r="E545" s="42"/>
      <c r="F545" s="54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>
      <c r="A546" s="42"/>
      <c r="B546" s="42"/>
      <c r="C546" s="42"/>
      <c r="D546" s="42"/>
      <c r="E546" s="42"/>
      <c r="F546" s="54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>
      <c r="A547" s="42"/>
      <c r="B547" s="42"/>
      <c r="C547" s="42"/>
      <c r="D547" s="42"/>
      <c r="E547" s="42"/>
      <c r="F547" s="54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>
      <c r="A548" s="42"/>
      <c r="B548" s="42"/>
      <c r="C548" s="42"/>
      <c r="D548" s="42"/>
      <c r="E548" s="42"/>
      <c r="F548" s="54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>
      <c r="A549" s="42"/>
      <c r="B549" s="42"/>
      <c r="C549" s="42"/>
      <c r="D549" s="42"/>
      <c r="E549" s="42"/>
      <c r="F549" s="54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>
      <c r="A550" s="42"/>
      <c r="B550" s="42"/>
      <c r="C550" s="42"/>
      <c r="D550" s="42"/>
      <c r="E550" s="42"/>
      <c r="F550" s="54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>
      <c r="A551" s="42"/>
      <c r="B551" s="42"/>
      <c r="C551" s="42"/>
      <c r="D551" s="42"/>
      <c r="E551" s="42"/>
      <c r="F551" s="54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>
      <c r="A552" s="42"/>
      <c r="B552" s="42"/>
      <c r="C552" s="42"/>
      <c r="D552" s="42"/>
      <c r="E552" s="42"/>
      <c r="F552" s="54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>
      <c r="A553" s="42"/>
      <c r="B553" s="42"/>
      <c r="C553" s="42"/>
      <c r="D553" s="42"/>
      <c r="E553" s="42"/>
      <c r="F553" s="54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>
      <c r="A554" s="42"/>
      <c r="B554" s="42"/>
      <c r="C554" s="42"/>
      <c r="D554" s="42"/>
      <c r="E554" s="42"/>
      <c r="F554" s="54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>
      <c r="A555" s="42"/>
      <c r="B555" s="42"/>
      <c r="C555" s="42"/>
      <c r="D555" s="42"/>
      <c r="E555" s="42"/>
      <c r="F555" s="54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>
      <c r="A556" s="42"/>
      <c r="B556" s="42"/>
      <c r="C556" s="42"/>
      <c r="D556" s="42"/>
      <c r="E556" s="42"/>
      <c r="F556" s="54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>
      <c r="A557" s="42"/>
      <c r="B557" s="42"/>
      <c r="C557" s="42"/>
      <c r="D557" s="42"/>
      <c r="E557" s="42"/>
      <c r="F557" s="54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>
      <c r="A558" s="42"/>
      <c r="B558" s="42"/>
      <c r="C558" s="42"/>
      <c r="D558" s="42"/>
      <c r="E558" s="42"/>
      <c r="F558" s="54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>
      <c r="A559" s="42"/>
      <c r="B559" s="42"/>
      <c r="C559" s="42"/>
      <c r="D559" s="42"/>
      <c r="E559" s="42"/>
      <c r="F559" s="54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>
      <c r="A560" s="42"/>
      <c r="B560" s="42"/>
      <c r="C560" s="42"/>
      <c r="D560" s="42"/>
      <c r="E560" s="42"/>
      <c r="F560" s="54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>
      <c r="A561" s="42"/>
      <c r="B561" s="42"/>
      <c r="C561" s="42"/>
      <c r="D561" s="42"/>
      <c r="E561" s="42"/>
      <c r="F561" s="54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>
      <c r="A562" s="42"/>
      <c r="B562" s="42"/>
      <c r="C562" s="42"/>
      <c r="D562" s="42"/>
      <c r="E562" s="42"/>
      <c r="F562" s="54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>
      <c r="A563" s="42"/>
      <c r="B563" s="42"/>
      <c r="C563" s="42"/>
      <c r="D563" s="42"/>
      <c r="E563" s="42"/>
      <c r="F563" s="54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>
      <c r="A564" s="42"/>
      <c r="B564" s="42"/>
      <c r="C564" s="42"/>
      <c r="D564" s="42"/>
      <c r="E564" s="42"/>
      <c r="F564" s="54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>
      <c r="A565" s="42"/>
      <c r="B565" s="42"/>
      <c r="C565" s="42"/>
      <c r="D565" s="42"/>
      <c r="E565" s="42"/>
      <c r="F565" s="54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>
      <c r="A566" s="42"/>
      <c r="B566" s="42"/>
      <c r="C566" s="42"/>
      <c r="D566" s="42"/>
      <c r="E566" s="42"/>
      <c r="F566" s="54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>
      <c r="A567" s="42"/>
      <c r="B567" s="42"/>
      <c r="C567" s="42"/>
      <c r="D567" s="42"/>
      <c r="E567" s="42"/>
      <c r="F567" s="54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>
      <c r="A568" s="42"/>
      <c r="B568" s="42"/>
      <c r="C568" s="42"/>
      <c r="D568" s="42"/>
      <c r="E568" s="42"/>
      <c r="F568" s="54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>
      <c r="A569" s="42"/>
      <c r="B569" s="42"/>
      <c r="C569" s="42"/>
      <c r="D569" s="42"/>
      <c r="E569" s="42"/>
      <c r="F569" s="54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>
      <c r="A570" s="42"/>
      <c r="B570" s="42"/>
      <c r="C570" s="42"/>
      <c r="D570" s="42"/>
      <c r="E570" s="42"/>
      <c r="F570" s="54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>
      <c r="A571" s="42"/>
      <c r="B571" s="42"/>
      <c r="C571" s="42"/>
      <c r="D571" s="42"/>
      <c r="E571" s="42"/>
      <c r="F571" s="54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>
      <c r="A572" s="42"/>
      <c r="B572" s="42"/>
      <c r="C572" s="42"/>
      <c r="D572" s="42"/>
      <c r="E572" s="42"/>
      <c r="F572" s="54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>
      <c r="A573" s="42"/>
      <c r="B573" s="42"/>
      <c r="C573" s="42"/>
      <c r="D573" s="42"/>
      <c r="E573" s="42"/>
      <c r="F573" s="54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>
      <c r="A574" s="42"/>
      <c r="B574" s="42"/>
      <c r="C574" s="42"/>
      <c r="D574" s="42"/>
      <c r="E574" s="42"/>
      <c r="F574" s="54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>
      <c r="A575" s="42"/>
      <c r="B575" s="42"/>
      <c r="C575" s="42"/>
      <c r="D575" s="42"/>
      <c r="E575" s="42"/>
      <c r="F575" s="54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>
      <c r="A576" s="42"/>
      <c r="B576" s="42"/>
      <c r="C576" s="42"/>
      <c r="D576" s="42"/>
      <c r="E576" s="42"/>
      <c r="F576" s="54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>
      <c r="A577" s="42"/>
      <c r="B577" s="42"/>
      <c r="C577" s="42"/>
      <c r="D577" s="42"/>
      <c r="E577" s="42"/>
      <c r="F577" s="54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>
      <c r="A578" s="42"/>
      <c r="B578" s="42"/>
      <c r="C578" s="42"/>
      <c r="D578" s="42"/>
      <c r="E578" s="42"/>
      <c r="F578" s="54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>
      <c r="A579" s="42"/>
      <c r="B579" s="42"/>
      <c r="C579" s="42"/>
      <c r="D579" s="42"/>
      <c r="E579" s="42"/>
      <c r="F579" s="54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>
      <c r="A580" s="42"/>
      <c r="B580" s="42"/>
      <c r="C580" s="42"/>
      <c r="D580" s="42"/>
      <c r="E580" s="42"/>
      <c r="F580" s="54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>
      <c r="A581" s="42"/>
      <c r="B581" s="42"/>
      <c r="C581" s="42"/>
      <c r="D581" s="42"/>
      <c r="E581" s="42"/>
      <c r="F581" s="54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>
      <c r="A582" s="42"/>
      <c r="B582" s="42"/>
      <c r="C582" s="42"/>
      <c r="D582" s="42"/>
      <c r="E582" s="42"/>
      <c r="F582" s="54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>
      <c r="A583" s="42"/>
      <c r="B583" s="42"/>
      <c r="C583" s="42"/>
      <c r="D583" s="42"/>
      <c r="E583" s="42"/>
      <c r="F583" s="54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>
      <c r="A584" s="42"/>
      <c r="B584" s="42"/>
      <c r="C584" s="42"/>
      <c r="D584" s="42"/>
      <c r="E584" s="42"/>
      <c r="F584" s="54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>
      <c r="A585" s="42"/>
      <c r="B585" s="42"/>
      <c r="C585" s="42"/>
      <c r="D585" s="42"/>
      <c r="E585" s="42"/>
      <c r="F585" s="54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>
      <c r="A586" s="42"/>
      <c r="B586" s="42"/>
      <c r="C586" s="42"/>
      <c r="D586" s="42"/>
      <c r="E586" s="42"/>
      <c r="F586" s="54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>
      <c r="A587" s="42"/>
      <c r="B587" s="42"/>
      <c r="C587" s="42"/>
      <c r="D587" s="42"/>
      <c r="E587" s="42"/>
      <c r="F587" s="54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>
      <c r="A588" s="42"/>
      <c r="B588" s="42"/>
      <c r="C588" s="42"/>
      <c r="D588" s="42"/>
      <c r="E588" s="42"/>
      <c r="F588" s="54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>
      <c r="A589" s="42"/>
      <c r="B589" s="42"/>
      <c r="C589" s="42"/>
      <c r="D589" s="42"/>
      <c r="E589" s="42"/>
      <c r="F589" s="54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>
      <c r="A590" s="42"/>
      <c r="B590" s="42"/>
      <c r="C590" s="42"/>
      <c r="D590" s="42"/>
      <c r="E590" s="42"/>
      <c r="F590" s="54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>
      <c r="A591" s="42"/>
      <c r="B591" s="42"/>
      <c r="C591" s="42"/>
      <c r="D591" s="42"/>
      <c r="E591" s="42"/>
      <c r="F591" s="54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>
      <c r="A592" s="42"/>
      <c r="B592" s="42"/>
      <c r="C592" s="42"/>
      <c r="D592" s="42"/>
      <c r="E592" s="42"/>
      <c r="F592" s="54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>
      <c r="A593" s="42"/>
      <c r="B593" s="42"/>
      <c r="C593" s="42"/>
      <c r="D593" s="42"/>
      <c r="E593" s="42"/>
      <c r="F593" s="54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>
      <c r="A594" s="42"/>
      <c r="B594" s="42"/>
      <c r="C594" s="42"/>
      <c r="D594" s="42"/>
      <c r="E594" s="42"/>
      <c r="F594" s="54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>
      <c r="A595" s="42"/>
      <c r="B595" s="42"/>
      <c r="C595" s="42"/>
      <c r="D595" s="42"/>
      <c r="E595" s="42"/>
      <c r="F595" s="54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>
      <c r="A596" s="42"/>
      <c r="B596" s="42"/>
      <c r="C596" s="42"/>
      <c r="D596" s="42"/>
      <c r="E596" s="42"/>
      <c r="F596" s="54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>
      <c r="A597" s="42"/>
      <c r="B597" s="42"/>
      <c r="C597" s="42"/>
      <c r="D597" s="42"/>
      <c r="E597" s="42"/>
      <c r="F597" s="54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>
      <c r="A598" s="42"/>
      <c r="B598" s="42"/>
      <c r="C598" s="42"/>
      <c r="D598" s="42"/>
      <c r="E598" s="42"/>
      <c r="F598" s="54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>
      <c r="A599" s="42"/>
      <c r="B599" s="42"/>
      <c r="C599" s="42"/>
      <c r="D599" s="42"/>
      <c r="E599" s="42"/>
      <c r="F599" s="54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>
      <c r="A600" s="42"/>
      <c r="B600" s="42"/>
      <c r="C600" s="42"/>
      <c r="D600" s="42"/>
      <c r="E600" s="42"/>
      <c r="F600" s="54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>
      <c r="A601" s="42"/>
      <c r="B601" s="42"/>
      <c r="C601" s="42"/>
      <c r="D601" s="42"/>
      <c r="E601" s="42"/>
      <c r="F601" s="54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>
      <c r="A602" s="42"/>
      <c r="B602" s="42"/>
      <c r="C602" s="42"/>
      <c r="D602" s="42"/>
      <c r="E602" s="42"/>
      <c r="F602" s="54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>
      <c r="A603" s="42"/>
      <c r="B603" s="42"/>
      <c r="C603" s="42"/>
      <c r="D603" s="42"/>
      <c r="E603" s="42"/>
      <c r="F603" s="54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>
      <c r="A604" s="42"/>
      <c r="B604" s="42"/>
      <c r="C604" s="42"/>
      <c r="D604" s="42"/>
      <c r="E604" s="42"/>
      <c r="F604" s="54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>
      <c r="A605" s="42"/>
      <c r="B605" s="42"/>
      <c r="C605" s="42"/>
      <c r="D605" s="42"/>
      <c r="E605" s="42"/>
      <c r="F605" s="54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>
      <c r="A606" s="42"/>
      <c r="B606" s="42"/>
      <c r="C606" s="42"/>
      <c r="D606" s="42"/>
      <c r="E606" s="42"/>
      <c r="F606" s="54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>
      <c r="A607" s="42"/>
      <c r="B607" s="42"/>
      <c r="C607" s="42"/>
      <c r="D607" s="42"/>
      <c r="E607" s="42"/>
      <c r="F607" s="54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>
      <c r="A608" s="42"/>
      <c r="B608" s="42"/>
      <c r="C608" s="42"/>
      <c r="D608" s="42"/>
      <c r="E608" s="42"/>
      <c r="F608" s="54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>
      <c r="A609" s="42"/>
      <c r="B609" s="42"/>
      <c r="C609" s="42"/>
      <c r="D609" s="42"/>
      <c r="E609" s="42"/>
      <c r="F609" s="54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>
      <c r="A610" s="42"/>
      <c r="B610" s="42"/>
      <c r="C610" s="42"/>
      <c r="D610" s="42"/>
      <c r="E610" s="42"/>
      <c r="F610" s="54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>
      <c r="A611" s="42"/>
      <c r="B611" s="42"/>
      <c r="C611" s="42"/>
      <c r="D611" s="42"/>
      <c r="E611" s="42"/>
      <c r="F611" s="54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>
      <c r="A612" s="42"/>
      <c r="B612" s="42"/>
      <c r="C612" s="42"/>
      <c r="D612" s="42"/>
      <c r="E612" s="42"/>
      <c r="F612" s="54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>
      <c r="A613" s="42"/>
      <c r="B613" s="42"/>
      <c r="C613" s="42"/>
      <c r="D613" s="42"/>
      <c r="E613" s="42"/>
      <c r="F613" s="54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>
      <c r="A614" s="42"/>
      <c r="B614" s="42"/>
      <c r="C614" s="42"/>
      <c r="D614" s="42"/>
      <c r="E614" s="42"/>
      <c r="F614" s="54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>
      <c r="A615" s="42"/>
      <c r="B615" s="42"/>
      <c r="C615" s="42"/>
      <c r="D615" s="42"/>
      <c r="E615" s="42"/>
      <c r="F615" s="54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>
      <c r="A616" s="42"/>
      <c r="B616" s="42"/>
      <c r="C616" s="42"/>
      <c r="D616" s="42"/>
      <c r="E616" s="42"/>
      <c r="F616" s="54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>
      <c r="A617" s="42"/>
      <c r="B617" s="42"/>
      <c r="C617" s="42"/>
      <c r="D617" s="42"/>
      <c r="E617" s="42"/>
      <c r="F617" s="54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>
      <c r="A618" s="42"/>
      <c r="B618" s="42"/>
      <c r="C618" s="42"/>
      <c r="D618" s="42"/>
      <c r="E618" s="42"/>
      <c r="F618" s="54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>
      <c r="A619" s="42"/>
      <c r="B619" s="42"/>
      <c r="C619" s="42"/>
      <c r="D619" s="42"/>
      <c r="E619" s="42"/>
      <c r="F619" s="54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>
      <c r="A620" s="42"/>
      <c r="B620" s="42"/>
      <c r="C620" s="42"/>
      <c r="D620" s="42"/>
      <c r="E620" s="42"/>
      <c r="F620" s="54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>
      <c r="A621" s="42"/>
      <c r="B621" s="42"/>
      <c r="C621" s="42"/>
      <c r="D621" s="42"/>
      <c r="E621" s="42"/>
      <c r="F621" s="54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>
      <c r="A622" s="42"/>
      <c r="B622" s="42"/>
      <c r="C622" s="42"/>
      <c r="D622" s="42"/>
      <c r="E622" s="42"/>
      <c r="F622" s="54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>
      <c r="A623" s="42"/>
      <c r="B623" s="42"/>
      <c r="C623" s="42"/>
      <c r="D623" s="42"/>
      <c r="E623" s="42"/>
      <c r="F623" s="54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>
      <c r="A624" s="42"/>
      <c r="B624" s="42"/>
      <c r="C624" s="42"/>
      <c r="D624" s="42"/>
      <c r="E624" s="42"/>
      <c r="F624" s="54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>
      <c r="A625" s="42"/>
      <c r="B625" s="42"/>
      <c r="C625" s="42"/>
      <c r="D625" s="42"/>
      <c r="E625" s="42"/>
      <c r="F625" s="54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>
      <c r="A626" s="42"/>
      <c r="B626" s="42"/>
      <c r="C626" s="42"/>
      <c r="D626" s="42"/>
      <c r="E626" s="42"/>
      <c r="F626" s="54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>
      <c r="A627" s="42"/>
      <c r="B627" s="42"/>
      <c r="C627" s="42"/>
      <c r="D627" s="42"/>
      <c r="E627" s="42"/>
      <c r="F627" s="54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>
      <c r="A628" s="42"/>
      <c r="B628" s="42"/>
      <c r="C628" s="42"/>
      <c r="D628" s="42"/>
      <c r="E628" s="42"/>
      <c r="F628" s="54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>
      <c r="A629" s="42"/>
      <c r="B629" s="42"/>
      <c r="C629" s="42"/>
      <c r="D629" s="42"/>
      <c r="E629" s="42"/>
      <c r="F629" s="54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>
      <c r="A630" s="42"/>
      <c r="B630" s="42"/>
      <c r="C630" s="42"/>
      <c r="D630" s="42"/>
      <c r="E630" s="42"/>
      <c r="F630" s="54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>
      <c r="A631" s="42"/>
      <c r="B631" s="42"/>
      <c r="C631" s="42"/>
      <c r="D631" s="42"/>
      <c r="E631" s="42"/>
      <c r="F631" s="54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>
      <c r="A632" s="42"/>
      <c r="B632" s="42"/>
      <c r="C632" s="42"/>
      <c r="D632" s="42"/>
      <c r="E632" s="42"/>
      <c r="F632" s="54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>
      <c r="A633" s="42"/>
      <c r="B633" s="42"/>
      <c r="C633" s="42"/>
      <c r="D633" s="42"/>
      <c r="E633" s="42"/>
      <c r="F633" s="54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>
      <c r="A634" s="42"/>
      <c r="B634" s="42"/>
      <c r="C634" s="42"/>
      <c r="D634" s="42"/>
      <c r="E634" s="42"/>
      <c r="F634" s="54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>
      <c r="A635" s="42"/>
      <c r="B635" s="42"/>
      <c r="C635" s="42"/>
      <c r="D635" s="42"/>
      <c r="E635" s="42"/>
      <c r="F635" s="54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>
      <c r="A636" s="42"/>
      <c r="B636" s="42"/>
      <c r="C636" s="42"/>
      <c r="D636" s="42"/>
      <c r="E636" s="42"/>
      <c r="F636" s="54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>
      <c r="A637" s="42"/>
      <c r="B637" s="42"/>
      <c r="C637" s="42"/>
      <c r="D637" s="42"/>
      <c r="E637" s="42"/>
      <c r="F637" s="54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>
      <c r="A638" s="42"/>
      <c r="B638" s="42"/>
      <c r="C638" s="42"/>
      <c r="D638" s="42"/>
      <c r="E638" s="42"/>
      <c r="F638" s="54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>
      <c r="A639" s="42"/>
      <c r="B639" s="42"/>
      <c r="C639" s="42"/>
      <c r="D639" s="42"/>
      <c r="E639" s="42"/>
      <c r="F639" s="54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>
      <c r="A640" s="42"/>
      <c r="B640" s="42"/>
      <c r="C640" s="42"/>
      <c r="D640" s="42"/>
      <c r="E640" s="42"/>
      <c r="F640" s="54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>
      <c r="A641" s="42"/>
      <c r="B641" s="42"/>
      <c r="C641" s="42"/>
      <c r="D641" s="42"/>
      <c r="E641" s="42"/>
      <c r="F641" s="54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>
      <c r="A642" s="42"/>
      <c r="B642" s="42"/>
      <c r="C642" s="42"/>
      <c r="D642" s="42"/>
      <c r="E642" s="42"/>
      <c r="F642" s="54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>
      <c r="A643" s="42"/>
      <c r="B643" s="42"/>
      <c r="C643" s="42"/>
      <c r="D643" s="42"/>
      <c r="E643" s="42"/>
      <c r="F643" s="54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>
      <c r="A644" s="42"/>
      <c r="B644" s="42"/>
      <c r="C644" s="42"/>
      <c r="D644" s="42"/>
      <c r="E644" s="42"/>
      <c r="F644" s="54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>
      <c r="A645" s="42"/>
      <c r="B645" s="42"/>
      <c r="C645" s="42"/>
      <c r="D645" s="42"/>
      <c r="E645" s="42"/>
      <c r="F645" s="54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>
      <c r="A646" s="42"/>
      <c r="B646" s="42"/>
      <c r="C646" s="42"/>
      <c r="D646" s="42"/>
      <c r="E646" s="42"/>
      <c r="F646" s="54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>
      <c r="A647" s="42"/>
      <c r="B647" s="42"/>
      <c r="C647" s="42"/>
      <c r="D647" s="42"/>
      <c r="E647" s="42"/>
      <c r="F647" s="54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>
      <c r="A648" s="42"/>
      <c r="B648" s="42"/>
      <c r="C648" s="42"/>
      <c r="D648" s="42"/>
      <c r="E648" s="42"/>
      <c r="F648" s="54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>
      <c r="A649" s="42"/>
      <c r="B649" s="42"/>
      <c r="C649" s="42"/>
      <c r="D649" s="42"/>
      <c r="E649" s="42"/>
      <c r="F649" s="54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>
      <c r="A650" s="42"/>
      <c r="B650" s="42"/>
      <c r="C650" s="42"/>
      <c r="D650" s="42"/>
      <c r="E650" s="42"/>
      <c r="F650" s="54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>
      <c r="A651" s="42"/>
      <c r="B651" s="42"/>
      <c r="C651" s="42"/>
      <c r="D651" s="42"/>
      <c r="E651" s="42"/>
      <c r="F651" s="54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>
      <c r="A652" s="42"/>
      <c r="B652" s="42"/>
      <c r="C652" s="42"/>
      <c r="D652" s="42"/>
      <c r="E652" s="42"/>
      <c r="F652" s="54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>
      <c r="A653" s="42"/>
      <c r="B653" s="42"/>
      <c r="C653" s="42"/>
      <c r="D653" s="42"/>
      <c r="E653" s="42"/>
      <c r="F653" s="54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>
      <c r="A654" s="42"/>
      <c r="B654" s="42"/>
      <c r="C654" s="42"/>
      <c r="D654" s="42"/>
      <c r="E654" s="42"/>
      <c r="F654" s="54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>
      <c r="A655" s="42"/>
      <c r="B655" s="42"/>
      <c r="C655" s="42"/>
      <c r="D655" s="42"/>
      <c r="E655" s="42"/>
      <c r="F655" s="54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>
      <c r="A656" s="42"/>
      <c r="B656" s="42"/>
      <c r="C656" s="42"/>
      <c r="D656" s="42"/>
      <c r="E656" s="42"/>
      <c r="F656" s="54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>
      <c r="A657" s="42"/>
      <c r="B657" s="42"/>
      <c r="C657" s="42"/>
      <c r="D657" s="42"/>
      <c r="E657" s="42"/>
      <c r="F657" s="54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>
      <c r="A658" s="42"/>
      <c r="B658" s="42"/>
      <c r="C658" s="42"/>
      <c r="D658" s="42"/>
      <c r="E658" s="42"/>
      <c r="F658" s="54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>
      <c r="A659" s="42"/>
      <c r="B659" s="42"/>
      <c r="C659" s="42"/>
      <c r="D659" s="42"/>
      <c r="E659" s="42"/>
      <c r="F659" s="54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>
      <c r="A660" s="42"/>
      <c r="B660" s="42"/>
      <c r="C660" s="42"/>
      <c r="D660" s="42"/>
      <c r="E660" s="42"/>
      <c r="F660" s="54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>
      <c r="A661" s="42"/>
      <c r="B661" s="42"/>
      <c r="C661" s="42"/>
      <c r="D661" s="42"/>
      <c r="E661" s="42"/>
      <c r="F661" s="54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>
      <c r="A662" s="42"/>
      <c r="B662" s="42"/>
      <c r="C662" s="42"/>
      <c r="D662" s="42"/>
      <c r="E662" s="42"/>
      <c r="F662" s="54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>
      <c r="A663" s="42"/>
      <c r="B663" s="42"/>
      <c r="C663" s="42"/>
      <c r="D663" s="42"/>
      <c r="E663" s="42"/>
      <c r="F663" s="54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>
      <c r="A664" s="42"/>
      <c r="B664" s="42"/>
      <c r="C664" s="42"/>
      <c r="D664" s="42"/>
      <c r="E664" s="42"/>
      <c r="F664" s="54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>
      <c r="A665" s="42"/>
      <c r="B665" s="42"/>
      <c r="C665" s="42"/>
      <c r="D665" s="42"/>
      <c r="E665" s="42"/>
      <c r="F665" s="54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>
      <c r="A666" s="42"/>
      <c r="B666" s="42"/>
      <c r="C666" s="42"/>
      <c r="D666" s="42"/>
      <c r="E666" s="42"/>
      <c r="F666" s="54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>
      <c r="A667" s="42"/>
      <c r="B667" s="42"/>
      <c r="C667" s="42"/>
      <c r="D667" s="42"/>
      <c r="E667" s="42"/>
      <c r="F667" s="54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>
      <c r="A668" s="42"/>
      <c r="B668" s="42"/>
      <c r="C668" s="42"/>
      <c r="D668" s="42"/>
      <c r="E668" s="42"/>
      <c r="F668" s="54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>
      <c r="A669" s="42"/>
      <c r="B669" s="42"/>
      <c r="C669" s="42"/>
      <c r="D669" s="42"/>
      <c r="E669" s="42"/>
      <c r="F669" s="54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>
      <c r="A670" s="42"/>
      <c r="B670" s="42"/>
      <c r="C670" s="42"/>
      <c r="D670" s="42"/>
      <c r="E670" s="42"/>
      <c r="F670" s="54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>
      <c r="A671" s="42"/>
      <c r="B671" s="42"/>
      <c r="C671" s="42"/>
      <c r="D671" s="42"/>
      <c r="E671" s="42"/>
      <c r="F671" s="54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>
      <c r="A672" s="42"/>
      <c r="B672" s="42"/>
      <c r="C672" s="42"/>
      <c r="D672" s="42"/>
      <c r="E672" s="42"/>
      <c r="F672" s="54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>
      <c r="A673" s="42"/>
      <c r="B673" s="42"/>
      <c r="C673" s="42"/>
      <c r="D673" s="42"/>
      <c r="E673" s="42"/>
      <c r="F673" s="54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>
      <c r="A674" s="42"/>
      <c r="B674" s="42"/>
      <c r="C674" s="42"/>
      <c r="D674" s="42"/>
      <c r="E674" s="42"/>
      <c r="F674" s="54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>
      <c r="A675" s="42"/>
      <c r="B675" s="42"/>
      <c r="C675" s="42"/>
      <c r="D675" s="42"/>
      <c r="E675" s="42"/>
      <c r="F675" s="54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>
      <c r="A676" s="42"/>
      <c r="B676" s="42"/>
      <c r="C676" s="42"/>
      <c r="D676" s="42"/>
      <c r="E676" s="42"/>
      <c r="F676" s="54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>
      <c r="A677" s="42"/>
      <c r="B677" s="42"/>
      <c r="C677" s="42"/>
      <c r="D677" s="42"/>
      <c r="E677" s="42"/>
      <c r="F677" s="54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>
      <c r="A678" s="42"/>
      <c r="B678" s="42"/>
      <c r="C678" s="42"/>
      <c r="D678" s="42"/>
      <c r="E678" s="42"/>
      <c r="F678" s="54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>
      <c r="A679" s="42"/>
      <c r="B679" s="42"/>
      <c r="C679" s="42"/>
      <c r="D679" s="42"/>
      <c r="E679" s="42"/>
      <c r="F679" s="54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>
      <c r="A680" s="42"/>
      <c r="B680" s="42"/>
      <c r="C680" s="42"/>
      <c r="D680" s="42"/>
      <c r="E680" s="42"/>
      <c r="F680" s="54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>
      <c r="A681" s="42"/>
      <c r="B681" s="42"/>
      <c r="C681" s="42"/>
      <c r="D681" s="42"/>
      <c r="E681" s="42"/>
      <c r="F681" s="54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>
      <c r="A682" s="42"/>
      <c r="B682" s="42"/>
      <c r="C682" s="42"/>
      <c r="D682" s="42"/>
      <c r="E682" s="42"/>
      <c r="F682" s="54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>
      <c r="A683" s="42"/>
      <c r="B683" s="42"/>
      <c r="C683" s="42"/>
      <c r="D683" s="42"/>
      <c r="E683" s="42"/>
      <c r="F683" s="54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>
      <c r="A684" s="42"/>
      <c r="B684" s="42"/>
      <c r="C684" s="42"/>
      <c r="D684" s="42"/>
      <c r="E684" s="42"/>
      <c r="F684" s="54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>
      <c r="A685" s="42"/>
      <c r="B685" s="42"/>
      <c r="C685" s="42"/>
      <c r="D685" s="42"/>
      <c r="E685" s="42"/>
      <c r="F685" s="54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>
      <c r="A686" s="42"/>
      <c r="B686" s="42"/>
      <c r="C686" s="42"/>
      <c r="D686" s="42"/>
      <c r="E686" s="42"/>
      <c r="F686" s="54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>
      <c r="A687" s="42"/>
      <c r="B687" s="42"/>
      <c r="C687" s="42"/>
      <c r="D687" s="42"/>
      <c r="E687" s="42"/>
      <c r="F687" s="54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>
      <c r="A688" s="42"/>
      <c r="B688" s="42"/>
      <c r="C688" s="42"/>
      <c r="D688" s="42"/>
      <c r="E688" s="42"/>
      <c r="F688" s="54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>
      <c r="A689" s="42"/>
      <c r="B689" s="42"/>
      <c r="C689" s="42"/>
      <c r="D689" s="42"/>
      <c r="E689" s="42"/>
      <c r="F689" s="54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>
      <c r="A690" s="42"/>
      <c r="B690" s="42"/>
      <c r="C690" s="42"/>
      <c r="D690" s="42"/>
      <c r="E690" s="42"/>
      <c r="F690" s="54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>
      <c r="A691" s="42"/>
      <c r="B691" s="42"/>
      <c r="C691" s="42"/>
      <c r="D691" s="42"/>
      <c r="E691" s="42"/>
      <c r="F691" s="54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>
      <c r="A692" s="42"/>
      <c r="B692" s="42"/>
      <c r="C692" s="42"/>
      <c r="D692" s="42"/>
      <c r="E692" s="42"/>
      <c r="F692" s="54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>
      <c r="A693" s="42"/>
      <c r="B693" s="42"/>
      <c r="C693" s="42"/>
      <c r="D693" s="42"/>
      <c r="E693" s="42"/>
      <c r="F693" s="54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>
      <c r="A694" s="42"/>
      <c r="B694" s="42"/>
      <c r="C694" s="42"/>
      <c r="D694" s="42"/>
      <c r="E694" s="42"/>
      <c r="F694" s="54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>
      <c r="A695" s="42"/>
      <c r="B695" s="42"/>
      <c r="C695" s="42"/>
      <c r="D695" s="42"/>
      <c r="E695" s="42"/>
      <c r="F695" s="54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>
      <c r="A696" s="42"/>
      <c r="B696" s="42"/>
      <c r="C696" s="42"/>
      <c r="D696" s="42"/>
      <c r="E696" s="42"/>
      <c r="F696" s="54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>
      <c r="A697" s="42"/>
      <c r="B697" s="42"/>
      <c r="C697" s="42"/>
      <c r="D697" s="42"/>
      <c r="E697" s="42"/>
      <c r="F697" s="54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>
      <c r="A698" s="42"/>
      <c r="B698" s="42"/>
      <c r="C698" s="42"/>
      <c r="D698" s="42"/>
      <c r="E698" s="42"/>
      <c r="F698" s="54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>
      <c r="A699" s="42"/>
      <c r="B699" s="42"/>
      <c r="C699" s="42"/>
      <c r="D699" s="42"/>
      <c r="E699" s="42"/>
      <c r="F699" s="54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>
      <c r="A700" s="42"/>
      <c r="B700" s="42"/>
      <c r="C700" s="42"/>
      <c r="D700" s="42"/>
      <c r="E700" s="42"/>
      <c r="F700" s="54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>
      <c r="A701" s="42"/>
      <c r="B701" s="42"/>
      <c r="C701" s="42"/>
      <c r="D701" s="42"/>
      <c r="E701" s="42"/>
      <c r="F701" s="54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>
      <c r="A702" s="42"/>
      <c r="B702" s="42"/>
      <c r="C702" s="42"/>
      <c r="D702" s="42"/>
      <c r="E702" s="42"/>
      <c r="F702" s="54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>
      <c r="A703" s="42"/>
      <c r="B703" s="42"/>
      <c r="C703" s="42"/>
      <c r="D703" s="42"/>
      <c r="E703" s="42"/>
      <c r="F703" s="54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>
      <c r="A704" s="42"/>
      <c r="B704" s="42"/>
      <c r="C704" s="42"/>
      <c r="D704" s="42"/>
      <c r="E704" s="42"/>
      <c r="F704" s="54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>
      <c r="A705" s="42"/>
      <c r="B705" s="42"/>
      <c r="C705" s="42"/>
      <c r="D705" s="42"/>
      <c r="E705" s="42"/>
      <c r="F705" s="54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>
      <c r="A706" s="42"/>
      <c r="B706" s="42"/>
      <c r="C706" s="42"/>
      <c r="D706" s="42"/>
      <c r="E706" s="42"/>
      <c r="F706" s="54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>
      <c r="A707" s="42"/>
      <c r="B707" s="42"/>
      <c r="C707" s="42"/>
      <c r="D707" s="42"/>
      <c r="E707" s="42"/>
      <c r="F707" s="54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>
      <c r="A708" s="42"/>
      <c r="B708" s="42"/>
      <c r="C708" s="42"/>
      <c r="D708" s="42"/>
      <c r="E708" s="42"/>
      <c r="F708" s="54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>
      <c r="A709" s="42"/>
      <c r="B709" s="42"/>
      <c r="C709" s="42"/>
      <c r="D709" s="42"/>
      <c r="E709" s="42"/>
      <c r="F709" s="54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>
      <c r="A710" s="42"/>
      <c r="B710" s="42"/>
      <c r="C710" s="42"/>
      <c r="D710" s="42"/>
      <c r="E710" s="42"/>
      <c r="F710" s="54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>
      <c r="A711" s="42"/>
      <c r="B711" s="42"/>
      <c r="C711" s="42"/>
      <c r="D711" s="42"/>
      <c r="E711" s="42"/>
      <c r="F711" s="54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>
      <c r="A712" s="42"/>
      <c r="B712" s="42"/>
      <c r="C712" s="42"/>
      <c r="D712" s="42"/>
      <c r="E712" s="42"/>
      <c r="F712" s="54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>
      <c r="A713" s="42"/>
      <c r="B713" s="42"/>
      <c r="C713" s="42"/>
      <c r="D713" s="42"/>
      <c r="E713" s="42"/>
      <c r="F713" s="54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>
      <c r="A714" s="42"/>
      <c r="B714" s="42"/>
      <c r="C714" s="42"/>
      <c r="D714" s="42"/>
      <c r="E714" s="42"/>
      <c r="F714" s="54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>
      <c r="A715" s="42"/>
      <c r="B715" s="42"/>
      <c r="C715" s="42"/>
      <c r="D715" s="42"/>
      <c r="E715" s="42"/>
      <c r="F715" s="54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>
      <c r="A716" s="42"/>
      <c r="B716" s="42"/>
      <c r="C716" s="42"/>
      <c r="D716" s="42"/>
      <c r="E716" s="42"/>
      <c r="F716" s="54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>
      <c r="A717" s="42"/>
      <c r="B717" s="42"/>
      <c r="C717" s="42"/>
      <c r="D717" s="42"/>
      <c r="E717" s="42"/>
      <c r="F717" s="54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>
      <c r="A718" s="42"/>
      <c r="B718" s="42"/>
      <c r="C718" s="42"/>
      <c r="D718" s="42"/>
      <c r="E718" s="42"/>
      <c r="F718" s="54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>
      <c r="A719" s="42"/>
      <c r="B719" s="42"/>
      <c r="C719" s="42"/>
      <c r="D719" s="42"/>
      <c r="E719" s="42"/>
      <c r="F719" s="54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>
      <c r="A720" s="42"/>
      <c r="B720" s="42"/>
      <c r="C720" s="42"/>
      <c r="D720" s="42"/>
      <c r="E720" s="42"/>
      <c r="F720" s="54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>
      <c r="A721" s="42"/>
      <c r="B721" s="42"/>
      <c r="C721" s="42"/>
      <c r="D721" s="42"/>
      <c r="E721" s="42"/>
      <c r="F721" s="54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>
      <c r="A722" s="42"/>
      <c r="B722" s="42"/>
      <c r="C722" s="42"/>
      <c r="D722" s="42"/>
      <c r="E722" s="42"/>
      <c r="F722" s="54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>
      <c r="A723" s="42"/>
      <c r="B723" s="42"/>
      <c r="C723" s="42"/>
      <c r="D723" s="42"/>
      <c r="E723" s="42"/>
      <c r="F723" s="54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>
      <c r="A724" s="42"/>
      <c r="B724" s="42"/>
      <c r="C724" s="42"/>
      <c r="D724" s="42"/>
      <c r="E724" s="42"/>
      <c r="F724" s="54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>
      <c r="A725" s="42"/>
      <c r="B725" s="42"/>
      <c r="C725" s="42"/>
      <c r="D725" s="42"/>
      <c r="E725" s="42"/>
      <c r="F725" s="54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>
      <c r="A726" s="42"/>
      <c r="B726" s="42"/>
      <c r="C726" s="42"/>
      <c r="D726" s="42"/>
      <c r="E726" s="42"/>
      <c r="F726" s="54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>
      <c r="A727" s="42"/>
      <c r="B727" s="42"/>
      <c r="C727" s="42"/>
      <c r="D727" s="42"/>
      <c r="E727" s="42"/>
      <c r="F727" s="54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>
      <c r="A728" s="42"/>
      <c r="B728" s="42"/>
      <c r="C728" s="42"/>
      <c r="D728" s="42"/>
      <c r="E728" s="42"/>
      <c r="F728" s="54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>
      <c r="A729" s="42"/>
      <c r="B729" s="42"/>
      <c r="C729" s="42"/>
      <c r="D729" s="42"/>
      <c r="E729" s="42"/>
      <c r="F729" s="54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>
      <c r="A730" s="42"/>
      <c r="B730" s="42"/>
      <c r="C730" s="42"/>
      <c r="D730" s="42"/>
      <c r="E730" s="42"/>
      <c r="F730" s="54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>
      <c r="A731" s="42"/>
      <c r="B731" s="42"/>
      <c r="C731" s="42"/>
      <c r="D731" s="42"/>
      <c r="E731" s="42"/>
      <c r="F731" s="54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>
      <c r="A732" s="42"/>
      <c r="B732" s="42"/>
      <c r="C732" s="42"/>
      <c r="D732" s="42"/>
      <c r="E732" s="42"/>
      <c r="F732" s="54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>
      <c r="A733" s="42"/>
      <c r="B733" s="42"/>
      <c r="C733" s="42"/>
      <c r="D733" s="42"/>
      <c r="E733" s="42"/>
      <c r="F733" s="54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>
      <c r="A734" s="42"/>
      <c r="B734" s="42"/>
      <c r="C734" s="42"/>
      <c r="D734" s="42"/>
      <c r="E734" s="42"/>
      <c r="F734" s="54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>
      <c r="A735" s="42"/>
      <c r="B735" s="42"/>
      <c r="C735" s="42"/>
      <c r="D735" s="42"/>
      <c r="E735" s="42"/>
      <c r="F735" s="54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>
      <c r="A736" s="42"/>
      <c r="B736" s="42"/>
      <c r="C736" s="42"/>
      <c r="D736" s="42"/>
      <c r="E736" s="42"/>
      <c r="F736" s="54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>
      <c r="A737" s="42"/>
      <c r="B737" s="42"/>
      <c r="C737" s="42"/>
      <c r="D737" s="42"/>
      <c r="E737" s="42"/>
      <c r="F737" s="54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>
      <c r="A738" s="42"/>
      <c r="B738" s="42"/>
      <c r="C738" s="42"/>
      <c r="D738" s="42"/>
      <c r="E738" s="42"/>
      <c r="F738" s="54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>
      <c r="A739" s="42"/>
      <c r="B739" s="42"/>
      <c r="C739" s="42"/>
      <c r="D739" s="42"/>
      <c r="E739" s="42"/>
      <c r="F739" s="54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>
      <c r="A740" s="42"/>
      <c r="B740" s="42"/>
      <c r="C740" s="42"/>
      <c r="D740" s="42"/>
      <c r="E740" s="42"/>
      <c r="F740" s="54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>
      <c r="A741" s="42"/>
      <c r="B741" s="42"/>
      <c r="C741" s="42"/>
      <c r="D741" s="42"/>
      <c r="E741" s="42"/>
      <c r="F741" s="54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>
      <c r="A742" s="42"/>
      <c r="B742" s="42"/>
      <c r="C742" s="42"/>
      <c r="D742" s="42"/>
      <c r="E742" s="42"/>
      <c r="F742" s="54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>
      <c r="A743" s="42"/>
      <c r="B743" s="42"/>
      <c r="C743" s="42"/>
      <c r="D743" s="42"/>
      <c r="E743" s="42"/>
      <c r="F743" s="54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>
      <c r="A744" s="42"/>
      <c r="B744" s="42"/>
      <c r="C744" s="42"/>
      <c r="D744" s="42"/>
      <c r="E744" s="42"/>
      <c r="F744" s="54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>
      <c r="A745" s="42"/>
      <c r="B745" s="42"/>
      <c r="C745" s="42"/>
      <c r="D745" s="42"/>
      <c r="E745" s="42"/>
      <c r="F745" s="54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>
      <c r="A746" s="42"/>
      <c r="B746" s="42"/>
      <c r="C746" s="42"/>
      <c r="D746" s="42"/>
      <c r="E746" s="42"/>
      <c r="F746" s="54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>
      <c r="A747" s="42"/>
      <c r="B747" s="42"/>
      <c r="C747" s="42"/>
      <c r="D747" s="42"/>
      <c r="E747" s="42"/>
      <c r="F747" s="54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>
      <c r="A748" s="42"/>
      <c r="B748" s="42"/>
      <c r="C748" s="42"/>
      <c r="D748" s="42"/>
      <c r="E748" s="42"/>
      <c r="F748" s="54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>
      <c r="A749" s="42"/>
      <c r="B749" s="42"/>
      <c r="C749" s="42"/>
      <c r="D749" s="42"/>
      <c r="E749" s="42"/>
      <c r="F749" s="54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>
      <c r="A750" s="42"/>
      <c r="B750" s="42"/>
      <c r="C750" s="42"/>
      <c r="D750" s="42"/>
      <c r="E750" s="42"/>
      <c r="F750" s="54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>
      <c r="A751" s="42"/>
      <c r="B751" s="42"/>
      <c r="C751" s="42"/>
      <c r="D751" s="42"/>
      <c r="E751" s="42"/>
      <c r="F751" s="54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>
      <c r="A752" s="42"/>
      <c r="B752" s="42"/>
      <c r="C752" s="42"/>
      <c r="D752" s="42"/>
      <c r="E752" s="42"/>
      <c r="F752" s="54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>
      <c r="A753" s="42"/>
      <c r="B753" s="42"/>
      <c r="C753" s="42"/>
      <c r="D753" s="42"/>
      <c r="E753" s="42"/>
      <c r="F753" s="54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>
      <c r="A754" s="42"/>
      <c r="B754" s="42"/>
      <c r="C754" s="42"/>
      <c r="D754" s="42"/>
      <c r="E754" s="42"/>
      <c r="F754" s="54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>
      <c r="A755" s="42"/>
      <c r="B755" s="42"/>
      <c r="C755" s="42"/>
      <c r="D755" s="42"/>
      <c r="E755" s="42"/>
      <c r="F755" s="54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>
      <c r="A756" s="42"/>
      <c r="B756" s="42"/>
      <c r="C756" s="42"/>
      <c r="D756" s="42"/>
      <c r="E756" s="42"/>
      <c r="F756" s="54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>
      <c r="A757" s="42"/>
      <c r="B757" s="42"/>
      <c r="C757" s="42"/>
      <c r="D757" s="42"/>
      <c r="E757" s="42"/>
      <c r="F757" s="54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>
      <c r="A758" s="42"/>
      <c r="B758" s="42"/>
      <c r="C758" s="42"/>
      <c r="D758" s="42"/>
      <c r="E758" s="42"/>
      <c r="F758" s="54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>
      <c r="A759" s="42"/>
      <c r="B759" s="42"/>
      <c r="C759" s="42"/>
      <c r="D759" s="42"/>
      <c r="E759" s="42"/>
      <c r="F759" s="54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>
      <c r="A760" s="42"/>
      <c r="B760" s="42"/>
      <c r="C760" s="42"/>
      <c r="D760" s="42"/>
      <c r="E760" s="42"/>
      <c r="F760" s="54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>
      <c r="A761" s="42"/>
      <c r="B761" s="42"/>
      <c r="C761" s="42"/>
      <c r="D761" s="42"/>
      <c r="E761" s="42"/>
      <c r="F761" s="54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>
      <c r="A762" s="42"/>
      <c r="B762" s="42"/>
      <c r="C762" s="42"/>
      <c r="D762" s="42"/>
      <c r="E762" s="42"/>
      <c r="F762" s="54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>
      <c r="A763" s="42"/>
      <c r="B763" s="42"/>
      <c r="C763" s="42"/>
      <c r="D763" s="42"/>
      <c r="E763" s="42"/>
      <c r="F763" s="54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>
      <c r="A764" s="42"/>
      <c r="B764" s="42"/>
      <c r="C764" s="42"/>
      <c r="D764" s="42"/>
      <c r="E764" s="42"/>
      <c r="F764" s="54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>
      <c r="A765" s="42"/>
      <c r="B765" s="42"/>
      <c r="C765" s="42"/>
      <c r="D765" s="42"/>
      <c r="E765" s="42"/>
      <c r="F765" s="54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>
      <c r="A766" s="42"/>
      <c r="B766" s="42"/>
      <c r="C766" s="42"/>
      <c r="D766" s="42"/>
      <c r="E766" s="42"/>
      <c r="F766" s="54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>
      <c r="A767" s="42"/>
      <c r="B767" s="42"/>
      <c r="C767" s="42"/>
      <c r="D767" s="42"/>
      <c r="E767" s="42"/>
      <c r="F767" s="54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>
      <c r="A768" s="42"/>
      <c r="B768" s="42"/>
      <c r="C768" s="42"/>
      <c r="D768" s="42"/>
      <c r="E768" s="42"/>
      <c r="F768" s="54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>
      <c r="A769" s="42"/>
      <c r="B769" s="42"/>
      <c r="C769" s="42"/>
      <c r="D769" s="42"/>
      <c r="E769" s="42"/>
      <c r="F769" s="54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>
      <c r="A770" s="42"/>
      <c r="B770" s="42"/>
      <c r="C770" s="42"/>
      <c r="D770" s="42"/>
      <c r="E770" s="42"/>
      <c r="F770" s="54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>
      <c r="A771" s="42"/>
      <c r="B771" s="42"/>
      <c r="C771" s="42"/>
      <c r="D771" s="42"/>
      <c r="E771" s="42"/>
      <c r="F771" s="54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>
      <c r="A772" s="42"/>
      <c r="B772" s="42"/>
      <c r="C772" s="42"/>
      <c r="D772" s="42"/>
      <c r="E772" s="42"/>
      <c r="F772" s="54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>
      <c r="A773" s="42"/>
      <c r="B773" s="42"/>
      <c r="C773" s="42"/>
      <c r="D773" s="42"/>
      <c r="E773" s="42"/>
      <c r="F773" s="54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>
      <c r="A774" s="42"/>
      <c r="B774" s="42"/>
      <c r="C774" s="42"/>
      <c r="D774" s="42"/>
      <c r="E774" s="42"/>
      <c r="F774" s="54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>
      <c r="A775" s="42"/>
      <c r="B775" s="42"/>
      <c r="C775" s="42"/>
      <c r="D775" s="42"/>
      <c r="E775" s="42"/>
      <c r="F775" s="54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>
      <c r="A776" s="42"/>
      <c r="B776" s="42"/>
      <c r="C776" s="42"/>
      <c r="D776" s="42"/>
      <c r="E776" s="42"/>
      <c r="F776" s="54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>
      <c r="A777" s="42"/>
      <c r="B777" s="42"/>
      <c r="C777" s="42"/>
      <c r="D777" s="42"/>
      <c r="E777" s="42"/>
      <c r="F777" s="54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>
      <c r="A778" s="42"/>
      <c r="B778" s="42"/>
      <c r="C778" s="42"/>
      <c r="D778" s="42"/>
      <c r="E778" s="42"/>
      <c r="F778" s="54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>
      <c r="A779" s="42"/>
      <c r="B779" s="42"/>
      <c r="C779" s="42"/>
      <c r="D779" s="42"/>
      <c r="E779" s="42"/>
      <c r="F779" s="54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>
      <c r="A780" s="42"/>
      <c r="B780" s="42"/>
      <c r="C780" s="42"/>
      <c r="D780" s="42"/>
      <c r="E780" s="42"/>
      <c r="F780" s="54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>
      <c r="A781" s="42"/>
      <c r="B781" s="42"/>
      <c r="C781" s="42"/>
      <c r="D781" s="42"/>
      <c r="E781" s="42"/>
      <c r="F781" s="54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>
      <c r="A782" s="42"/>
      <c r="B782" s="42"/>
      <c r="C782" s="42"/>
      <c r="D782" s="42"/>
      <c r="E782" s="42"/>
      <c r="F782" s="54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>
      <c r="A783" s="42"/>
      <c r="B783" s="42"/>
      <c r="C783" s="42"/>
      <c r="D783" s="42"/>
      <c r="E783" s="42"/>
      <c r="F783" s="54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>
      <c r="A784" s="42"/>
      <c r="B784" s="42"/>
      <c r="C784" s="42"/>
      <c r="D784" s="42"/>
      <c r="E784" s="42"/>
      <c r="F784" s="54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>
      <c r="A785" s="42"/>
      <c r="B785" s="42"/>
      <c r="C785" s="42"/>
      <c r="D785" s="42"/>
      <c r="E785" s="42"/>
      <c r="F785" s="54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>
      <c r="A786" s="42"/>
      <c r="B786" s="42"/>
      <c r="C786" s="42"/>
      <c r="D786" s="42"/>
      <c r="E786" s="42"/>
      <c r="F786" s="54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>
      <c r="A787" s="42"/>
      <c r="B787" s="42"/>
      <c r="C787" s="42"/>
      <c r="D787" s="42"/>
      <c r="E787" s="42"/>
      <c r="F787" s="54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>
      <c r="A788" s="42"/>
      <c r="B788" s="42"/>
      <c r="C788" s="42"/>
      <c r="D788" s="42"/>
      <c r="E788" s="42"/>
      <c r="F788" s="54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>
      <c r="A789" s="42"/>
      <c r="B789" s="42"/>
      <c r="C789" s="42"/>
      <c r="D789" s="42"/>
      <c r="E789" s="42"/>
      <c r="F789" s="54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>
      <c r="A790" s="42"/>
      <c r="B790" s="42"/>
      <c r="C790" s="42"/>
      <c r="D790" s="42"/>
      <c r="E790" s="42"/>
      <c r="F790" s="54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>
      <c r="A791" s="42"/>
      <c r="B791" s="42"/>
      <c r="C791" s="42"/>
      <c r="D791" s="42"/>
      <c r="E791" s="42"/>
      <c r="F791" s="54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>
      <c r="A792" s="42"/>
      <c r="B792" s="42"/>
      <c r="C792" s="42"/>
      <c r="D792" s="42"/>
      <c r="E792" s="42"/>
      <c r="F792" s="54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>
      <c r="A793" s="42"/>
      <c r="B793" s="42"/>
      <c r="C793" s="42"/>
      <c r="D793" s="42"/>
      <c r="E793" s="42"/>
      <c r="F793" s="54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>
      <c r="A794" s="42"/>
      <c r="B794" s="42"/>
      <c r="C794" s="42"/>
      <c r="D794" s="42"/>
      <c r="E794" s="42"/>
      <c r="F794" s="54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>
      <c r="A795" s="42"/>
      <c r="B795" s="42"/>
      <c r="C795" s="42"/>
      <c r="D795" s="42"/>
      <c r="E795" s="42"/>
      <c r="F795" s="54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>
      <c r="A796" s="42"/>
      <c r="B796" s="42"/>
      <c r="C796" s="42"/>
      <c r="D796" s="42"/>
      <c r="E796" s="42"/>
      <c r="F796" s="54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>
      <c r="A797" s="42"/>
      <c r="B797" s="42"/>
      <c r="C797" s="42"/>
      <c r="D797" s="42"/>
      <c r="E797" s="42"/>
      <c r="F797" s="54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>
      <c r="A798" s="42"/>
      <c r="B798" s="42"/>
      <c r="C798" s="42"/>
      <c r="D798" s="42"/>
      <c r="E798" s="42"/>
      <c r="F798" s="54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>
      <c r="A799" s="42"/>
      <c r="B799" s="42"/>
      <c r="C799" s="42"/>
      <c r="D799" s="42"/>
      <c r="E799" s="42"/>
      <c r="F799" s="54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>
      <c r="A800" s="42"/>
      <c r="B800" s="42"/>
      <c r="C800" s="42"/>
      <c r="D800" s="42"/>
      <c r="E800" s="42"/>
      <c r="F800" s="54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>
      <c r="A801" s="42"/>
      <c r="B801" s="42"/>
      <c r="C801" s="42"/>
      <c r="D801" s="42"/>
      <c r="E801" s="42"/>
      <c r="F801" s="54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>
      <c r="A802" s="42"/>
      <c r="B802" s="42"/>
      <c r="C802" s="42"/>
      <c r="D802" s="42"/>
      <c r="E802" s="42"/>
      <c r="F802" s="54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>
      <c r="A803" s="42"/>
      <c r="B803" s="42"/>
      <c r="C803" s="42"/>
      <c r="D803" s="42"/>
      <c r="E803" s="42"/>
      <c r="F803" s="54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>
      <c r="A804" s="42"/>
      <c r="B804" s="42"/>
      <c r="C804" s="42"/>
      <c r="D804" s="42"/>
      <c r="E804" s="42"/>
      <c r="F804" s="54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>
      <c r="A805" s="42"/>
      <c r="B805" s="42"/>
      <c r="C805" s="42"/>
      <c r="D805" s="42"/>
      <c r="E805" s="42"/>
      <c r="F805" s="54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>
      <c r="A806" s="42"/>
      <c r="B806" s="42"/>
      <c r="C806" s="42"/>
      <c r="D806" s="42"/>
      <c r="E806" s="42"/>
      <c r="F806" s="54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>
      <c r="A807" s="42"/>
      <c r="B807" s="42"/>
      <c r="C807" s="42"/>
      <c r="D807" s="42"/>
      <c r="E807" s="42"/>
      <c r="F807" s="54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>
      <c r="A808" s="42"/>
      <c r="B808" s="42"/>
      <c r="C808" s="42"/>
      <c r="D808" s="42"/>
      <c r="E808" s="42"/>
      <c r="F808" s="54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>
      <c r="A809" s="42"/>
      <c r="B809" s="42"/>
      <c r="C809" s="42"/>
      <c r="D809" s="42"/>
      <c r="E809" s="42"/>
      <c r="F809" s="54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>
      <c r="A810" s="42"/>
      <c r="B810" s="42"/>
      <c r="C810" s="42"/>
      <c r="D810" s="42"/>
      <c r="E810" s="42"/>
      <c r="F810" s="54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>
      <c r="A811" s="42"/>
      <c r="B811" s="42"/>
      <c r="C811" s="42"/>
      <c r="D811" s="42"/>
      <c r="E811" s="42"/>
      <c r="F811" s="54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>
      <c r="A812" s="42"/>
      <c r="B812" s="42"/>
      <c r="C812" s="42"/>
      <c r="D812" s="42"/>
      <c r="E812" s="42"/>
      <c r="F812" s="54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>
      <c r="A813" s="42"/>
      <c r="B813" s="42"/>
      <c r="C813" s="42"/>
      <c r="D813" s="42"/>
      <c r="E813" s="42"/>
      <c r="F813" s="54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>
      <c r="A814" s="42"/>
      <c r="B814" s="42"/>
      <c r="C814" s="42"/>
      <c r="D814" s="42"/>
      <c r="E814" s="42"/>
      <c r="F814" s="54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>
      <c r="A815" s="42"/>
      <c r="B815" s="42"/>
      <c r="C815" s="42"/>
      <c r="D815" s="42"/>
      <c r="E815" s="42"/>
      <c r="F815" s="54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>
      <c r="A816" s="42"/>
      <c r="B816" s="42"/>
      <c r="C816" s="42"/>
      <c r="D816" s="42"/>
      <c r="E816" s="42"/>
      <c r="F816" s="54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>
      <c r="A817" s="42"/>
      <c r="B817" s="42"/>
      <c r="C817" s="42"/>
      <c r="D817" s="42"/>
      <c r="E817" s="42"/>
      <c r="F817" s="54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>
      <c r="A818" s="42"/>
      <c r="B818" s="42"/>
      <c r="C818" s="42"/>
      <c r="D818" s="42"/>
      <c r="E818" s="42"/>
      <c r="F818" s="54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>
      <c r="A819" s="42"/>
      <c r="B819" s="42"/>
      <c r="C819" s="42"/>
      <c r="D819" s="42"/>
      <c r="E819" s="42"/>
      <c r="F819" s="54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>
      <c r="A820" s="42"/>
      <c r="B820" s="42"/>
      <c r="C820" s="42"/>
      <c r="D820" s="42"/>
      <c r="E820" s="42"/>
      <c r="F820" s="54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>
      <c r="A821" s="42"/>
      <c r="B821" s="42"/>
      <c r="C821" s="42"/>
      <c r="D821" s="42"/>
      <c r="E821" s="42"/>
      <c r="F821" s="54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>
      <c r="A822" s="42"/>
      <c r="B822" s="42"/>
      <c r="C822" s="42"/>
      <c r="D822" s="42"/>
      <c r="E822" s="42"/>
      <c r="F822" s="54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>
      <c r="A823" s="42"/>
      <c r="B823" s="42"/>
      <c r="C823" s="42"/>
      <c r="D823" s="42"/>
      <c r="E823" s="42"/>
      <c r="F823" s="54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>
      <c r="A824" s="42"/>
      <c r="B824" s="42"/>
      <c r="C824" s="42"/>
      <c r="D824" s="42"/>
      <c r="E824" s="42"/>
      <c r="F824" s="54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>
      <c r="A825" s="42"/>
      <c r="B825" s="42"/>
      <c r="C825" s="42"/>
      <c r="D825" s="42"/>
      <c r="E825" s="42"/>
      <c r="F825" s="54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>
      <c r="A826" s="42"/>
      <c r="B826" s="42"/>
      <c r="C826" s="42"/>
      <c r="D826" s="42"/>
      <c r="E826" s="42"/>
      <c r="F826" s="54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>
      <c r="A827" s="42"/>
      <c r="B827" s="42"/>
      <c r="C827" s="42"/>
      <c r="D827" s="42"/>
      <c r="E827" s="42"/>
      <c r="F827" s="54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>
      <c r="A828" s="42"/>
      <c r="B828" s="42"/>
      <c r="C828" s="42"/>
      <c r="D828" s="42"/>
      <c r="E828" s="42"/>
      <c r="F828" s="54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>
      <c r="A829" s="42"/>
      <c r="B829" s="42"/>
      <c r="C829" s="42"/>
      <c r="D829" s="42"/>
      <c r="E829" s="42"/>
      <c r="F829" s="54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>
      <c r="A830" s="42"/>
      <c r="B830" s="42"/>
      <c r="C830" s="42"/>
      <c r="D830" s="42"/>
      <c r="E830" s="42"/>
      <c r="F830" s="54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>
      <c r="A831" s="42"/>
      <c r="B831" s="42"/>
      <c r="C831" s="42"/>
      <c r="D831" s="42"/>
      <c r="E831" s="42"/>
      <c r="F831" s="54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>
      <c r="A832" s="42"/>
      <c r="B832" s="42"/>
      <c r="C832" s="42"/>
      <c r="D832" s="42"/>
      <c r="E832" s="42"/>
      <c r="F832" s="54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>
      <c r="A833" s="42"/>
      <c r="B833" s="42"/>
      <c r="C833" s="42"/>
      <c r="D833" s="42"/>
      <c r="E833" s="42"/>
      <c r="F833" s="54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>
      <c r="A834" s="42"/>
      <c r="B834" s="42"/>
      <c r="C834" s="42"/>
      <c r="D834" s="42"/>
      <c r="E834" s="42"/>
      <c r="F834" s="54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>
      <c r="A835" s="42"/>
      <c r="B835" s="42"/>
      <c r="C835" s="42"/>
      <c r="D835" s="42"/>
      <c r="E835" s="42"/>
      <c r="F835" s="54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>
      <c r="A836" s="42"/>
      <c r="B836" s="42"/>
      <c r="C836" s="42"/>
      <c r="D836" s="42"/>
      <c r="E836" s="42"/>
      <c r="F836" s="54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>
      <c r="A837" s="42"/>
      <c r="B837" s="42"/>
      <c r="C837" s="42"/>
      <c r="D837" s="42"/>
      <c r="E837" s="42"/>
      <c r="F837" s="54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>
      <c r="A838" s="42"/>
      <c r="B838" s="42"/>
      <c r="C838" s="42"/>
      <c r="D838" s="42"/>
      <c r="E838" s="42"/>
      <c r="F838" s="54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>
      <c r="A839" s="42"/>
      <c r="B839" s="42"/>
      <c r="C839" s="42"/>
      <c r="D839" s="42"/>
      <c r="E839" s="42"/>
      <c r="F839" s="54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>
      <c r="A840" s="42"/>
      <c r="B840" s="42"/>
      <c r="C840" s="42"/>
      <c r="D840" s="42"/>
      <c r="E840" s="42"/>
      <c r="F840" s="54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>
      <c r="A841" s="42"/>
      <c r="B841" s="42"/>
      <c r="C841" s="42"/>
      <c r="D841" s="42"/>
      <c r="E841" s="42"/>
      <c r="F841" s="54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>
      <c r="A842" s="42"/>
      <c r="B842" s="42"/>
      <c r="C842" s="42"/>
      <c r="D842" s="42"/>
      <c r="E842" s="42"/>
      <c r="F842" s="54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>
      <c r="A843" s="42"/>
      <c r="B843" s="42"/>
      <c r="C843" s="42"/>
      <c r="D843" s="42"/>
      <c r="E843" s="42"/>
      <c r="F843" s="54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>
      <c r="A844" s="42"/>
      <c r="B844" s="42"/>
      <c r="C844" s="42"/>
      <c r="D844" s="42"/>
      <c r="E844" s="42"/>
      <c r="F844" s="54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>
      <c r="A845" s="42"/>
      <c r="B845" s="42"/>
      <c r="C845" s="42"/>
      <c r="D845" s="42"/>
      <c r="E845" s="42"/>
      <c r="F845" s="54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>
      <c r="A846" s="42"/>
      <c r="B846" s="42"/>
      <c r="C846" s="42"/>
      <c r="D846" s="42"/>
      <c r="E846" s="42"/>
      <c r="F846" s="54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>
      <c r="A847" s="42"/>
      <c r="B847" s="42"/>
      <c r="C847" s="42"/>
      <c r="D847" s="42"/>
      <c r="E847" s="42"/>
      <c r="F847" s="54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>
      <c r="A848" s="42"/>
      <c r="B848" s="42"/>
      <c r="C848" s="42"/>
      <c r="D848" s="42"/>
      <c r="E848" s="42"/>
      <c r="F848" s="54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>
      <c r="A849" s="42"/>
      <c r="B849" s="42"/>
      <c r="C849" s="42"/>
      <c r="D849" s="42"/>
      <c r="E849" s="42"/>
      <c r="F849" s="54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>
      <c r="A850" s="42"/>
      <c r="B850" s="42"/>
      <c r="C850" s="42"/>
      <c r="D850" s="42"/>
      <c r="E850" s="42"/>
      <c r="F850" s="54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>
      <c r="A851" s="42"/>
      <c r="B851" s="42"/>
      <c r="C851" s="42"/>
      <c r="D851" s="42"/>
      <c r="E851" s="42"/>
      <c r="F851" s="54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>
      <c r="A852" s="42"/>
      <c r="B852" s="42"/>
      <c r="C852" s="42"/>
      <c r="D852" s="42"/>
      <c r="E852" s="42"/>
      <c r="F852" s="54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>
      <c r="A853" s="42"/>
      <c r="B853" s="42"/>
      <c r="C853" s="42"/>
      <c r="D853" s="42"/>
      <c r="E853" s="42"/>
      <c r="F853" s="54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>
      <c r="A854" s="42"/>
      <c r="B854" s="42"/>
      <c r="C854" s="42"/>
      <c r="D854" s="42"/>
      <c r="E854" s="42"/>
      <c r="F854" s="54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>
      <c r="A855" s="42"/>
      <c r="B855" s="42"/>
      <c r="C855" s="42"/>
      <c r="D855" s="42"/>
      <c r="E855" s="42"/>
      <c r="F855" s="54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>
      <c r="A856" s="42"/>
      <c r="B856" s="42"/>
      <c r="C856" s="42"/>
      <c r="D856" s="42"/>
      <c r="E856" s="42"/>
      <c r="F856" s="54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>
      <c r="A857" s="42"/>
      <c r="B857" s="42"/>
      <c r="C857" s="42"/>
      <c r="D857" s="42"/>
      <c r="E857" s="42"/>
      <c r="F857" s="54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</row>
    <row r="858">
      <c r="A858" s="42"/>
      <c r="B858" s="42"/>
      <c r="C858" s="42"/>
      <c r="D858" s="42"/>
      <c r="E858" s="42"/>
      <c r="F858" s="54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</row>
    <row r="859">
      <c r="A859" s="42"/>
      <c r="B859" s="42"/>
      <c r="C859" s="42"/>
      <c r="D859" s="42"/>
      <c r="E859" s="42"/>
      <c r="F859" s="54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>
      <c r="A860" s="42"/>
      <c r="B860" s="42"/>
      <c r="C860" s="42"/>
      <c r="D860" s="42"/>
      <c r="E860" s="42"/>
      <c r="F860" s="54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</row>
    <row r="861">
      <c r="A861" s="42"/>
      <c r="B861" s="42"/>
      <c r="C861" s="42"/>
      <c r="D861" s="42"/>
      <c r="E861" s="42"/>
      <c r="F861" s="54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</row>
    <row r="862">
      <c r="A862" s="42"/>
      <c r="B862" s="42"/>
      <c r="C862" s="42"/>
      <c r="D862" s="42"/>
      <c r="E862" s="42"/>
      <c r="F862" s="54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</row>
    <row r="863">
      <c r="A863" s="42"/>
      <c r="B863" s="42"/>
      <c r="C863" s="42"/>
      <c r="D863" s="42"/>
      <c r="E863" s="42"/>
      <c r="F863" s="54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</row>
    <row r="864">
      <c r="A864" s="42"/>
      <c r="B864" s="42"/>
      <c r="C864" s="42"/>
      <c r="D864" s="42"/>
      <c r="E864" s="42"/>
      <c r="F864" s="54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>
      <c r="A865" s="42"/>
      <c r="B865" s="42"/>
      <c r="C865" s="42"/>
      <c r="D865" s="42"/>
      <c r="E865" s="42"/>
      <c r="F865" s="54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</row>
    <row r="866">
      <c r="A866" s="42"/>
      <c r="B866" s="42"/>
      <c r="C866" s="42"/>
      <c r="D866" s="42"/>
      <c r="E866" s="42"/>
      <c r="F866" s="54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</row>
    <row r="867">
      <c r="A867" s="42"/>
      <c r="B867" s="42"/>
      <c r="C867" s="42"/>
      <c r="D867" s="42"/>
      <c r="E867" s="42"/>
      <c r="F867" s="54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</row>
    <row r="868">
      <c r="A868" s="42"/>
      <c r="B868" s="42"/>
      <c r="C868" s="42"/>
      <c r="D868" s="42"/>
      <c r="E868" s="42"/>
      <c r="F868" s="54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</row>
    <row r="869">
      <c r="A869" s="42"/>
      <c r="B869" s="42"/>
      <c r="C869" s="42"/>
      <c r="D869" s="42"/>
      <c r="E869" s="42"/>
      <c r="F869" s="54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>
      <c r="A870" s="42"/>
      <c r="B870" s="42"/>
      <c r="C870" s="42"/>
      <c r="D870" s="42"/>
      <c r="E870" s="42"/>
      <c r="F870" s="54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</row>
    <row r="871">
      <c r="A871" s="42"/>
      <c r="B871" s="42"/>
      <c r="C871" s="42"/>
      <c r="D871" s="42"/>
      <c r="E871" s="42"/>
      <c r="F871" s="54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</row>
    <row r="872">
      <c r="A872" s="42"/>
      <c r="B872" s="42"/>
      <c r="C872" s="42"/>
      <c r="D872" s="42"/>
      <c r="E872" s="42"/>
      <c r="F872" s="54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</row>
    <row r="873">
      <c r="A873" s="42"/>
      <c r="B873" s="42"/>
      <c r="C873" s="42"/>
      <c r="D873" s="42"/>
      <c r="E873" s="42"/>
      <c r="F873" s="54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</row>
    <row r="874">
      <c r="A874" s="42"/>
      <c r="B874" s="42"/>
      <c r="C874" s="42"/>
      <c r="D874" s="42"/>
      <c r="E874" s="42"/>
      <c r="F874" s="54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>
      <c r="A875" s="42"/>
      <c r="B875" s="42"/>
      <c r="C875" s="42"/>
      <c r="D875" s="42"/>
      <c r="E875" s="42"/>
      <c r="F875" s="54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</row>
    <row r="876">
      <c r="A876" s="42"/>
      <c r="B876" s="42"/>
      <c r="C876" s="42"/>
      <c r="D876" s="42"/>
      <c r="E876" s="42"/>
      <c r="F876" s="54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>
      <c r="A877" s="42"/>
      <c r="B877" s="42"/>
      <c r="C877" s="42"/>
      <c r="D877" s="42"/>
      <c r="E877" s="42"/>
      <c r="F877" s="54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</row>
    <row r="878">
      <c r="A878" s="42"/>
      <c r="B878" s="42"/>
      <c r="C878" s="42"/>
      <c r="D878" s="42"/>
      <c r="E878" s="42"/>
      <c r="F878" s="54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</row>
    <row r="879">
      <c r="A879" s="42"/>
      <c r="B879" s="42"/>
      <c r="C879" s="42"/>
      <c r="D879" s="42"/>
      <c r="E879" s="42"/>
      <c r="F879" s="54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>
      <c r="A880" s="42"/>
      <c r="B880" s="42"/>
      <c r="C880" s="42"/>
      <c r="D880" s="42"/>
      <c r="E880" s="42"/>
      <c r="F880" s="54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</row>
    <row r="881">
      <c r="A881" s="42"/>
      <c r="B881" s="42"/>
      <c r="C881" s="42"/>
      <c r="D881" s="42"/>
      <c r="E881" s="42"/>
      <c r="F881" s="54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</row>
    <row r="882">
      <c r="A882" s="42"/>
      <c r="B882" s="42"/>
      <c r="C882" s="42"/>
      <c r="D882" s="42"/>
      <c r="E882" s="42"/>
      <c r="F882" s="54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</row>
    <row r="883">
      <c r="A883" s="42"/>
      <c r="B883" s="42"/>
      <c r="C883" s="42"/>
      <c r="D883" s="42"/>
      <c r="E883" s="42"/>
      <c r="F883" s="54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</row>
    <row r="884">
      <c r="A884" s="42"/>
      <c r="B884" s="42"/>
      <c r="C884" s="42"/>
      <c r="D884" s="42"/>
      <c r="E884" s="42"/>
      <c r="F884" s="54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</row>
    <row r="885">
      <c r="A885" s="42"/>
      <c r="B885" s="42"/>
      <c r="C885" s="42"/>
      <c r="D885" s="42"/>
      <c r="E885" s="42"/>
      <c r="F885" s="54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</row>
    <row r="886">
      <c r="A886" s="42"/>
      <c r="B886" s="42"/>
      <c r="C886" s="42"/>
      <c r="D886" s="42"/>
      <c r="E886" s="42"/>
      <c r="F886" s="54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</row>
    <row r="887">
      <c r="A887" s="42"/>
      <c r="B887" s="42"/>
      <c r="C887" s="42"/>
      <c r="D887" s="42"/>
      <c r="E887" s="42"/>
      <c r="F887" s="54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</row>
    <row r="888">
      <c r="A888" s="42"/>
      <c r="B888" s="42"/>
      <c r="C888" s="42"/>
      <c r="D888" s="42"/>
      <c r="E888" s="42"/>
      <c r="F888" s="54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</row>
    <row r="889">
      <c r="A889" s="42"/>
      <c r="B889" s="42"/>
      <c r="C889" s="42"/>
      <c r="D889" s="42"/>
      <c r="E889" s="42"/>
      <c r="F889" s="54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</row>
    <row r="890">
      <c r="A890" s="42"/>
      <c r="B890" s="42"/>
      <c r="C890" s="42"/>
      <c r="D890" s="42"/>
      <c r="E890" s="42"/>
      <c r="F890" s="54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</row>
    <row r="891">
      <c r="A891" s="42"/>
      <c r="B891" s="42"/>
      <c r="C891" s="42"/>
      <c r="D891" s="42"/>
      <c r="E891" s="42"/>
      <c r="F891" s="54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</row>
    <row r="892">
      <c r="A892" s="42"/>
      <c r="B892" s="42"/>
      <c r="C892" s="42"/>
      <c r="D892" s="42"/>
      <c r="E892" s="42"/>
      <c r="F892" s="54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</row>
    <row r="893">
      <c r="A893" s="42"/>
      <c r="B893" s="42"/>
      <c r="C893" s="42"/>
      <c r="D893" s="42"/>
      <c r="E893" s="42"/>
      <c r="F893" s="54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</row>
    <row r="894">
      <c r="A894" s="42"/>
      <c r="B894" s="42"/>
      <c r="C894" s="42"/>
      <c r="D894" s="42"/>
      <c r="E894" s="42"/>
      <c r="F894" s="54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</row>
    <row r="895">
      <c r="A895" s="42"/>
      <c r="B895" s="42"/>
      <c r="C895" s="42"/>
      <c r="D895" s="42"/>
      <c r="E895" s="42"/>
      <c r="F895" s="54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</row>
    <row r="896">
      <c r="A896" s="42"/>
      <c r="B896" s="42"/>
      <c r="C896" s="42"/>
      <c r="D896" s="42"/>
      <c r="E896" s="42"/>
      <c r="F896" s="54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</row>
    <row r="897">
      <c r="A897" s="42"/>
      <c r="B897" s="42"/>
      <c r="C897" s="42"/>
      <c r="D897" s="42"/>
      <c r="E897" s="42"/>
      <c r="F897" s="54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</row>
    <row r="898">
      <c r="A898" s="42"/>
      <c r="B898" s="42"/>
      <c r="C898" s="42"/>
      <c r="D898" s="42"/>
      <c r="E898" s="42"/>
      <c r="F898" s="54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</row>
    <row r="899">
      <c r="A899" s="42"/>
      <c r="B899" s="42"/>
      <c r="C899" s="42"/>
      <c r="D899" s="42"/>
      <c r="E899" s="42"/>
      <c r="F899" s="54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</row>
    <row r="900">
      <c r="A900" s="42"/>
      <c r="B900" s="42"/>
      <c r="C900" s="42"/>
      <c r="D900" s="42"/>
      <c r="E900" s="42"/>
      <c r="F900" s="54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</row>
    <row r="901">
      <c r="A901" s="42"/>
      <c r="B901" s="42"/>
      <c r="C901" s="42"/>
      <c r="D901" s="42"/>
      <c r="E901" s="42"/>
      <c r="F901" s="54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</row>
    <row r="902">
      <c r="A902" s="42"/>
      <c r="B902" s="42"/>
      <c r="C902" s="42"/>
      <c r="D902" s="42"/>
      <c r="E902" s="42"/>
      <c r="F902" s="54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</row>
    <row r="903">
      <c r="A903" s="42"/>
      <c r="B903" s="42"/>
      <c r="C903" s="42"/>
      <c r="D903" s="42"/>
      <c r="E903" s="42"/>
      <c r="F903" s="54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</row>
    <row r="904">
      <c r="A904" s="42"/>
      <c r="B904" s="42"/>
      <c r="C904" s="42"/>
      <c r="D904" s="42"/>
      <c r="E904" s="42"/>
      <c r="F904" s="54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</row>
    <row r="905">
      <c r="A905" s="42"/>
      <c r="B905" s="42"/>
      <c r="C905" s="42"/>
      <c r="D905" s="42"/>
      <c r="E905" s="42"/>
      <c r="F905" s="54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</row>
    <row r="906">
      <c r="A906" s="42"/>
      <c r="B906" s="42"/>
      <c r="C906" s="42"/>
      <c r="D906" s="42"/>
      <c r="E906" s="42"/>
      <c r="F906" s="54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</row>
    <row r="907">
      <c r="A907" s="42"/>
      <c r="B907" s="42"/>
      <c r="C907" s="42"/>
      <c r="D907" s="42"/>
      <c r="E907" s="42"/>
      <c r="F907" s="54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</row>
    <row r="908">
      <c r="A908" s="42"/>
      <c r="B908" s="42"/>
      <c r="C908" s="42"/>
      <c r="D908" s="42"/>
      <c r="E908" s="42"/>
      <c r="F908" s="54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</row>
    <row r="909">
      <c r="A909" s="42"/>
      <c r="B909" s="42"/>
      <c r="C909" s="42"/>
      <c r="D909" s="42"/>
      <c r="E909" s="42"/>
      <c r="F909" s="54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</row>
    <row r="910">
      <c r="A910" s="42"/>
      <c r="B910" s="42"/>
      <c r="C910" s="42"/>
      <c r="D910" s="42"/>
      <c r="E910" s="42"/>
      <c r="F910" s="54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</row>
    <row r="911">
      <c r="A911" s="42"/>
      <c r="B911" s="42"/>
      <c r="C911" s="42"/>
      <c r="D911" s="42"/>
      <c r="E911" s="42"/>
      <c r="F911" s="54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</row>
    <row r="912">
      <c r="A912" s="42"/>
      <c r="B912" s="42"/>
      <c r="C912" s="42"/>
      <c r="D912" s="42"/>
      <c r="E912" s="42"/>
      <c r="F912" s="54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</row>
    <row r="913">
      <c r="A913" s="42"/>
      <c r="B913" s="42"/>
      <c r="C913" s="42"/>
      <c r="D913" s="42"/>
      <c r="E913" s="42"/>
      <c r="F913" s="54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</row>
    <row r="914">
      <c r="A914" s="42"/>
      <c r="B914" s="42"/>
      <c r="C914" s="42"/>
      <c r="D914" s="42"/>
      <c r="E914" s="42"/>
      <c r="F914" s="54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</row>
    <row r="915">
      <c r="A915" s="42"/>
      <c r="B915" s="42"/>
      <c r="C915" s="42"/>
      <c r="D915" s="42"/>
      <c r="E915" s="42"/>
      <c r="F915" s="54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</row>
    <row r="916">
      <c r="A916" s="42"/>
      <c r="B916" s="42"/>
      <c r="C916" s="42"/>
      <c r="D916" s="42"/>
      <c r="E916" s="42"/>
      <c r="F916" s="54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</row>
    <row r="917">
      <c r="A917" s="42"/>
      <c r="B917" s="42"/>
      <c r="C917" s="42"/>
      <c r="D917" s="42"/>
      <c r="E917" s="42"/>
      <c r="F917" s="54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</row>
    <row r="918">
      <c r="A918" s="42"/>
      <c r="B918" s="42"/>
      <c r="C918" s="42"/>
      <c r="D918" s="42"/>
      <c r="E918" s="42"/>
      <c r="F918" s="54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</row>
    <row r="919">
      <c r="A919" s="42"/>
      <c r="B919" s="42"/>
      <c r="C919" s="42"/>
      <c r="D919" s="42"/>
      <c r="E919" s="42"/>
      <c r="F919" s="54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</row>
    <row r="920">
      <c r="A920" s="42"/>
      <c r="B920" s="42"/>
      <c r="C920" s="42"/>
      <c r="D920" s="42"/>
      <c r="E920" s="42"/>
      <c r="F920" s="54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</row>
    <row r="921">
      <c r="A921" s="42"/>
      <c r="B921" s="42"/>
      <c r="C921" s="42"/>
      <c r="D921" s="42"/>
      <c r="E921" s="42"/>
      <c r="F921" s="54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</row>
    <row r="922">
      <c r="A922" s="42"/>
      <c r="B922" s="42"/>
      <c r="C922" s="42"/>
      <c r="D922" s="42"/>
      <c r="E922" s="42"/>
      <c r="F922" s="54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</row>
    <row r="923">
      <c r="A923" s="42"/>
      <c r="B923" s="42"/>
      <c r="C923" s="42"/>
      <c r="D923" s="42"/>
      <c r="E923" s="42"/>
      <c r="F923" s="54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</row>
    <row r="924">
      <c r="A924" s="42"/>
      <c r="B924" s="42"/>
      <c r="C924" s="42"/>
      <c r="D924" s="42"/>
      <c r="E924" s="42"/>
      <c r="F924" s="54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</row>
    <row r="925">
      <c r="A925" s="42"/>
      <c r="B925" s="42"/>
      <c r="C925" s="42"/>
      <c r="D925" s="42"/>
      <c r="E925" s="42"/>
      <c r="F925" s="54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</row>
    <row r="926">
      <c r="A926" s="42"/>
      <c r="B926" s="42"/>
      <c r="C926" s="42"/>
      <c r="D926" s="42"/>
      <c r="E926" s="42"/>
      <c r="F926" s="54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</row>
    <row r="927">
      <c r="A927" s="42"/>
      <c r="B927" s="42"/>
      <c r="C927" s="42"/>
      <c r="D927" s="42"/>
      <c r="E927" s="42"/>
      <c r="F927" s="54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</row>
    <row r="928">
      <c r="A928" s="42"/>
      <c r="B928" s="42"/>
      <c r="C928" s="42"/>
      <c r="D928" s="42"/>
      <c r="E928" s="42"/>
      <c r="F928" s="54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</row>
    <row r="929">
      <c r="A929" s="42"/>
      <c r="B929" s="42"/>
      <c r="C929" s="42"/>
      <c r="D929" s="42"/>
      <c r="E929" s="42"/>
      <c r="F929" s="54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</row>
    <row r="930">
      <c r="A930" s="42"/>
      <c r="B930" s="42"/>
      <c r="C930" s="42"/>
      <c r="D930" s="42"/>
      <c r="E930" s="42"/>
      <c r="F930" s="54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</row>
    <row r="931">
      <c r="A931" s="42"/>
      <c r="B931" s="42"/>
      <c r="C931" s="42"/>
      <c r="D931" s="42"/>
      <c r="E931" s="42"/>
      <c r="F931" s="54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</row>
    <row r="932">
      <c r="A932" s="42"/>
      <c r="B932" s="42"/>
      <c r="C932" s="42"/>
      <c r="D932" s="42"/>
      <c r="E932" s="42"/>
      <c r="F932" s="54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</row>
    <row r="933">
      <c r="A933" s="42"/>
      <c r="B933" s="42"/>
      <c r="C933" s="42"/>
      <c r="D933" s="42"/>
      <c r="E933" s="42"/>
      <c r="F933" s="54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</row>
    <row r="934">
      <c r="A934" s="42"/>
      <c r="B934" s="42"/>
      <c r="C934" s="42"/>
      <c r="D934" s="42"/>
      <c r="E934" s="42"/>
      <c r="F934" s="54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</row>
    <row r="935">
      <c r="A935" s="42"/>
      <c r="B935" s="42"/>
      <c r="C935" s="42"/>
      <c r="D935" s="42"/>
      <c r="E935" s="42"/>
      <c r="F935" s="54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</row>
    <row r="936">
      <c r="A936" s="42"/>
      <c r="B936" s="42"/>
      <c r="C936" s="42"/>
      <c r="D936" s="42"/>
      <c r="E936" s="42"/>
      <c r="F936" s="54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</row>
    <row r="937">
      <c r="A937" s="42"/>
      <c r="B937" s="42"/>
      <c r="C937" s="42"/>
      <c r="D937" s="42"/>
      <c r="E937" s="42"/>
      <c r="F937" s="54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</row>
    <row r="938">
      <c r="A938" s="42"/>
      <c r="B938" s="42"/>
      <c r="C938" s="42"/>
      <c r="D938" s="42"/>
      <c r="E938" s="42"/>
      <c r="F938" s="54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</row>
    <row r="939">
      <c r="A939" s="42"/>
      <c r="B939" s="42"/>
      <c r="C939" s="42"/>
      <c r="D939" s="42"/>
      <c r="E939" s="42"/>
      <c r="F939" s="54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</row>
    <row r="940">
      <c r="A940" s="42"/>
      <c r="B940" s="42"/>
      <c r="C940" s="42"/>
      <c r="D940" s="42"/>
      <c r="E940" s="42"/>
      <c r="F940" s="54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</row>
    <row r="941">
      <c r="A941" s="42"/>
      <c r="B941" s="42"/>
      <c r="C941" s="42"/>
      <c r="D941" s="42"/>
      <c r="E941" s="42"/>
      <c r="F941" s="54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</row>
    <row r="942">
      <c r="A942" s="42"/>
      <c r="B942" s="42"/>
      <c r="C942" s="42"/>
      <c r="D942" s="42"/>
      <c r="E942" s="42"/>
      <c r="F942" s="54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</row>
    <row r="943">
      <c r="A943" s="42"/>
      <c r="B943" s="42"/>
      <c r="C943" s="42"/>
      <c r="D943" s="42"/>
      <c r="E943" s="42"/>
      <c r="F943" s="54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</row>
    <row r="944">
      <c r="A944" s="42"/>
      <c r="B944" s="42"/>
      <c r="C944" s="42"/>
      <c r="D944" s="42"/>
      <c r="E944" s="42"/>
      <c r="F944" s="54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</row>
    <row r="945">
      <c r="A945" s="42"/>
      <c r="B945" s="42"/>
      <c r="C945" s="42"/>
      <c r="D945" s="42"/>
      <c r="E945" s="42"/>
      <c r="F945" s="54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</row>
    <row r="946">
      <c r="A946" s="42"/>
      <c r="B946" s="42"/>
      <c r="C946" s="42"/>
      <c r="D946" s="42"/>
      <c r="E946" s="42"/>
      <c r="F946" s="54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</row>
    <row r="947">
      <c r="A947" s="42"/>
      <c r="B947" s="42"/>
      <c r="C947" s="42"/>
      <c r="D947" s="42"/>
      <c r="E947" s="42"/>
      <c r="F947" s="54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</row>
    <row r="948">
      <c r="A948" s="42"/>
      <c r="B948" s="42"/>
      <c r="C948" s="42"/>
      <c r="D948" s="42"/>
      <c r="E948" s="42"/>
      <c r="F948" s="54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</row>
    <row r="949">
      <c r="A949" s="42"/>
      <c r="B949" s="42"/>
      <c r="C949" s="42"/>
      <c r="D949" s="42"/>
      <c r="E949" s="42"/>
      <c r="F949" s="54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</row>
    <row r="950">
      <c r="A950" s="42"/>
      <c r="B950" s="42"/>
      <c r="C950" s="42"/>
      <c r="D950" s="42"/>
      <c r="E950" s="42"/>
      <c r="F950" s="54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</row>
    <row r="951">
      <c r="A951" s="42"/>
      <c r="B951" s="42"/>
      <c r="C951" s="42"/>
      <c r="D951" s="42"/>
      <c r="E951" s="42"/>
      <c r="F951" s="54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</row>
    <row r="952">
      <c r="A952" s="42"/>
      <c r="B952" s="42"/>
      <c r="C952" s="42"/>
      <c r="D952" s="42"/>
      <c r="E952" s="42"/>
      <c r="F952" s="54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</row>
    <row r="953">
      <c r="A953" s="42"/>
      <c r="B953" s="42"/>
      <c r="C953" s="42"/>
      <c r="D953" s="42"/>
      <c r="E953" s="42"/>
      <c r="F953" s="54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</row>
    <row r="954">
      <c r="A954" s="42"/>
      <c r="B954" s="42"/>
      <c r="C954" s="42"/>
      <c r="D954" s="42"/>
      <c r="E954" s="42"/>
      <c r="F954" s="54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</row>
    <row r="955">
      <c r="A955" s="42"/>
      <c r="B955" s="42"/>
      <c r="C955" s="42"/>
      <c r="D955" s="42"/>
      <c r="E955" s="42"/>
      <c r="F955" s="54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</row>
    <row r="956">
      <c r="A956" s="42"/>
      <c r="B956" s="42"/>
      <c r="C956" s="42"/>
      <c r="D956" s="42"/>
      <c r="E956" s="42"/>
      <c r="F956" s="54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</row>
    <row r="957">
      <c r="A957" s="42"/>
      <c r="B957" s="42"/>
      <c r="C957" s="42"/>
      <c r="D957" s="42"/>
      <c r="E957" s="42"/>
      <c r="F957" s="54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</row>
    <row r="958">
      <c r="A958" s="42"/>
      <c r="B958" s="42"/>
      <c r="C958" s="42"/>
      <c r="D958" s="42"/>
      <c r="E958" s="42"/>
      <c r="F958" s="54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</row>
    <row r="959">
      <c r="A959" s="42"/>
      <c r="B959" s="42"/>
      <c r="C959" s="42"/>
      <c r="D959" s="42"/>
      <c r="E959" s="42"/>
      <c r="F959" s="54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</row>
    <row r="960">
      <c r="A960" s="42"/>
      <c r="B960" s="42"/>
      <c r="C960" s="42"/>
      <c r="D960" s="42"/>
      <c r="E960" s="42"/>
      <c r="F960" s="54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</row>
    <row r="961">
      <c r="A961" s="42"/>
      <c r="B961" s="42"/>
      <c r="C961" s="42"/>
      <c r="D961" s="42"/>
      <c r="E961" s="42"/>
      <c r="F961" s="54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</row>
    <row r="962">
      <c r="A962" s="42"/>
      <c r="B962" s="42"/>
      <c r="C962" s="42"/>
      <c r="D962" s="42"/>
      <c r="E962" s="42"/>
      <c r="F962" s="54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</row>
    <row r="963">
      <c r="A963" s="42"/>
      <c r="B963" s="42"/>
      <c r="C963" s="42"/>
      <c r="D963" s="42"/>
      <c r="E963" s="42"/>
      <c r="F963" s="54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</row>
    <row r="964">
      <c r="A964" s="42"/>
      <c r="B964" s="42"/>
      <c r="C964" s="42"/>
      <c r="D964" s="42"/>
      <c r="E964" s="42"/>
      <c r="F964" s="54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</row>
    <row r="965">
      <c r="A965" s="42"/>
      <c r="B965" s="42"/>
      <c r="C965" s="42"/>
      <c r="D965" s="42"/>
      <c r="E965" s="42"/>
      <c r="F965" s="54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</row>
    <row r="966">
      <c r="A966" s="42"/>
      <c r="B966" s="42"/>
      <c r="C966" s="42"/>
      <c r="D966" s="42"/>
      <c r="E966" s="42"/>
      <c r="F966" s="54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</row>
    <row r="967">
      <c r="A967" s="42"/>
      <c r="B967" s="42"/>
      <c r="C967" s="42"/>
      <c r="D967" s="42"/>
      <c r="E967" s="42"/>
      <c r="F967" s="54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</row>
    <row r="968">
      <c r="A968" s="42"/>
      <c r="B968" s="42"/>
      <c r="C968" s="42"/>
      <c r="D968" s="42"/>
      <c r="E968" s="42"/>
      <c r="F968" s="54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</row>
    <row r="969">
      <c r="A969" s="42"/>
      <c r="B969" s="42"/>
      <c r="C969" s="42"/>
      <c r="D969" s="42"/>
      <c r="E969" s="42"/>
      <c r="F969" s="54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</row>
    <row r="970">
      <c r="A970" s="42"/>
      <c r="B970" s="42"/>
      <c r="C970" s="42"/>
      <c r="D970" s="42"/>
      <c r="E970" s="42"/>
      <c r="F970" s="54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</row>
    <row r="971">
      <c r="A971" s="42"/>
      <c r="B971" s="42"/>
      <c r="C971" s="42"/>
      <c r="D971" s="42"/>
      <c r="E971" s="42"/>
      <c r="F971" s="54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</row>
    <row r="972">
      <c r="A972" s="42"/>
      <c r="B972" s="42"/>
      <c r="C972" s="42"/>
      <c r="D972" s="42"/>
      <c r="E972" s="42"/>
      <c r="F972" s="54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</row>
    <row r="973">
      <c r="A973" s="42"/>
      <c r="B973" s="42"/>
      <c r="C973" s="42"/>
      <c r="D973" s="42"/>
      <c r="E973" s="42"/>
      <c r="F973" s="54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</row>
    <row r="974">
      <c r="A974" s="42"/>
      <c r="B974" s="42"/>
      <c r="C974" s="42"/>
      <c r="D974" s="42"/>
      <c r="E974" s="42"/>
      <c r="F974" s="54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</row>
    <row r="975">
      <c r="A975" s="42"/>
      <c r="B975" s="42"/>
      <c r="C975" s="42"/>
      <c r="D975" s="42"/>
      <c r="E975" s="42"/>
      <c r="F975" s="54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</row>
    <row r="976">
      <c r="A976" s="42"/>
      <c r="B976" s="42"/>
      <c r="C976" s="42"/>
      <c r="D976" s="42"/>
      <c r="E976" s="42"/>
      <c r="F976" s="54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</row>
    <row r="977">
      <c r="A977" s="42"/>
      <c r="B977" s="42"/>
      <c r="C977" s="42"/>
      <c r="D977" s="42"/>
      <c r="E977" s="42"/>
      <c r="F977" s="54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</row>
    <row r="978">
      <c r="A978" s="42"/>
      <c r="B978" s="42"/>
      <c r="C978" s="42"/>
      <c r="D978" s="42"/>
      <c r="E978" s="42"/>
      <c r="F978" s="54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</row>
    <row r="979">
      <c r="A979" s="42"/>
      <c r="B979" s="42"/>
      <c r="C979" s="42"/>
      <c r="D979" s="42"/>
      <c r="E979" s="42"/>
      <c r="F979" s="54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</row>
    <row r="980">
      <c r="A980" s="42"/>
      <c r="B980" s="42"/>
      <c r="C980" s="42"/>
      <c r="D980" s="42"/>
      <c r="E980" s="42"/>
      <c r="F980" s="54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</row>
    <row r="981">
      <c r="A981" s="42"/>
      <c r="B981" s="42"/>
      <c r="C981" s="42"/>
      <c r="D981" s="42"/>
      <c r="E981" s="42"/>
      <c r="F981" s="54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</row>
    <row r="982">
      <c r="A982" s="42"/>
      <c r="B982" s="42"/>
      <c r="C982" s="42"/>
      <c r="D982" s="42"/>
      <c r="E982" s="42"/>
      <c r="F982" s="54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</row>
    <row r="983">
      <c r="A983" s="42"/>
      <c r="B983" s="42"/>
      <c r="C983" s="42"/>
      <c r="D983" s="42"/>
      <c r="E983" s="42"/>
      <c r="F983" s="54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</row>
    <row r="984">
      <c r="A984" s="42"/>
      <c r="B984" s="42"/>
      <c r="C984" s="42"/>
      <c r="D984" s="42"/>
      <c r="E984" s="42"/>
      <c r="F984" s="54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</row>
    <row r="985">
      <c r="A985" s="42"/>
      <c r="B985" s="42"/>
      <c r="C985" s="42"/>
      <c r="D985" s="42"/>
      <c r="E985" s="42"/>
      <c r="F985" s="54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</row>
    <row r="986">
      <c r="A986" s="42"/>
      <c r="B986" s="42"/>
      <c r="C986" s="42"/>
      <c r="D986" s="42"/>
      <c r="E986" s="42"/>
      <c r="F986" s="54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</row>
    <row r="987">
      <c r="A987" s="42"/>
      <c r="B987" s="42"/>
      <c r="C987" s="42"/>
      <c r="D987" s="42"/>
      <c r="E987" s="42"/>
      <c r="F987" s="54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</row>
    <row r="988">
      <c r="A988" s="42"/>
      <c r="B988" s="42"/>
      <c r="C988" s="42"/>
      <c r="D988" s="42"/>
      <c r="E988" s="42"/>
      <c r="F988" s="54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</row>
    <row r="989">
      <c r="A989" s="42"/>
      <c r="B989" s="42"/>
      <c r="C989" s="42"/>
      <c r="D989" s="42"/>
      <c r="E989" s="42"/>
      <c r="F989" s="54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</row>
    <row r="990">
      <c r="A990" s="42"/>
      <c r="B990" s="42"/>
      <c r="C990" s="42"/>
      <c r="D990" s="42"/>
      <c r="E990" s="42"/>
      <c r="F990" s="54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</row>
    <row r="991">
      <c r="A991" s="42"/>
      <c r="B991" s="42"/>
      <c r="C991" s="42"/>
      <c r="D991" s="42"/>
      <c r="E991" s="42"/>
      <c r="F991" s="54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</row>
    <row r="992">
      <c r="A992" s="42"/>
      <c r="B992" s="42"/>
      <c r="C992" s="42"/>
      <c r="D992" s="42"/>
      <c r="E992" s="42"/>
      <c r="F992" s="54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</row>
    <row r="993">
      <c r="A993" s="42"/>
      <c r="B993" s="42"/>
      <c r="C993" s="42"/>
      <c r="D993" s="42"/>
      <c r="E993" s="42"/>
      <c r="F993" s="54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</row>
    <row r="994">
      <c r="A994" s="42"/>
      <c r="B994" s="42"/>
      <c r="C994" s="42"/>
      <c r="D994" s="42"/>
      <c r="E994" s="42"/>
      <c r="F994" s="54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</row>
    <row r="995">
      <c r="A995" s="42"/>
      <c r="B995" s="42"/>
      <c r="C995" s="42"/>
      <c r="D995" s="42"/>
      <c r="E995" s="42"/>
      <c r="F995" s="54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</row>
    <row r="996">
      <c r="A996" s="42"/>
      <c r="B996" s="42"/>
      <c r="C996" s="42"/>
      <c r="D996" s="42"/>
      <c r="E996" s="42"/>
      <c r="F996" s="54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</row>
    <row r="997">
      <c r="A997" s="42"/>
      <c r="B997" s="42"/>
      <c r="C997" s="42"/>
      <c r="D997" s="42"/>
      <c r="E997" s="42"/>
      <c r="F997" s="54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</row>
    <row r="998">
      <c r="A998" s="42"/>
      <c r="B998" s="42"/>
      <c r="C998" s="42"/>
      <c r="D998" s="42"/>
      <c r="E998" s="42"/>
      <c r="F998" s="54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</row>
    <row r="999">
      <c r="A999" s="42"/>
      <c r="B999" s="42"/>
      <c r="C999" s="42"/>
      <c r="D999" s="42"/>
      <c r="E999" s="42"/>
      <c r="F999" s="54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</row>
    <row r="1000">
      <c r="A1000" s="42"/>
      <c r="B1000" s="42"/>
      <c r="C1000" s="42"/>
      <c r="D1000" s="42"/>
      <c r="E1000" s="42"/>
      <c r="F1000" s="54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</row>
    <row r="1001">
      <c r="A1001" s="42"/>
      <c r="B1001" s="42"/>
      <c r="C1001" s="42"/>
      <c r="D1001" s="42"/>
      <c r="E1001" s="42"/>
      <c r="F1001" s="54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</row>
    <row r="1002">
      <c r="A1002" s="42"/>
      <c r="B1002" s="42"/>
      <c r="C1002" s="42"/>
      <c r="D1002" s="42"/>
      <c r="E1002" s="42"/>
      <c r="F1002" s="54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</row>
  </sheetData>
  <mergeCells count="3">
    <mergeCell ref="A1:B1"/>
    <mergeCell ref="D1:F1"/>
    <mergeCell ref="A2:F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40.63"/>
  </cols>
  <sheetData>
    <row r="1">
      <c r="A1" s="9" t="str">
        <f>IFERROR(__xludf.DUMMYFUNCTION("IMPORTRANGE(""https://docs.google.com/spreadsheets/d/1zP2iAzjgU13eMcyJKv2pLG1kjW3niorv-wMe7G66IsE"",""Wallet List!A:Z"")"),"Name")</f>
        <v>Name</v>
      </c>
      <c r="B1" s="9" t="str">
        <f>IFERROR(__xludf.DUMMYFUNCTION("""COMPUTED_VALUE"""),"Address")</f>
        <v>Address</v>
      </c>
      <c r="C1" s="9" t="str">
        <f>IFERROR(__xludf.DUMMYFUNCTION("""COMPUTED_VALUE"""),"Strategy
Native
Token")</f>
        <v>Strategy
Native
Token</v>
      </c>
      <c r="D1" s="9" t="str">
        <f>IFERROR(__xludf.DUMMYFUNCTION("""COMPUTED_VALUE"""),"Status")</f>
        <v>Status</v>
      </c>
      <c r="E1" s="9" t="str">
        <f>IFERROR(__xludf.DUMMYFUNCTION("""COMPUTED_VALUE"""),"FB Access")</f>
        <v>FB Access</v>
      </c>
      <c r="F1" s="9" t="str">
        <f>IFERROR(__xludf.DUMMYFUNCTION("""COMPUTED_VALUE"""),"Deployed")</f>
        <v>Deployed</v>
      </c>
      <c r="G1" s="9" t="str">
        <f>IFERROR(__xludf.DUMMYFUNCTION("""COMPUTED_VALUE"""),"Balance")</f>
        <v>Balance</v>
      </c>
      <c r="H1" s="9" t="str">
        <f>IFERROR(__xludf.DUMMYFUNCTION("""COMPUTED_VALUE"""),"Delta")</f>
        <v>Delta</v>
      </c>
      <c r="I1" s="9" t="str">
        <f>IFERROR(__xludf.DUMMYFUNCTION("""COMPUTED_VALUE"""),"Note &amp; Action Items")</f>
        <v>Note &amp; Action Items</v>
      </c>
      <c r="J1" s="9" t="str">
        <f>IFERROR(__xludf.DUMMYFUNCTION("""COMPUTED_VALUE"""),"API Symbol")</f>
        <v>API Symbol</v>
      </c>
      <c r="K1" s="9" t="str">
        <f>IFERROR(__xludf.DUMMYFUNCTION("""COMPUTED_VALUE"""),"BTC")</f>
        <v>BTC</v>
      </c>
      <c r="L1" s="9" t="str">
        <f>IFERROR(__xludf.DUMMYFUNCTION("""COMPUTED_VALUE"""),"ETH")</f>
        <v>ETH</v>
      </c>
      <c r="M1" s="9" t="str">
        <f>IFERROR(__xludf.DUMMYFUNCTION("""COMPUTED_VALUE"""),"LINK")</f>
        <v>LINK</v>
      </c>
      <c r="N1" s="9" t="str">
        <f>IFERROR(__xludf.DUMMYFUNCTION("""COMPUTED_VALUE"""),"LUSD Curve")</f>
        <v>LUSD Curve</v>
      </c>
      <c r="O1" s="9" t="str">
        <f>IFERROR(__xludf.DUMMYFUNCTION("""COMPUTED_VALUE"""),"BUSD")</f>
        <v>BUSD</v>
      </c>
      <c r="P1" s="9" t="str">
        <f>IFERROR(__xludf.DUMMYFUNCTION("""COMPUTED_VALUE"""),"UNI")</f>
        <v>UNI</v>
      </c>
      <c r="Q1" s="9" t="str">
        <f>IFERROR(__xludf.DUMMYFUNCTION("""COMPUTED_VALUE"""),"BAT")</f>
        <v>BAT</v>
      </c>
    </row>
    <row r="2">
      <c r="A2" s="9" t="str">
        <f>IFERROR(__xludf.DUMMYFUNCTION("""COMPUTED_VALUE"""),"YD - AlphaHv2")</f>
        <v>YD - AlphaHv2</v>
      </c>
      <c r="B2" s="9" t="str">
        <f>IFERROR(__xludf.DUMMYFUNCTION("""COMPUTED_VALUE"""),"0x5670b3E44AdE4BD9D04A73fB88994E37A0d48f27")</f>
        <v>0x5670b3E44AdE4BD9D04A73fB88994E37A0d48f27</v>
      </c>
      <c r="C2" s="9" t="str">
        <f>IFERROR(__xludf.DUMMYFUNCTION("""COMPUTED_VALUE"""),"Multiple")</f>
        <v>Multiple</v>
      </c>
      <c r="D2" s="9" t="str">
        <f>IFERROR(__xludf.DUMMYFUNCTION("""COMPUTED_VALUE"""),"Live")</f>
        <v>Live</v>
      </c>
      <c r="E2" s="9" t="b">
        <f>IFERROR(__xludf.DUMMYFUNCTION("""COMPUTED_VALUE"""),TRUE)</f>
        <v>1</v>
      </c>
      <c r="F2" s="55">
        <f>IFERROR(__xludf.DUMMYFUNCTION("""COMPUTED_VALUE"""),0.0)</f>
        <v>0</v>
      </c>
      <c r="G2" s="55">
        <f>IFERROR(__xludf.DUMMYFUNCTION("""COMPUTED_VALUE"""),312995.57918566494)</f>
        <v>312995.5792</v>
      </c>
      <c r="H2" s="55">
        <f>IFERROR(__xludf.DUMMYFUNCTION("""COMPUTED_VALUE"""),312995.57918566494)</f>
        <v>312995.5792</v>
      </c>
      <c r="I2" s="9"/>
      <c r="J2" s="9"/>
      <c r="K2" s="9"/>
      <c r="L2" s="33">
        <f>IFERROR(__xludf.DUMMYFUNCTION("""COMPUTED_VALUE"""),0.014)</f>
        <v>0.014</v>
      </c>
      <c r="M2" s="33">
        <f>IFERROR(__xludf.DUMMYFUNCTION("""COMPUTED_VALUE"""),0.002)</f>
        <v>0.002</v>
      </c>
      <c r="N2" s="9"/>
      <c r="O2" s="9"/>
      <c r="P2" s="9"/>
      <c r="Q2" s="9"/>
    </row>
    <row r="3">
      <c r="A3" s="9" t="str">
        <f>IFERROR(__xludf.DUMMYFUNCTION("""COMPUTED_VALUE"""),"YD - AlphaHv2 - ibETHv2")</f>
        <v>YD - AlphaHv2 - ibETHv2</v>
      </c>
      <c r="B3" s="9" t="str">
        <f>IFERROR(__xludf.DUMMYFUNCTION("""COMPUTED_VALUE"""),"0x210A3D989f60184b8B59C844Ed0e0D661A783170")</f>
        <v>0x210A3D989f60184b8B59C844Ed0e0D661A783170</v>
      </c>
      <c r="C3" s="9" t="str">
        <f>IFERROR(__xludf.DUMMYFUNCTION("""COMPUTED_VALUE"""),"ETH")</f>
        <v>ETH</v>
      </c>
      <c r="D3" s="9" t="str">
        <f>IFERROR(__xludf.DUMMYFUNCTION("""COMPUTED_VALUE"""),"Archived")</f>
        <v>Archived</v>
      </c>
      <c r="E3" s="9" t="b">
        <f>IFERROR(__xludf.DUMMYFUNCTION("""COMPUTED_VALUE"""),TRUE)</f>
        <v>1</v>
      </c>
      <c r="F3" s="55">
        <f>IFERROR(__xludf.DUMMYFUNCTION("""COMPUTED_VALUE"""),0.0)</f>
        <v>0</v>
      </c>
      <c r="G3" s="55">
        <f>IFERROR(__xludf.DUMMYFUNCTION("""COMPUTED_VALUE"""),0.0)</f>
        <v>0</v>
      </c>
      <c r="H3" s="55">
        <f>IFERROR(__xludf.DUMMYFUNCTION("""COMPUTED_VALUE"""),0.0)</f>
        <v>0</v>
      </c>
      <c r="I3" s="9" t="str">
        <f>IFERROR(__xludf.DUMMYFUNCTION("""COMPUTED_VALUE"""),"Migrated to YD - AlphaHv2")</f>
        <v>Migrated to YD - AlphaHv2</v>
      </c>
      <c r="J3" s="9"/>
      <c r="K3" s="9"/>
      <c r="L3" s="9"/>
      <c r="M3" s="9"/>
      <c r="N3" s="9"/>
      <c r="O3" s="9"/>
      <c r="P3" s="9"/>
      <c r="Q3" s="9"/>
    </row>
    <row r="4">
      <c r="A4" s="9" t="str">
        <f>IFERROR(__xludf.DUMMYFUNCTION("""COMPUTED_VALUE"""),"YD - AlphaHv2 - ibUSDCv2")</f>
        <v>YD - AlphaHv2 - ibUSDCv2</v>
      </c>
      <c r="B4" s="9" t="str">
        <f>IFERROR(__xludf.DUMMYFUNCTION("""COMPUTED_VALUE"""),"0x01182e33E2156b59Fc7515b03251DE8fc4a6772c")</f>
        <v>0x01182e33E2156b59Fc7515b03251DE8fc4a6772c</v>
      </c>
      <c r="C4" s="9" t="str">
        <f>IFERROR(__xludf.DUMMYFUNCTION("""COMPUTED_VALUE"""),"USDC")</f>
        <v>USDC</v>
      </c>
      <c r="D4" s="9" t="str">
        <f>IFERROR(__xludf.DUMMYFUNCTION("""COMPUTED_VALUE"""),"Archived")</f>
        <v>Archived</v>
      </c>
      <c r="E4" s="9" t="b">
        <f>IFERROR(__xludf.DUMMYFUNCTION("""COMPUTED_VALUE"""),TRUE)</f>
        <v>1</v>
      </c>
      <c r="F4" s="55">
        <f>IFERROR(__xludf.DUMMYFUNCTION("""COMPUTED_VALUE"""),0.0)</f>
        <v>0</v>
      </c>
      <c r="G4" s="55">
        <f>IFERROR(__xludf.DUMMYFUNCTION("""COMPUTED_VALUE"""),0.0)</f>
        <v>0</v>
      </c>
      <c r="H4" s="55">
        <f>IFERROR(__xludf.DUMMYFUNCTION("""COMPUTED_VALUE"""),0.0)</f>
        <v>0</v>
      </c>
      <c r="I4" s="9" t="str">
        <f>IFERROR(__xludf.DUMMYFUNCTION("""COMPUTED_VALUE"""),"Migrated to YD - AlphaHv2")</f>
        <v>Migrated to YD - AlphaHv2</v>
      </c>
      <c r="J4" s="9"/>
      <c r="K4" s="9"/>
      <c r="L4" s="9"/>
      <c r="M4" s="9"/>
      <c r="N4" s="9"/>
      <c r="O4" s="9"/>
      <c r="P4" s="9"/>
      <c r="Q4" s="9"/>
    </row>
    <row r="5">
      <c r="A5" s="9" t="str">
        <f>IFERROR(__xludf.DUMMYFUNCTION("""COMPUTED_VALUE"""),"YD - BADGER - byvWBTC")</f>
        <v>YD - BADGER - byvWBTC</v>
      </c>
      <c r="B5" s="9" t="str">
        <f>IFERROR(__xludf.DUMMYFUNCTION("""COMPUTED_VALUE"""),"0xAF074a103D06c4D194E6F5371CA660CAF992c910")</f>
        <v>0xAF074a103D06c4D194E6F5371CA660CAF992c910</v>
      </c>
      <c r="C5" s="9" t="str">
        <f>IFERROR(__xludf.DUMMYFUNCTION("""COMPUTED_VALUE"""),"BTC")</f>
        <v>BTC</v>
      </c>
      <c r="D5" s="9" t="str">
        <f>IFERROR(__xludf.DUMMYFUNCTION("""COMPUTED_VALUE"""),"Migrated")</f>
        <v>Migrated</v>
      </c>
      <c r="E5" s="9" t="b">
        <f>IFERROR(__xludf.DUMMYFUNCTION("""COMPUTED_VALUE"""),TRUE)</f>
        <v>1</v>
      </c>
      <c r="F5" s="55">
        <f>IFERROR(__xludf.DUMMYFUNCTION("""COMPUTED_VALUE"""),0.0)</f>
        <v>0</v>
      </c>
      <c r="G5" s="55">
        <f>IFERROR(__xludf.DUMMYFUNCTION("""COMPUTED_VALUE"""),2588.0873619603653)</f>
        <v>2588.087362</v>
      </c>
      <c r="H5" s="55">
        <f>IFERROR(__xludf.DUMMYFUNCTION("""COMPUTED_VALUE"""),2588.0873619603653)</f>
        <v>2588.087362</v>
      </c>
      <c r="I5" s="9" t="str">
        <f>IFERROR(__xludf.DUMMYFUNCTION("""COMPUTED_VALUE"""),"$4k BADGER claimable, Migrated to
Yield Desk - Badger")</f>
        <v>$4k BADGER claimable, Migrated to
Yield Desk - Badger</v>
      </c>
      <c r="J5" s="9"/>
      <c r="K5" s="9"/>
      <c r="L5" s="9"/>
      <c r="M5" s="9"/>
      <c r="N5" s="9"/>
      <c r="O5" s="9"/>
      <c r="P5" s="9"/>
      <c r="Q5" s="9"/>
    </row>
    <row r="6">
      <c r="A6" s="9" t="str">
        <f>IFERROR(__xludf.DUMMYFUNCTION("""COMPUTED_VALUE"""),"YD - BADGER - DIGG_WBTC")</f>
        <v>YD - BADGER - DIGG_WBTC</v>
      </c>
      <c r="B6" s="9" t="str">
        <f>IFERROR(__xludf.DUMMYFUNCTION("""COMPUTED_VALUE"""),"0x3975C876165E2b337F5Fdf5e0De158512e2cB8b9")</f>
        <v>0x3975C876165E2b337F5Fdf5e0De158512e2cB8b9</v>
      </c>
      <c r="C6" s="9" t="str">
        <f>IFERROR(__xludf.DUMMYFUNCTION("""COMPUTED_VALUE"""),"BTC")</f>
        <v>BTC</v>
      </c>
      <c r="D6" s="9" t="str">
        <f>IFERROR(__xludf.DUMMYFUNCTION("""COMPUTED_VALUE"""),"Archived")</f>
        <v>Archived</v>
      </c>
      <c r="E6" s="9" t="b">
        <f>IFERROR(__xludf.DUMMYFUNCTION("""COMPUTED_VALUE"""),TRUE)</f>
        <v>1</v>
      </c>
      <c r="F6" s="55">
        <f>IFERROR(__xludf.DUMMYFUNCTION("""COMPUTED_VALUE"""),0.0)</f>
        <v>0</v>
      </c>
      <c r="G6" s="55">
        <f>IFERROR(__xludf.DUMMYFUNCTION("""COMPUTED_VALUE"""),0.0)</f>
        <v>0</v>
      </c>
      <c r="H6" s="55">
        <f>IFERROR(__xludf.DUMMYFUNCTION("""COMPUTED_VALUE"""),0.0)</f>
        <v>0</v>
      </c>
      <c r="I6" s="9"/>
      <c r="J6" s="9"/>
      <c r="K6" s="9"/>
      <c r="L6" s="9"/>
      <c r="M6" s="9"/>
      <c r="N6" s="9"/>
      <c r="O6" s="9"/>
      <c r="P6" s="9"/>
      <c r="Q6" s="9"/>
    </row>
    <row r="7">
      <c r="A7" s="9" t="str">
        <f>IFERROR(__xludf.DUMMYFUNCTION("""COMPUTED_VALUE"""),"YD - BADGER - renBTCCRV")</f>
        <v>YD - BADGER - renBTCCRV</v>
      </c>
      <c r="B7" s="9" t="str">
        <f>IFERROR(__xludf.DUMMYFUNCTION("""COMPUTED_VALUE"""),"0xb3c934b6659EE18E73EaC6Cc971ee4c6BE31957b")</f>
        <v>0xb3c934b6659EE18E73EaC6Cc971ee4c6BE31957b</v>
      </c>
      <c r="C7" s="9" t="str">
        <f>IFERROR(__xludf.DUMMYFUNCTION("""COMPUTED_VALUE"""),"BTC")</f>
        <v>BTC</v>
      </c>
      <c r="D7" s="9" t="str">
        <f>IFERROR(__xludf.DUMMYFUNCTION("""COMPUTED_VALUE"""),"Archived")</f>
        <v>Archived</v>
      </c>
      <c r="E7" s="9" t="b">
        <f>IFERROR(__xludf.DUMMYFUNCTION("""COMPUTED_VALUE"""),TRUE)</f>
        <v>1</v>
      </c>
      <c r="F7" s="55">
        <f>IFERROR(__xludf.DUMMYFUNCTION("""COMPUTED_VALUE"""),0.0)</f>
        <v>0</v>
      </c>
      <c r="G7" s="55">
        <f>IFERROR(__xludf.DUMMYFUNCTION("""COMPUTED_VALUE"""),0.0)</f>
        <v>0</v>
      </c>
      <c r="H7" s="55">
        <f>IFERROR(__xludf.DUMMYFUNCTION("""COMPUTED_VALUE"""),0.0)</f>
        <v>0</v>
      </c>
      <c r="I7" s="9"/>
      <c r="J7" s="9"/>
      <c r="K7" s="9"/>
      <c r="L7" s="9"/>
      <c r="M7" s="9"/>
      <c r="N7" s="9"/>
      <c r="O7" s="9"/>
      <c r="P7" s="9"/>
      <c r="Q7" s="9"/>
    </row>
    <row r="8">
      <c r="A8" s="9" t="str">
        <f>IFERROR(__xludf.DUMMYFUNCTION("""COMPUTED_VALUE"""),"YD - BADGER - sBTCCRV")</f>
        <v>YD - BADGER - sBTCCRV</v>
      </c>
      <c r="B8" s="9" t="str">
        <f>IFERROR(__xludf.DUMMYFUNCTION("""COMPUTED_VALUE"""),"0xf341c7147d06a74e48d34Fa92b1367Ee7cbe4271")</f>
        <v>0xf341c7147d06a74e48d34Fa92b1367Ee7cbe4271</v>
      </c>
      <c r="C8" s="9" t="str">
        <f>IFERROR(__xludf.DUMMYFUNCTION("""COMPUTED_VALUE"""),"BTC")</f>
        <v>BTC</v>
      </c>
      <c r="D8" s="9" t="str">
        <f>IFERROR(__xludf.DUMMYFUNCTION("""COMPUTED_VALUE"""),"Archived")</f>
        <v>Archived</v>
      </c>
      <c r="E8" s="9" t="b">
        <f>IFERROR(__xludf.DUMMYFUNCTION("""COMPUTED_VALUE"""),TRUE)</f>
        <v>1</v>
      </c>
      <c r="F8" s="55">
        <f>IFERROR(__xludf.DUMMYFUNCTION("""COMPUTED_VALUE"""),0.0)</f>
        <v>0</v>
      </c>
      <c r="G8" s="55">
        <f>IFERROR(__xludf.DUMMYFUNCTION("""COMPUTED_VALUE"""),0.0)</f>
        <v>0</v>
      </c>
      <c r="H8" s="55">
        <f>IFERROR(__xludf.DUMMYFUNCTION("""COMPUTED_VALUE"""),0.0)</f>
        <v>0</v>
      </c>
      <c r="I8" s="9"/>
      <c r="J8" s="9"/>
      <c r="K8" s="9"/>
      <c r="L8" s="9"/>
      <c r="M8" s="9"/>
      <c r="N8" s="9"/>
      <c r="O8" s="9"/>
      <c r="P8" s="9"/>
      <c r="Q8" s="9"/>
    </row>
    <row r="9">
      <c r="A9" s="9" t="str">
        <f>IFERROR(__xludf.DUMMYFUNCTION("""COMPUTED_VALUE"""),"YD - Compound - WBTC")</f>
        <v>YD - Compound - WBTC</v>
      </c>
      <c r="B9" s="9" t="str">
        <f>IFERROR(__xludf.DUMMYFUNCTION("""COMPUTED_VALUE"""),"0x6C0DA3AdedBa198e06164cfaB6326ccCe1A97730")</f>
        <v>0x6C0DA3AdedBa198e06164cfaB6326ccCe1A97730</v>
      </c>
      <c r="C9" s="9" t="str">
        <f>IFERROR(__xludf.DUMMYFUNCTION("""COMPUTED_VALUE"""),"BTC")</f>
        <v>BTC</v>
      </c>
      <c r="D9" s="9" t="str">
        <f>IFERROR(__xludf.DUMMYFUNCTION("""COMPUTED_VALUE"""),"Exited")</f>
        <v>Exited</v>
      </c>
      <c r="E9" s="9" t="b">
        <f>IFERROR(__xludf.DUMMYFUNCTION("""COMPUTED_VALUE"""),TRUE)</f>
        <v>1</v>
      </c>
      <c r="F9" s="55">
        <f>IFERROR(__xludf.DUMMYFUNCTION("""COMPUTED_VALUE"""),0.0)</f>
        <v>0</v>
      </c>
      <c r="G9" s="55">
        <f>IFERROR(__xludf.DUMMYFUNCTION("""COMPUTED_VALUE"""),0.0)</f>
        <v>0</v>
      </c>
      <c r="H9" s="55">
        <f>IFERROR(__xludf.DUMMYFUNCTION("""COMPUTED_VALUE"""),0.0)</f>
        <v>0</v>
      </c>
      <c r="I9" s="9"/>
      <c r="J9" s="9"/>
      <c r="K9" s="9"/>
      <c r="L9" s="9"/>
      <c r="M9" s="9"/>
      <c r="N9" s="9"/>
      <c r="O9" s="9"/>
      <c r="P9" s="9"/>
      <c r="Q9" s="9"/>
    </row>
    <row r="10">
      <c r="A10" s="9" t="str">
        <f>IFERROR(__xludf.DUMMYFUNCTION("""COMPUTED_VALUE"""),"YD-Badger-bBTC
")</f>
        <v>YD-Badger-bBTC
</v>
      </c>
      <c r="B10" s="9" t="str">
        <f>IFERROR(__xludf.DUMMYFUNCTION("""COMPUTED_VALUE"""),"0x433CFfFeA18b811017856e9659ada4e6B441312d")</f>
        <v>0x433CFfFeA18b811017856e9659ada4e6B441312d</v>
      </c>
      <c r="C10" s="9" t="str">
        <f>IFERROR(__xludf.DUMMYFUNCTION("""COMPUTED_VALUE"""),"BTC")</f>
        <v>BTC</v>
      </c>
      <c r="D10" s="9" t="str">
        <f>IFERROR(__xludf.DUMMYFUNCTION("""COMPUTED_VALUE"""),"Live")</f>
        <v>Live</v>
      </c>
      <c r="E10" s="9" t="b">
        <f>IFERROR(__xludf.DUMMYFUNCTION("""COMPUTED_VALUE"""),TRUE)</f>
        <v>1</v>
      </c>
      <c r="F10" s="55">
        <f>IFERROR(__xludf.DUMMYFUNCTION("""COMPUTED_VALUE"""),0.0)</f>
        <v>0</v>
      </c>
      <c r="G10" s="55">
        <f>IFERROR(__xludf.DUMMYFUNCTION("""COMPUTED_VALUE"""),0.0)</f>
        <v>0</v>
      </c>
      <c r="H10" s="55">
        <f>IFERROR(__xludf.DUMMYFUNCTION("""COMPUTED_VALUE"""),0.0)</f>
        <v>0</v>
      </c>
      <c r="I10" s="9" t="str">
        <f>IFERROR(__xludf.DUMMYFUNCTION("""COMPUTED_VALUE"""),"Wallet name change, Old name: 'YD-Convex-bBTC'
")</f>
        <v>Wallet name change, Old name: 'YD-Convex-bBTC'
</v>
      </c>
      <c r="J10" s="9"/>
      <c r="K10" s="56">
        <f>IFERROR(__xludf.DUMMYFUNCTION("""COMPUTED_VALUE"""),0.02)</f>
        <v>0.02</v>
      </c>
      <c r="L10" s="9"/>
      <c r="M10" s="9"/>
      <c r="N10" s="9"/>
      <c r="O10" s="9"/>
      <c r="P10" s="9"/>
      <c r="Q10" s="9"/>
    </row>
    <row r="11">
      <c r="A11" s="9" t="str">
        <f>IFERROR(__xludf.DUMMYFUNCTION("""COMPUTED_VALUE"""),"YD - Convex - LUSD")</f>
        <v>YD - Convex - LUSD</v>
      </c>
      <c r="B11" s="9" t="str">
        <f>IFERROR(__xludf.DUMMYFUNCTION("""COMPUTED_VALUE"""),"0xE32d0090dA539cA9Ab2d1d3fB53B8b91c93DDA12")</f>
        <v>0xE32d0090dA539cA9Ab2d1d3fB53B8b91c93DDA12</v>
      </c>
      <c r="C11" s="9" t="str">
        <f>IFERROR(__xludf.DUMMYFUNCTION("""COMPUTED_VALUE"""),"USDC")</f>
        <v>USDC</v>
      </c>
      <c r="D11" s="9" t="str">
        <f>IFERROR(__xludf.DUMMYFUNCTION("""COMPUTED_VALUE"""),"Live")</f>
        <v>Live</v>
      </c>
      <c r="E11" s="9" t="b">
        <f>IFERROR(__xludf.DUMMYFUNCTION("""COMPUTED_VALUE"""),TRUE)</f>
        <v>1</v>
      </c>
      <c r="F11" s="55">
        <f>IFERROR(__xludf.DUMMYFUNCTION("""COMPUTED_VALUE"""),0.0)</f>
        <v>0</v>
      </c>
      <c r="G11" s="55">
        <f>IFERROR(__xludf.DUMMYFUNCTION("""COMPUTED_VALUE"""),2.956484257471E7)</f>
        <v>29564842.57</v>
      </c>
      <c r="H11" s="55">
        <f>IFERROR(__xludf.DUMMYFUNCTION("""COMPUTED_VALUE"""),2.956484257471E7)</f>
        <v>29564842.57</v>
      </c>
      <c r="I11" s="9" t="str">
        <f>IFERROR(__xludf.DUMMYFUNCTION("""COMPUTED_VALUE"""),"Keep it as is for now")</f>
        <v>Keep it as is for now</v>
      </c>
      <c r="J11" s="9"/>
      <c r="K11" s="9"/>
      <c r="L11" s="9"/>
      <c r="M11" s="9"/>
      <c r="N11" s="33">
        <f>IFERROR(__xludf.DUMMYFUNCTION("""COMPUTED_VALUE"""),0.2292)</f>
        <v>0.2292</v>
      </c>
      <c r="O11" s="9"/>
      <c r="P11" s="9"/>
      <c r="Q11" s="9"/>
    </row>
    <row r="12">
      <c r="A12" s="9" t="str">
        <f>IFERROR(__xludf.DUMMYFUNCTION("""COMPUTED_VALUE"""),"YD-Badger-oBTC
")</f>
        <v>YD-Badger-oBTC
</v>
      </c>
      <c r="B12" s="9" t="str">
        <f>IFERROR(__xludf.DUMMYFUNCTION("""COMPUTED_VALUE"""),"0x321814791bE9c16cf72DCCf986D455a0a163cE03")</f>
        <v>0x321814791bE9c16cf72DCCf986D455a0a163cE03</v>
      </c>
      <c r="C12" s="9" t="str">
        <f>IFERROR(__xludf.DUMMYFUNCTION("""COMPUTED_VALUE"""),"BTC")</f>
        <v>BTC</v>
      </c>
      <c r="D12" s="9" t="str">
        <f>IFERROR(__xludf.DUMMYFUNCTION("""COMPUTED_VALUE"""),"Live")</f>
        <v>Live</v>
      </c>
      <c r="E12" s="9" t="b">
        <f>IFERROR(__xludf.DUMMYFUNCTION("""COMPUTED_VALUE"""),TRUE)</f>
        <v>1</v>
      </c>
      <c r="F12" s="55">
        <f>IFERROR(__xludf.DUMMYFUNCTION("""COMPUTED_VALUE"""),0.0)</f>
        <v>0</v>
      </c>
      <c r="G12" s="55">
        <f>IFERROR(__xludf.DUMMYFUNCTION("""COMPUTED_VALUE"""),0.0)</f>
        <v>0</v>
      </c>
      <c r="H12" s="55">
        <f>IFERROR(__xludf.DUMMYFUNCTION("""COMPUTED_VALUE"""),0.0)</f>
        <v>0</v>
      </c>
      <c r="I12" s="9" t="str">
        <f>IFERROR(__xludf.DUMMYFUNCTION("""COMPUTED_VALUE"""),"Wallet name change, Old name: 'YD-Convex-oBTC'")</f>
        <v>Wallet name change, Old name: 'YD-Convex-oBTC'</v>
      </c>
      <c r="J12" s="9"/>
      <c r="K12" s="33">
        <f>IFERROR(__xludf.DUMMYFUNCTION("""COMPUTED_VALUE"""),0.1929)</f>
        <v>0.1929</v>
      </c>
      <c r="L12" s="9"/>
      <c r="M12" s="9"/>
      <c r="N12" s="9"/>
      <c r="O12" s="9"/>
      <c r="P12" s="9"/>
      <c r="Q12" s="9"/>
    </row>
    <row r="13">
      <c r="A13" s="9" t="str">
        <f>IFERROR(__xludf.DUMMYFUNCTION("""COMPUTED_VALUE"""),"YD-Badger-pBTC
")</f>
        <v>YD-Badger-pBTC
</v>
      </c>
      <c r="B13" s="9" t="str">
        <f>IFERROR(__xludf.DUMMYFUNCTION("""COMPUTED_VALUE"""),"0xDe4288cbc81605E615e40aa0E171F74594671e53")</f>
        <v>0xDe4288cbc81605E615e40aa0E171F74594671e53</v>
      </c>
      <c r="C13" s="9" t="str">
        <f>IFERROR(__xludf.DUMMYFUNCTION("""COMPUTED_VALUE"""),"BTC")</f>
        <v>BTC</v>
      </c>
      <c r="D13" s="9" t="str">
        <f>IFERROR(__xludf.DUMMYFUNCTION("""COMPUTED_VALUE"""),"Live")</f>
        <v>Live</v>
      </c>
      <c r="E13" s="9" t="b">
        <f>IFERROR(__xludf.DUMMYFUNCTION("""COMPUTED_VALUE"""),TRUE)</f>
        <v>1</v>
      </c>
      <c r="F13" s="55">
        <f>IFERROR(__xludf.DUMMYFUNCTION("""COMPUTED_VALUE"""),0.0)</f>
        <v>0</v>
      </c>
      <c r="G13" s="55">
        <f>IFERROR(__xludf.DUMMYFUNCTION("""COMPUTED_VALUE"""),0.0)</f>
        <v>0</v>
      </c>
      <c r="H13" s="55">
        <f>IFERROR(__xludf.DUMMYFUNCTION("""COMPUTED_VALUE"""),0.0)</f>
        <v>0</v>
      </c>
      <c r="I13" s="9" t="str">
        <f>IFERROR(__xludf.DUMMYFUNCTION("""COMPUTED_VALUE"""),"Wallet name change, Old name: 'YD-Convex-pBTC'")</f>
        <v>Wallet name change, Old name: 'YD-Convex-pBTC'</v>
      </c>
      <c r="J13" s="9"/>
      <c r="K13" s="33">
        <f>IFERROR(__xludf.DUMMYFUNCTION("""COMPUTED_VALUE"""),0.2022)</f>
        <v>0.2022</v>
      </c>
      <c r="L13" s="9"/>
      <c r="M13" s="9"/>
      <c r="N13" s="9"/>
      <c r="O13" s="9"/>
      <c r="P13" s="9"/>
      <c r="Q13" s="9"/>
    </row>
    <row r="14">
      <c r="A14" s="9" t="str">
        <f>IFERROR(__xludf.DUMMYFUNCTION("""COMPUTED_VALUE"""),"DD - Curve - rETH")</f>
        <v>DD - Curve - rETH</v>
      </c>
      <c r="B14" s="9" t="str">
        <f>IFERROR(__xludf.DUMMYFUNCTION("""COMPUTED_VALUE"""),"0xF8a8199C832256D0Ea397CB96E8A766Ff97d7985")</f>
        <v>0xF8a8199C832256D0Ea397CB96E8A766Ff97d7985</v>
      </c>
      <c r="C14" s="9" t="str">
        <f>IFERROR(__xludf.DUMMYFUNCTION("""COMPUTED_VALUE"""),"ETH")</f>
        <v>ETH</v>
      </c>
      <c r="D14" s="9" t="str">
        <f>IFERROR(__xludf.DUMMYFUNCTION("""COMPUTED_VALUE"""),"Live")</f>
        <v>Live</v>
      </c>
      <c r="E14" s="9" t="b">
        <f>IFERROR(__xludf.DUMMYFUNCTION("""COMPUTED_VALUE"""),TRUE)</f>
        <v>1</v>
      </c>
      <c r="F14" s="55">
        <f>IFERROR(__xludf.DUMMYFUNCTION("""COMPUTED_VALUE"""),0.0)</f>
        <v>0</v>
      </c>
      <c r="G14" s="55">
        <f>IFERROR(__xludf.DUMMYFUNCTION("""COMPUTED_VALUE"""),0.0)</f>
        <v>0</v>
      </c>
      <c r="H14" s="55">
        <f>IFERROR(__xludf.DUMMYFUNCTION("""COMPUTED_VALUE"""),0.0)</f>
        <v>0</v>
      </c>
      <c r="I14" s="9"/>
      <c r="J14" s="9" t="str">
        <f>IFERROR(__xludf.DUMMYFUNCTION("""COMPUTED_VALUE"""),"RETH")</f>
        <v>RETH</v>
      </c>
      <c r="K14" s="9"/>
      <c r="L14" s="33">
        <f>IFERROR(__xludf.DUMMYFUNCTION("""COMPUTED_VALUE"""),0.08096952588908048)</f>
        <v>0.08096952589</v>
      </c>
      <c r="M14" s="9"/>
      <c r="N14" s="9"/>
      <c r="O14" s="9"/>
      <c r="P14" s="9"/>
      <c r="Q14" s="9"/>
    </row>
    <row r="15">
      <c r="A15" s="9" t="str">
        <f>IFERROR(__xludf.DUMMYFUNCTION("""COMPUTED_VALUE"""),"YD - Curve - alUSD")</f>
        <v>YD - Curve - alUSD</v>
      </c>
      <c r="B15" s="9" t="str">
        <f>IFERROR(__xludf.DUMMYFUNCTION("""COMPUTED_VALUE"""),"0xAB7a0225C1B48474EF4F2c984E38bD9A18359E4C")</f>
        <v>0xAB7a0225C1B48474EF4F2c984E38bD9A18359E4C</v>
      </c>
      <c r="C15" s="9" t="str">
        <f>IFERROR(__xludf.DUMMYFUNCTION("""COMPUTED_VALUE"""),"USDT/USDC")</f>
        <v>USDT/USDC</v>
      </c>
      <c r="D15" s="9" t="str">
        <f>IFERROR(__xludf.DUMMYFUNCTION("""COMPUTED_VALUE"""),"Exited")</f>
        <v>Exited</v>
      </c>
      <c r="E15" s="9" t="b">
        <f>IFERROR(__xludf.DUMMYFUNCTION("""COMPUTED_VALUE"""),TRUE)</f>
        <v>1</v>
      </c>
      <c r="F15" s="55">
        <f>IFERROR(__xludf.DUMMYFUNCTION("""COMPUTED_VALUE"""),0.0)</f>
        <v>0</v>
      </c>
      <c r="G15" s="55">
        <f>IFERROR(__xludf.DUMMYFUNCTION("""COMPUTED_VALUE"""),0.0)</f>
        <v>0</v>
      </c>
      <c r="H15" s="55">
        <f>IFERROR(__xludf.DUMMYFUNCTION("""COMPUTED_VALUE"""),0.0)</f>
        <v>0</v>
      </c>
      <c r="I15" s="9"/>
      <c r="J15" s="9"/>
      <c r="K15" s="9"/>
      <c r="L15" s="9"/>
      <c r="M15" s="9"/>
      <c r="N15" s="9"/>
      <c r="O15" s="9"/>
      <c r="P15" s="9"/>
      <c r="Q15" s="9"/>
    </row>
    <row r="16">
      <c r="A16" s="9" t="str">
        <f>IFERROR(__xludf.DUMMYFUNCTION("""COMPUTED_VALUE"""),"YD-Curve/Convex-AnkrETH
")</f>
        <v>YD-Curve/Convex-AnkrETH
</v>
      </c>
      <c r="B16" s="9" t="str">
        <f>IFERROR(__xludf.DUMMYFUNCTION("""COMPUTED_VALUE"""),"0x9D65b98D09914D0cd39172D20292142e4Fb8930a")</f>
        <v>0x9D65b98D09914D0cd39172D20292142e4Fb8930a</v>
      </c>
      <c r="C16" s="9" t="str">
        <f>IFERROR(__xludf.DUMMYFUNCTION("""COMPUTED_VALUE"""),"ETH")</f>
        <v>ETH</v>
      </c>
      <c r="D16" s="9" t="str">
        <f>IFERROR(__xludf.DUMMYFUNCTION("""COMPUTED_VALUE"""),"Live")</f>
        <v>Live</v>
      </c>
      <c r="E16" s="9" t="b">
        <f>IFERROR(__xludf.DUMMYFUNCTION("""COMPUTED_VALUE"""),TRUE)</f>
        <v>1</v>
      </c>
      <c r="F16" s="55">
        <f>IFERROR(__xludf.DUMMYFUNCTION("""COMPUTED_VALUE"""),0.0)</f>
        <v>0</v>
      </c>
      <c r="G16" s="55">
        <f>IFERROR(__xludf.DUMMYFUNCTION("""COMPUTED_VALUE"""),0.0)</f>
        <v>0</v>
      </c>
      <c r="H16" s="55">
        <f>IFERROR(__xludf.DUMMYFUNCTION("""COMPUTED_VALUE"""),0.0)</f>
        <v>0</v>
      </c>
      <c r="I16" s="9" t="str">
        <f>IFERROR(__xludf.DUMMYFUNCTION("""COMPUTED_VALUE"""),"Wallet name change, Old name: 'YD - Curve - AnkrETH'")</f>
        <v>Wallet name change, Old name: 'YD - Curve - AnkrETH'</v>
      </c>
      <c r="J16" s="9" t="str">
        <f>IFERROR(__xludf.DUMMYFUNCTION("""COMPUTED_VALUE"""),"ANKRETH")</f>
        <v>ANKRETH</v>
      </c>
      <c r="K16" s="9"/>
      <c r="L16" s="33">
        <f>IFERROR(__xludf.DUMMYFUNCTION("""COMPUTED_VALUE"""),0.04)</f>
        <v>0.04</v>
      </c>
      <c r="M16" s="9"/>
      <c r="N16" s="9"/>
      <c r="O16" s="9"/>
      <c r="P16" s="9"/>
      <c r="Q16" s="9"/>
    </row>
    <row r="17">
      <c r="A17" s="9" t="str">
        <f>IFERROR(__xludf.DUMMYFUNCTION("""COMPUTED_VALUE"""),"YD - Curve - BBTC")</f>
        <v>YD - Curve - BBTC</v>
      </c>
      <c r="B17" s="9" t="str">
        <f>IFERROR(__xludf.DUMMYFUNCTION("""COMPUTED_VALUE"""),"0xC3646AcFC21168D16893ed000388926899061706")</f>
        <v>0xC3646AcFC21168D16893ed000388926899061706</v>
      </c>
      <c r="C17" s="9" t="str">
        <f>IFERROR(__xludf.DUMMYFUNCTION("""COMPUTED_VALUE"""),"BTC")</f>
        <v>BTC</v>
      </c>
      <c r="D17" s="9" t="str">
        <f>IFERROR(__xludf.DUMMYFUNCTION("""COMPUTED_VALUE"""),"Live")</f>
        <v>Live</v>
      </c>
      <c r="E17" s="9" t="b">
        <f>IFERROR(__xludf.DUMMYFUNCTION("""COMPUTED_VALUE"""),TRUE)</f>
        <v>1</v>
      </c>
      <c r="F17" s="55">
        <f>IFERROR(__xludf.DUMMYFUNCTION("""COMPUTED_VALUE"""),0.0)</f>
        <v>0</v>
      </c>
      <c r="G17" s="55">
        <f>IFERROR(__xludf.DUMMYFUNCTION("""COMPUTED_VALUE"""),7828.421696629315)</f>
        <v>7828.421697</v>
      </c>
      <c r="H17" s="55">
        <f>IFERROR(__xludf.DUMMYFUNCTION("""COMPUTED_VALUE"""),7828.421696629315)</f>
        <v>7828.421697</v>
      </c>
      <c r="I17" s="9"/>
      <c r="J17" s="9"/>
      <c r="K17" s="9"/>
      <c r="L17" s="9"/>
      <c r="M17" s="9"/>
      <c r="N17" s="9"/>
      <c r="O17" s="9"/>
      <c r="P17" s="9"/>
      <c r="Q17" s="9"/>
    </row>
    <row r="18">
      <c r="A18" s="9" t="str">
        <f>IFERROR(__xludf.DUMMYFUNCTION("""COMPUTED_VALUE"""),"YD - Curve - BUSDv2")</f>
        <v>YD - Curve - BUSDv2</v>
      </c>
      <c r="B18" s="9" t="str">
        <f>IFERROR(__xludf.DUMMYFUNCTION("""COMPUTED_VALUE"""),"0xe734F28EdA78893DaB22D53FDD24F8595A2d7812")</f>
        <v>0xe734F28EdA78893DaB22D53FDD24F8595A2d7812</v>
      </c>
      <c r="C18" s="9" t="str">
        <f>IFERROR(__xludf.DUMMYFUNCTION("""COMPUTED_VALUE"""),"BUSD")</f>
        <v>BUSD</v>
      </c>
      <c r="D18" s="9" t="str">
        <f>IFERROR(__xludf.DUMMYFUNCTION("""COMPUTED_VALUE"""),"Live")</f>
        <v>Live</v>
      </c>
      <c r="E18" s="9" t="b">
        <f>IFERROR(__xludf.DUMMYFUNCTION("""COMPUTED_VALUE"""),TRUE)</f>
        <v>1</v>
      </c>
      <c r="F18" s="55">
        <f>IFERROR(__xludf.DUMMYFUNCTION("""COMPUTED_VALUE"""),0.0)</f>
        <v>0</v>
      </c>
      <c r="G18" s="55">
        <f>IFERROR(__xludf.DUMMYFUNCTION("""COMPUTED_VALUE"""),8178133.628853822)</f>
        <v>8178133.629</v>
      </c>
      <c r="H18" s="55">
        <f>IFERROR(__xludf.DUMMYFUNCTION("""COMPUTED_VALUE"""),8178133.628853822)</f>
        <v>8178133.629</v>
      </c>
      <c r="I18" s="9"/>
      <c r="J18" s="9"/>
      <c r="K18" s="9"/>
      <c r="L18" s="9"/>
      <c r="M18" s="9"/>
      <c r="N18" s="9"/>
      <c r="O18" s="33">
        <f>IFERROR(__xludf.DUMMYFUNCTION("""COMPUTED_VALUE"""),0.1898)</f>
        <v>0.1898</v>
      </c>
      <c r="P18" s="9"/>
      <c r="Q18" s="9"/>
    </row>
    <row r="19">
      <c r="A19" s="9" t="str">
        <f>IFERROR(__xludf.DUMMYFUNCTION("""COMPUTED_VALUE"""),"YD-Convex/Badger-hBTC")</f>
        <v>YD-Convex/Badger-hBTC</v>
      </c>
      <c r="B19" s="9" t="str">
        <f>IFERROR(__xludf.DUMMYFUNCTION("""COMPUTED_VALUE"""),"0xbd9795a14035dBA41BccFC563329aA6b197A0cBB")</f>
        <v>0xbd9795a14035dBA41BccFC563329aA6b197A0cBB</v>
      </c>
      <c r="C19" s="9" t="str">
        <f>IFERROR(__xludf.DUMMYFUNCTION("""COMPUTED_VALUE"""),"BTC")</f>
        <v>BTC</v>
      </c>
      <c r="D19" s="9" t="str">
        <f>IFERROR(__xludf.DUMMYFUNCTION("""COMPUTED_VALUE"""),"Live")</f>
        <v>Live</v>
      </c>
      <c r="E19" s="9" t="b">
        <f>IFERROR(__xludf.DUMMYFUNCTION("""COMPUTED_VALUE"""),TRUE)</f>
        <v>1</v>
      </c>
      <c r="F19" s="55">
        <f>IFERROR(__xludf.DUMMYFUNCTION("""COMPUTED_VALUE"""),0.0)</f>
        <v>0</v>
      </c>
      <c r="G19" s="55">
        <f>IFERROR(__xludf.DUMMYFUNCTION("""COMPUTED_VALUE"""),0.0)</f>
        <v>0</v>
      </c>
      <c r="H19" s="55">
        <f>IFERROR(__xludf.DUMMYFUNCTION("""COMPUTED_VALUE"""),0.0)</f>
        <v>0</v>
      </c>
      <c r="I19" s="9" t="str">
        <f>IFERROR(__xludf.DUMMYFUNCTION("""COMPUTED_VALUE"""),"Wallet name change, Old name: 'YD-Curve-hBTC'")</f>
        <v>Wallet name change, Old name: 'YD-Curve-hBTC'</v>
      </c>
      <c r="J19" s="9" t="str">
        <f>IFERROR(__xludf.DUMMYFUNCTION("""COMPUTED_VALUE"""),"HBTC")</f>
        <v>HBTC</v>
      </c>
      <c r="K19" s="33">
        <f>IFERROR(__xludf.DUMMYFUNCTION("""COMPUTED_VALUE"""),0.0186022136586362)</f>
        <v>0.01860221366</v>
      </c>
      <c r="L19" s="9"/>
      <c r="M19" s="9"/>
      <c r="N19" s="9"/>
      <c r="O19" s="9"/>
      <c r="P19" s="9"/>
      <c r="Q19" s="9"/>
    </row>
    <row r="20">
      <c r="A20" s="9" t="str">
        <f>IFERROR(__xludf.DUMMYFUNCTION("""COMPUTED_VALUE"""),"YD - Curve - oBTC")</f>
        <v>YD - Curve - oBTC</v>
      </c>
      <c r="B20" s="9" t="str">
        <f>IFERROR(__xludf.DUMMYFUNCTION("""COMPUTED_VALUE"""),"0xc6BF6ac334814208f9450FA068bE53fC7Df13c24")</f>
        <v>0xc6BF6ac334814208f9450FA068bE53fC7Df13c24</v>
      </c>
      <c r="C20" s="9" t="str">
        <f>IFERROR(__xludf.DUMMYFUNCTION("""COMPUTED_VALUE"""),"BTC")</f>
        <v>BTC</v>
      </c>
      <c r="D20" s="9" t="str">
        <f>IFERROR(__xludf.DUMMYFUNCTION("""COMPUTED_VALUE"""),"Live")</f>
        <v>Live</v>
      </c>
      <c r="E20" s="9" t="b">
        <f>IFERROR(__xludf.DUMMYFUNCTION("""COMPUTED_VALUE"""),TRUE)</f>
        <v>1</v>
      </c>
      <c r="F20" s="55">
        <f>IFERROR(__xludf.DUMMYFUNCTION("""COMPUTED_VALUE"""),0.0)</f>
        <v>0</v>
      </c>
      <c r="G20" s="55">
        <f>IFERROR(__xludf.DUMMYFUNCTION("""COMPUTED_VALUE"""),16593.19785813496)</f>
        <v>16593.19786</v>
      </c>
      <c r="H20" s="55">
        <f>IFERROR(__xludf.DUMMYFUNCTION("""COMPUTED_VALUE"""),16593.19785813496)</f>
        <v>16593.19786</v>
      </c>
      <c r="I20" s="9"/>
      <c r="J20" s="9"/>
      <c r="K20" s="9"/>
      <c r="L20" s="9"/>
      <c r="M20" s="9"/>
      <c r="N20" s="9"/>
      <c r="O20" s="9"/>
      <c r="P20" s="9"/>
      <c r="Q20" s="9"/>
    </row>
    <row r="21">
      <c r="A21" s="9" t="str">
        <f>IFERROR(__xludf.DUMMYFUNCTION("""COMPUTED_VALUE"""),"YD - Curve - pBTC")</f>
        <v>YD - Curve - pBTC</v>
      </c>
      <c r="B21" s="9" t="str">
        <f>IFERROR(__xludf.DUMMYFUNCTION("""COMPUTED_VALUE"""),"0x2CA12140298Dd9fc7A995fc66A01110D0C1778C1")</f>
        <v>0x2CA12140298Dd9fc7A995fc66A01110D0C1778C1</v>
      </c>
      <c r="C21" s="9" t="str">
        <f>IFERROR(__xludf.DUMMYFUNCTION("""COMPUTED_VALUE"""),"BTC")</f>
        <v>BTC</v>
      </c>
      <c r="D21" s="9" t="str">
        <f>IFERROR(__xludf.DUMMYFUNCTION("""COMPUTED_VALUE"""),"Live")</f>
        <v>Live</v>
      </c>
      <c r="E21" s="9" t="b">
        <f>IFERROR(__xludf.DUMMYFUNCTION("""COMPUTED_VALUE"""),TRUE)</f>
        <v>1</v>
      </c>
      <c r="F21" s="55">
        <f>IFERROR(__xludf.DUMMYFUNCTION("""COMPUTED_VALUE"""),0.0)</f>
        <v>0</v>
      </c>
      <c r="G21" s="55">
        <f>IFERROR(__xludf.DUMMYFUNCTION("""COMPUTED_VALUE"""),73489.68622711432)</f>
        <v>73489.68623</v>
      </c>
      <c r="H21" s="55">
        <f>IFERROR(__xludf.DUMMYFUNCTION("""COMPUTED_VALUE"""),73489.68622711432)</f>
        <v>73489.68623</v>
      </c>
      <c r="I21" s="9"/>
      <c r="J21" s="9"/>
      <c r="K21" s="9"/>
      <c r="L21" s="9"/>
      <c r="M21" s="9"/>
      <c r="N21" s="9"/>
      <c r="O21" s="9"/>
      <c r="P21" s="9"/>
      <c r="Q21" s="9"/>
    </row>
    <row r="22">
      <c r="A22" s="9" t="str">
        <f>IFERROR(__xludf.DUMMYFUNCTION("""COMPUTED_VALUE"""),"YD-Convex-renBTC")</f>
        <v>YD-Convex-renBTC</v>
      </c>
      <c r="B22" s="9" t="str">
        <f>IFERROR(__xludf.DUMMYFUNCTION("""COMPUTED_VALUE"""),"0x7F5b62177541b48d6242620A7C02a16c9c83F4b3")</f>
        <v>0x7F5b62177541b48d6242620A7C02a16c9c83F4b3</v>
      </c>
      <c r="C22" s="9" t="str">
        <f>IFERROR(__xludf.DUMMYFUNCTION("""COMPUTED_VALUE"""),"BTC")</f>
        <v>BTC</v>
      </c>
      <c r="D22" s="9" t="str">
        <f>IFERROR(__xludf.DUMMYFUNCTION("""COMPUTED_VALUE"""),"Live")</f>
        <v>Live</v>
      </c>
      <c r="E22" s="9" t="b">
        <f>IFERROR(__xludf.DUMMYFUNCTION("""COMPUTED_VALUE"""),TRUE)</f>
        <v>1</v>
      </c>
      <c r="F22" s="55">
        <f>IFERROR(__xludf.DUMMYFUNCTION("""COMPUTED_VALUE"""),0.0)</f>
        <v>0</v>
      </c>
      <c r="G22" s="55">
        <f>IFERROR(__xludf.DUMMYFUNCTION("""COMPUTED_VALUE"""),0.0)</f>
        <v>0</v>
      </c>
      <c r="H22" s="55">
        <f>IFERROR(__xludf.DUMMYFUNCTION("""COMPUTED_VALUE"""),0.0)</f>
        <v>0</v>
      </c>
      <c r="I22" s="9" t="str">
        <f>IFERROR(__xludf.DUMMYFUNCTION("""COMPUTED_VALUE"""),"Wallet name change, Old name:'YD-Curve-renBTC'")</f>
        <v>Wallet name change, Old name:'YD-Curve-renBTC'</v>
      </c>
      <c r="J22" s="9"/>
      <c r="K22" s="33">
        <f>IFERROR(__xludf.DUMMYFUNCTION("""COMPUTED_VALUE"""),0.1019)</f>
        <v>0.1019</v>
      </c>
      <c r="L22" s="9"/>
      <c r="M22" s="9"/>
      <c r="N22" s="9"/>
      <c r="O22" s="9"/>
      <c r="P22" s="9"/>
      <c r="Q22" s="9"/>
    </row>
    <row r="23">
      <c r="A23" s="9" t="str">
        <f>IFERROR(__xludf.DUMMYFUNCTION("""COMPUTED_VALUE"""),"YD-Badger-sBTC")</f>
        <v>YD-Badger-sBTC</v>
      </c>
      <c r="B23" s="9" t="str">
        <f>IFERROR(__xludf.DUMMYFUNCTION("""COMPUTED_VALUE"""),"0x81EEc27E8e98289732ac106632047896E6592604")</f>
        <v>0x81EEc27E8e98289732ac106632047896E6592604</v>
      </c>
      <c r="C23" s="9" t="str">
        <f>IFERROR(__xludf.DUMMYFUNCTION("""COMPUTED_VALUE"""),"BTC")</f>
        <v>BTC</v>
      </c>
      <c r="D23" s="9" t="str">
        <f>IFERROR(__xludf.DUMMYFUNCTION("""COMPUTED_VALUE"""),"Live")</f>
        <v>Live</v>
      </c>
      <c r="E23" s="9" t="b">
        <f>IFERROR(__xludf.DUMMYFUNCTION("""COMPUTED_VALUE"""),TRUE)</f>
        <v>1</v>
      </c>
      <c r="F23" s="55">
        <f>IFERROR(__xludf.DUMMYFUNCTION("""COMPUTED_VALUE"""),0.0)</f>
        <v>0</v>
      </c>
      <c r="G23" s="55">
        <f>IFERROR(__xludf.DUMMYFUNCTION("""COMPUTED_VALUE"""),0.0)</f>
        <v>0</v>
      </c>
      <c r="H23" s="55">
        <f>IFERROR(__xludf.DUMMYFUNCTION("""COMPUTED_VALUE"""),0.0)</f>
        <v>0</v>
      </c>
      <c r="I23" s="9" t="str">
        <f>IFERROR(__xludf.DUMMYFUNCTION("""COMPUTED_VALUE"""),"Wallet name change, Old name:'YD-Curve-sBTC'")</f>
        <v>Wallet name change, Old name:'YD-Curve-sBTC'</v>
      </c>
      <c r="J23" s="9"/>
      <c r="K23" s="33">
        <f>IFERROR(__xludf.DUMMYFUNCTION("""COMPUTED_VALUE"""),0.02)</f>
        <v>0.02</v>
      </c>
      <c r="L23" s="9"/>
      <c r="M23" s="9"/>
      <c r="N23" s="9"/>
      <c r="O23" s="9"/>
      <c r="P23" s="9"/>
      <c r="Q23" s="9"/>
    </row>
    <row r="24">
      <c r="A24" s="9" t="str">
        <f>IFERROR(__xludf.DUMMYFUNCTION("""COMPUTED_VALUE"""),"YD - Curve - sETH")</f>
        <v>YD - Curve - sETH</v>
      </c>
      <c r="B24" s="9" t="str">
        <f>IFERROR(__xludf.DUMMYFUNCTION("""COMPUTED_VALUE"""),"0xC9d0eC063fbf29438D5356b3c654892b387E5CCB")</f>
        <v>0xC9d0eC063fbf29438D5356b3c654892b387E5CCB</v>
      </c>
      <c r="C24" s="9" t="str">
        <f>IFERROR(__xludf.DUMMYFUNCTION("""COMPUTED_VALUE"""),"ETH")</f>
        <v>ETH</v>
      </c>
      <c r="D24" s="9" t="str">
        <f>IFERROR(__xludf.DUMMYFUNCTION("""COMPUTED_VALUE"""),"Live")</f>
        <v>Live</v>
      </c>
      <c r="E24" s="9" t="b">
        <f>IFERROR(__xludf.DUMMYFUNCTION("""COMPUTED_VALUE"""),TRUE)</f>
        <v>1</v>
      </c>
      <c r="F24" s="55">
        <f>IFERROR(__xludf.DUMMYFUNCTION("""COMPUTED_VALUE"""),0.0)</f>
        <v>0</v>
      </c>
      <c r="G24" s="55">
        <f>IFERROR(__xludf.DUMMYFUNCTION("""COMPUTED_VALUE"""),3.036697303734963E8)</f>
        <v>303669730.4</v>
      </c>
      <c r="H24" s="55">
        <f>IFERROR(__xludf.DUMMYFUNCTION("""COMPUTED_VALUE"""),3.036697303734963E8)</f>
        <v>303669730.4</v>
      </c>
      <c r="I24" s="9"/>
      <c r="J24" s="9" t="str">
        <f>IFERROR(__xludf.DUMMYFUNCTION("""COMPUTED_VALUE"""),"SETH")</f>
        <v>SETH</v>
      </c>
      <c r="K24" s="9"/>
      <c r="L24" s="33">
        <f>IFERROR(__xludf.DUMMYFUNCTION("""COMPUTED_VALUE"""),0.00780944112752306)</f>
        <v>0.007809441128</v>
      </c>
      <c r="M24" s="9"/>
      <c r="N24" s="9"/>
      <c r="O24" s="9"/>
      <c r="P24" s="9"/>
      <c r="Q24" s="9"/>
    </row>
    <row r="25">
      <c r="A25" s="9" t="str">
        <f>IFERROR(__xludf.DUMMYFUNCTION("""COMPUTED_VALUE"""),"YD - Curve - SLINK")</f>
        <v>YD - Curve - SLINK</v>
      </c>
      <c r="B25" s="9" t="str">
        <f>IFERROR(__xludf.DUMMYFUNCTION("""COMPUTED_VALUE"""),"0x23BDf770d95f6A9F80e28708573b1488CB18f300")</f>
        <v>0x23BDf770d95f6A9F80e28708573b1488CB18f300</v>
      </c>
      <c r="C25" s="9" t="str">
        <f>IFERROR(__xludf.DUMMYFUNCTION("""COMPUTED_VALUE"""),"LINK")</f>
        <v>LINK</v>
      </c>
      <c r="D25" s="9" t="str">
        <f>IFERROR(__xludf.DUMMYFUNCTION("""COMPUTED_VALUE"""),"Live")</f>
        <v>Live</v>
      </c>
      <c r="E25" s="9" t="b">
        <f>IFERROR(__xludf.DUMMYFUNCTION("""COMPUTED_VALUE"""),TRUE)</f>
        <v>1</v>
      </c>
      <c r="F25" s="55">
        <f>IFERROR(__xludf.DUMMYFUNCTION("""COMPUTED_VALUE"""),0.0)</f>
        <v>0</v>
      </c>
      <c r="G25" s="55">
        <f>IFERROR(__xludf.DUMMYFUNCTION("""COMPUTED_VALUE"""),2.122877609360593E7)</f>
        <v>21228776.09</v>
      </c>
      <c r="H25" s="55">
        <f>IFERROR(__xludf.DUMMYFUNCTION("""COMPUTED_VALUE"""),2.122877609360593E7)</f>
        <v>21228776.09</v>
      </c>
      <c r="I25" s="9"/>
      <c r="J25" s="9" t="str">
        <f>IFERROR(__xludf.DUMMYFUNCTION("""COMPUTED_VALUE"""),"LINK")</f>
        <v>LINK</v>
      </c>
      <c r="K25" s="9"/>
      <c r="L25" s="9"/>
      <c r="M25" s="33">
        <f>IFERROR(__xludf.DUMMYFUNCTION("""COMPUTED_VALUE"""),0.01057032649483551)</f>
        <v>0.01057032649</v>
      </c>
      <c r="N25" s="9"/>
      <c r="O25" s="9"/>
      <c r="P25" s="9"/>
      <c r="Q25" s="9"/>
    </row>
    <row r="26">
      <c r="A26" s="9" t="str">
        <f>IFERROR(__xludf.DUMMYFUNCTION("""COMPUTED_VALUE"""),"YD - Curve - stETH")</f>
        <v>YD - Curve - stETH</v>
      </c>
      <c r="B26" s="9" t="str">
        <f>IFERROR(__xludf.DUMMYFUNCTION("""COMPUTED_VALUE"""),"0xBC8d100e2c7C1d6BbEfc3128bd5185d226a1976A")</f>
        <v>0xBC8d100e2c7C1d6BbEfc3128bd5185d226a1976A</v>
      </c>
      <c r="C26" s="9" t="str">
        <f>IFERROR(__xludf.DUMMYFUNCTION("""COMPUTED_VALUE"""),"ETH")</f>
        <v>ETH</v>
      </c>
      <c r="D26" s="9" t="str">
        <f>IFERROR(__xludf.DUMMYFUNCTION("""COMPUTED_VALUE"""),"Live")</f>
        <v>Live</v>
      </c>
      <c r="E26" s="9" t="b">
        <f>IFERROR(__xludf.DUMMYFUNCTION("""COMPUTED_VALUE"""),TRUE)</f>
        <v>1</v>
      </c>
      <c r="F26" s="55">
        <f>IFERROR(__xludf.DUMMYFUNCTION("""COMPUTED_VALUE"""),0.0)</f>
        <v>0</v>
      </c>
      <c r="G26" s="55">
        <f>IFERROR(__xludf.DUMMYFUNCTION("""COMPUTED_VALUE"""),8.156594076074569E8)</f>
        <v>815659407.6</v>
      </c>
      <c r="H26" s="55">
        <f>IFERROR(__xludf.DUMMYFUNCTION("""COMPUTED_VALUE"""),8.156594076074569E8)</f>
        <v>815659407.6</v>
      </c>
      <c r="I26" s="9"/>
      <c r="J26" s="9" t="str">
        <f>IFERROR(__xludf.DUMMYFUNCTION("""COMPUTED_VALUE"""),"STETH")</f>
        <v>STETH</v>
      </c>
      <c r="K26" s="9"/>
      <c r="L26" s="33">
        <f>IFERROR(__xludf.DUMMYFUNCTION("""COMPUTED_VALUE"""),0.09607602835647373)</f>
        <v>0.09607602836</v>
      </c>
      <c r="M26" s="9"/>
      <c r="N26" s="9"/>
      <c r="O26" s="9"/>
      <c r="P26" s="9"/>
      <c r="Q26" s="9"/>
    </row>
    <row r="27">
      <c r="A27" s="9" t="str">
        <f>IFERROR(__xludf.DUMMYFUNCTION("""COMPUTED_VALUE"""),"DD - Convex - tBTC")</f>
        <v>DD - Convex - tBTC</v>
      </c>
      <c r="B27" s="9" t="str">
        <f>IFERROR(__xludf.DUMMYFUNCTION("""COMPUTED_VALUE"""),"0x93494ee38aA2984F6ef6649976488e589571A013")</f>
        <v>0x93494ee38aA2984F6ef6649976488e589571A013</v>
      </c>
      <c r="C27" s="9" t="str">
        <f>IFERROR(__xludf.DUMMYFUNCTION("""COMPUTED_VALUE"""),"BTC")</f>
        <v>BTC</v>
      </c>
      <c r="D27" s="9" t="str">
        <f>IFERROR(__xludf.DUMMYFUNCTION("""COMPUTED_VALUE"""),"Live")</f>
        <v>Live</v>
      </c>
      <c r="E27" s="9" t="b">
        <f>IFERROR(__xludf.DUMMYFUNCTION("""COMPUTED_VALUE"""),TRUE)</f>
        <v>1</v>
      </c>
      <c r="F27" s="55">
        <f>IFERROR(__xludf.DUMMYFUNCTION("""COMPUTED_VALUE"""),0.0)</f>
        <v>0</v>
      </c>
      <c r="G27" s="55">
        <f>IFERROR(__xludf.DUMMYFUNCTION("""COMPUTED_VALUE"""),0.0)</f>
        <v>0</v>
      </c>
      <c r="H27" s="55">
        <f>IFERROR(__xludf.DUMMYFUNCTION("""COMPUTED_VALUE"""),0.0)</f>
        <v>0</v>
      </c>
      <c r="I27" s="9"/>
      <c r="J27" s="9"/>
      <c r="K27" s="33">
        <f>IFERROR(__xludf.DUMMYFUNCTION("""COMPUTED_VALUE"""),0.2358)</f>
        <v>0.2358</v>
      </c>
      <c r="L27" s="9"/>
      <c r="M27" s="9"/>
      <c r="N27" s="9"/>
      <c r="O27" s="9"/>
      <c r="P27" s="9"/>
      <c r="Q27" s="9"/>
    </row>
    <row r="28">
      <c r="A28" s="9" t="str">
        <f>IFERROR(__xludf.DUMMYFUNCTION("""COMPUTED_VALUE"""),"YD - Harvest - HBTC")</f>
        <v>YD - Harvest - HBTC</v>
      </c>
      <c r="B28" s="9" t="str">
        <f>IFERROR(__xludf.DUMMYFUNCTION("""COMPUTED_VALUE"""),"0x0F474447fAca01dCc09C9741179d2619499F7ae9")</f>
        <v>0x0F474447fAca01dCc09C9741179d2619499F7ae9</v>
      </c>
      <c r="C28" s="9" t="str">
        <f>IFERROR(__xludf.DUMMYFUNCTION("""COMPUTED_VALUE"""),"BTC")</f>
        <v>BTC</v>
      </c>
      <c r="D28" s="9" t="str">
        <f>IFERROR(__xludf.DUMMYFUNCTION("""COMPUTED_VALUE"""),"Live")</f>
        <v>Live</v>
      </c>
      <c r="E28" s="9" t="b">
        <f>IFERROR(__xludf.DUMMYFUNCTION("""COMPUTED_VALUE"""),TRUE)</f>
        <v>1</v>
      </c>
      <c r="F28" s="55">
        <f>IFERROR(__xludf.DUMMYFUNCTION("""COMPUTED_VALUE"""),0.0)</f>
        <v>0</v>
      </c>
      <c r="G28" s="55">
        <f>IFERROR(__xludf.DUMMYFUNCTION("""COMPUTED_VALUE"""),0.0)</f>
        <v>0</v>
      </c>
      <c r="H28" s="55">
        <f>IFERROR(__xludf.DUMMYFUNCTION("""COMPUTED_VALUE"""),0.0)</f>
        <v>0</v>
      </c>
      <c r="I28" s="9"/>
      <c r="J28" s="9"/>
      <c r="K28" s="33">
        <f>IFERROR(__xludf.DUMMYFUNCTION("""COMPUTED_VALUE"""),0.0897)</f>
        <v>0.0897</v>
      </c>
      <c r="L28" s="9"/>
      <c r="M28" s="9"/>
      <c r="N28" s="9"/>
      <c r="O28" s="9"/>
      <c r="P28" s="9"/>
      <c r="Q28" s="9"/>
    </row>
    <row r="29">
      <c r="A29" s="9" t="str">
        <f>IFERROR(__xludf.DUMMYFUNCTION("""COMPUTED_VALUE"""),"YD - Harvest - renBTC")</f>
        <v>YD - Harvest - renBTC</v>
      </c>
      <c r="B29" s="9" t="str">
        <f>IFERROR(__xludf.DUMMYFUNCTION("""COMPUTED_VALUE"""),"0xb78Eeb513f717a29089eFb023E80F927CA2F0346")</f>
        <v>0xb78Eeb513f717a29089eFb023E80F927CA2F0346</v>
      </c>
      <c r="C29" s="9" t="str">
        <f>IFERROR(__xludf.DUMMYFUNCTION("""COMPUTED_VALUE"""),"BTC")</f>
        <v>BTC</v>
      </c>
      <c r="D29" s="9" t="str">
        <f>IFERROR(__xludf.DUMMYFUNCTION("""COMPUTED_VALUE"""),"Live")</f>
        <v>Live</v>
      </c>
      <c r="E29" s="9" t="b">
        <f>IFERROR(__xludf.DUMMYFUNCTION("""COMPUTED_VALUE"""),TRUE)</f>
        <v>1</v>
      </c>
      <c r="F29" s="55">
        <f>IFERROR(__xludf.DUMMYFUNCTION("""COMPUTED_VALUE"""),0.0)</f>
        <v>0</v>
      </c>
      <c r="G29" s="55">
        <f>IFERROR(__xludf.DUMMYFUNCTION("""COMPUTED_VALUE"""),0.0)</f>
        <v>0</v>
      </c>
      <c r="H29" s="55">
        <f>IFERROR(__xludf.DUMMYFUNCTION("""COMPUTED_VALUE"""),0.0)</f>
        <v>0</v>
      </c>
      <c r="I29" s="9"/>
      <c r="J29" s="9"/>
      <c r="K29" s="33">
        <f>IFERROR(__xludf.DUMMYFUNCTION("""COMPUTED_VALUE"""),0.0817)</f>
        <v>0.0817</v>
      </c>
      <c r="L29" s="9"/>
      <c r="M29" s="9"/>
      <c r="N29" s="9"/>
      <c r="O29" s="9"/>
      <c r="P29" s="9"/>
      <c r="Q29" s="9"/>
    </row>
    <row r="30">
      <c r="A30" s="9" t="str">
        <f>IFERROR(__xludf.DUMMYFUNCTION("""COMPUTED_VALUE"""),"YD - Harvest - oBTC")</f>
        <v>YD - Harvest - oBTC</v>
      </c>
      <c r="B30" s="9" t="str">
        <f>IFERROR(__xludf.DUMMYFUNCTION("""COMPUTED_VALUE"""),"0x5dd0f5fD732Bc8C5f115Ce72030516AC552370FE")</f>
        <v>0x5dd0f5fD732Bc8C5f115Ce72030516AC552370FE</v>
      </c>
      <c r="C30" s="9" t="str">
        <f>IFERROR(__xludf.DUMMYFUNCTION("""COMPUTED_VALUE"""),"BTC")</f>
        <v>BTC</v>
      </c>
      <c r="D30" s="9" t="str">
        <f>IFERROR(__xludf.DUMMYFUNCTION("""COMPUTED_VALUE"""),"Live")</f>
        <v>Live</v>
      </c>
      <c r="E30" s="9" t="b">
        <f>IFERROR(__xludf.DUMMYFUNCTION("""COMPUTED_VALUE"""),TRUE)</f>
        <v>1</v>
      </c>
      <c r="F30" s="55">
        <f>IFERROR(__xludf.DUMMYFUNCTION("""COMPUTED_VALUE"""),0.0)</f>
        <v>0</v>
      </c>
      <c r="G30" s="55">
        <f>IFERROR(__xludf.DUMMYFUNCTION("""COMPUTED_VALUE"""),0.0)</f>
        <v>0</v>
      </c>
      <c r="H30" s="55">
        <f>IFERROR(__xludf.DUMMYFUNCTION("""COMPUTED_VALUE"""),0.0)</f>
        <v>0</v>
      </c>
      <c r="I30" s="9"/>
      <c r="J30" s="9"/>
      <c r="K30" s="33">
        <f>IFERROR(__xludf.DUMMYFUNCTION("""COMPUTED_VALUE"""),0.1708)</f>
        <v>0.1708</v>
      </c>
      <c r="L30" s="9"/>
      <c r="M30" s="9"/>
      <c r="N30" s="9"/>
      <c r="O30" s="9"/>
      <c r="P30" s="9"/>
      <c r="Q30" s="9"/>
    </row>
    <row r="31">
      <c r="A31" s="9" t="str">
        <f>IFERROR(__xludf.DUMMYFUNCTION("""COMPUTED_VALUE"""),"YD - Keeper - ETH")</f>
        <v>YD - Keeper - ETH</v>
      </c>
      <c r="B31" s="9" t="str">
        <f>IFERROR(__xludf.DUMMYFUNCTION("""COMPUTED_VALUE"""),"0x144D8AD4addCB77D6f33eF23890ec8A8e92839c4")</f>
        <v>0x144D8AD4addCB77D6f33eF23890ec8A8e92839c4</v>
      </c>
      <c r="C31" s="9" t="str">
        <f>IFERROR(__xludf.DUMMYFUNCTION("""COMPUTED_VALUE"""),"ETH")</f>
        <v>ETH</v>
      </c>
      <c r="D31" s="9" t="str">
        <f>IFERROR(__xludf.DUMMYFUNCTION("""COMPUTED_VALUE"""),"Live")</f>
        <v>Live</v>
      </c>
      <c r="E31" s="9" t="b">
        <f>IFERROR(__xludf.DUMMYFUNCTION("""COMPUTED_VALUE"""),TRUE)</f>
        <v>1</v>
      </c>
      <c r="F31" s="55">
        <f>IFERROR(__xludf.DUMMYFUNCTION("""COMPUTED_VALUE"""),0.0)</f>
        <v>0</v>
      </c>
      <c r="G31" s="55">
        <f>IFERROR(__xludf.DUMMYFUNCTION("""COMPUTED_VALUE"""),5.967696883118816E7)</f>
        <v>59676968.83</v>
      </c>
      <c r="H31" s="55">
        <f>IFERROR(__xludf.DUMMYFUNCTION("""COMPUTED_VALUE"""),5.967696883118816E7)</f>
        <v>59676968.83</v>
      </c>
      <c r="I31" s="9"/>
      <c r="J31" s="9"/>
      <c r="K31" s="9"/>
      <c r="L31" s="33">
        <f>IFERROR(__xludf.DUMMYFUNCTION("""COMPUTED_VALUE"""),0.0273)</f>
        <v>0.0273</v>
      </c>
      <c r="M31" s="9"/>
      <c r="N31" s="9"/>
      <c r="O31" s="9"/>
      <c r="P31" s="9"/>
      <c r="Q31" s="9"/>
    </row>
    <row r="32">
      <c r="A32" s="9" t="str">
        <f>IFERROR(__xludf.DUMMYFUNCTION("""COMPUTED_VALUE"""),"YD-Badger-renBTC")</f>
        <v>YD-Badger-renBTC</v>
      </c>
      <c r="B32" s="9" t="str">
        <f>IFERROR(__xludf.DUMMYFUNCTION("""COMPUTED_VALUE"""),"0x8861dF23a1F37b33293e6DEb8bf28B88c3731cEb")</f>
        <v>0x8861dF23a1F37b33293e6DEb8bf28B88c3731cEb</v>
      </c>
      <c r="C32" s="9" t="str">
        <f>IFERROR(__xludf.DUMMYFUNCTION("""COMPUTED_VALUE"""),"BTC")</f>
        <v>BTC</v>
      </c>
      <c r="D32" s="9" t="str">
        <f>IFERROR(__xludf.DUMMYFUNCTION("""COMPUTED_VALUE"""),"Live")</f>
        <v>Live</v>
      </c>
      <c r="E32" s="9" t="b">
        <f>IFERROR(__xludf.DUMMYFUNCTION("""COMPUTED_VALUE"""),TRUE)</f>
        <v>1</v>
      </c>
      <c r="F32" s="55">
        <f>IFERROR(__xludf.DUMMYFUNCTION("""COMPUTED_VALUE"""),0.0)</f>
        <v>0</v>
      </c>
      <c r="G32" s="55">
        <f>IFERROR(__xludf.DUMMYFUNCTION("""COMPUTED_VALUE"""),0.0)</f>
        <v>0</v>
      </c>
      <c r="H32" s="55">
        <f>IFERROR(__xludf.DUMMYFUNCTION("""COMPUTED_VALUE"""),0.0)</f>
        <v>0</v>
      </c>
      <c r="I32" s="9" t="str">
        <f>IFERROR(__xludf.DUMMYFUNCTION("""COMPUTED_VALUE"""),"Wallet name change, Old name:'YD-Keeper-renBTC'
")</f>
        <v>Wallet name change, Old name:'YD-Keeper-renBTC'
</v>
      </c>
      <c r="J32" s="9"/>
      <c r="K32" s="33">
        <f>IFERROR(__xludf.DUMMYFUNCTION("""COMPUTED_VALUE"""),0.05)</f>
        <v>0.05</v>
      </c>
      <c r="L32" s="9"/>
      <c r="M32" s="9"/>
      <c r="N32" s="9"/>
      <c r="O32" s="9"/>
      <c r="P32" s="9"/>
      <c r="Q32" s="9"/>
    </row>
    <row r="33">
      <c r="A33" s="9" t="str">
        <f>IFERROR(__xludf.DUMMYFUNCTION("""COMPUTED_VALUE"""),"YD - Vesper - vETH")</f>
        <v>YD - Vesper - vETH</v>
      </c>
      <c r="B33" s="9" t="str">
        <f>IFERROR(__xludf.DUMMYFUNCTION("""COMPUTED_VALUE"""),"0x62c4a34e6988B20c2204c7a6A75395CcEAfD6e29")</f>
        <v>0x62c4a34e6988B20c2204c7a6A75395CcEAfD6e29</v>
      </c>
      <c r="C33" s="9" t="str">
        <f>IFERROR(__xludf.DUMMYFUNCTION("""COMPUTED_VALUE"""),"ETH")</f>
        <v>ETH</v>
      </c>
      <c r="D33" s="9" t="str">
        <f>IFERROR(__xludf.DUMMYFUNCTION("""COMPUTED_VALUE"""),"Live")</f>
        <v>Live</v>
      </c>
      <c r="E33" s="9" t="b">
        <f>IFERROR(__xludf.DUMMYFUNCTION("""COMPUTED_VALUE"""),TRUE)</f>
        <v>1</v>
      </c>
      <c r="F33" s="55">
        <f>IFERROR(__xludf.DUMMYFUNCTION("""COMPUTED_VALUE"""),0.0)</f>
        <v>0</v>
      </c>
      <c r="G33" s="55">
        <f>IFERROR(__xludf.DUMMYFUNCTION("""COMPUTED_VALUE"""),2.18334243979239E7)</f>
        <v>21833424.4</v>
      </c>
      <c r="H33" s="55">
        <f>IFERROR(__xludf.DUMMYFUNCTION("""COMPUTED_VALUE"""),2.18334243979239E7)</f>
        <v>21833424.4</v>
      </c>
      <c r="I33" s="9"/>
      <c r="J33" s="9" t="str">
        <f>IFERROR(__xludf.DUMMYFUNCTION("""COMPUTED_VALUE"""),"VETH")</f>
        <v>VETH</v>
      </c>
      <c r="K33" s="9"/>
      <c r="L33" s="33">
        <f>IFERROR(__xludf.DUMMYFUNCTION("""COMPUTED_VALUE"""),0.0176)</f>
        <v>0.0176</v>
      </c>
      <c r="M33" s="9"/>
      <c r="N33" s="9"/>
      <c r="O33" s="9"/>
      <c r="P33" s="9"/>
      <c r="Q33" s="9"/>
    </row>
    <row r="34">
      <c r="A34" s="9" t="str">
        <f>IFERROR(__xludf.DUMMYFUNCTION("""COMPUTED_VALUE"""),"YD - Vesper - vLINK")</f>
        <v>YD - Vesper - vLINK</v>
      </c>
      <c r="B34" s="9" t="str">
        <f>IFERROR(__xludf.DUMMYFUNCTION("""COMPUTED_VALUE"""),"0x81611aAEAC5FD8a3C21c3d1BF52B6bE70f5812d1")</f>
        <v>0x81611aAEAC5FD8a3C21c3d1BF52B6bE70f5812d1</v>
      </c>
      <c r="C34" s="9" t="str">
        <f>IFERROR(__xludf.DUMMYFUNCTION("""COMPUTED_VALUE"""),"LINK")</f>
        <v>LINK</v>
      </c>
      <c r="D34" s="9" t="str">
        <f>IFERROR(__xludf.DUMMYFUNCTION("""COMPUTED_VALUE"""),"Live")</f>
        <v>Live</v>
      </c>
      <c r="E34" s="9" t="b">
        <f>IFERROR(__xludf.DUMMYFUNCTION("""COMPUTED_VALUE"""),TRUE)</f>
        <v>1</v>
      </c>
      <c r="F34" s="55">
        <f>IFERROR(__xludf.DUMMYFUNCTION("""COMPUTED_VALUE"""),0.0)</f>
        <v>0</v>
      </c>
      <c r="G34" s="55">
        <f>IFERROR(__xludf.DUMMYFUNCTION("""COMPUTED_VALUE"""),1.8143199162264287E7)</f>
        <v>18143199.16</v>
      </c>
      <c r="H34" s="55">
        <f>IFERROR(__xludf.DUMMYFUNCTION("""COMPUTED_VALUE"""),1.8143199162264287E7)</f>
        <v>18143199.16</v>
      </c>
      <c r="I34" s="9"/>
      <c r="J34" s="9" t="str">
        <f>IFERROR(__xludf.DUMMYFUNCTION("""COMPUTED_VALUE"""),"VLINK")</f>
        <v>VLINK</v>
      </c>
      <c r="K34" s="9"/>
      <c r="L34" s="9"/>
      <c r="M34" s="33">
        <f>IFERROR(__xludf.DUMMYFUNCTION("""COMPUTED_VALUE"""),0.06269999999999999)</f>
        <v>0.0627</v>
      </c>
      <c r="N34" s="9"/>
      <c r="O34" s="9"/>
      <c r="P34" s="9"/>
      <c r="Q34" s="9"/>
    </row>
    <row r="35">
      <c r="A35" s="9" t="str">
        <f>IFERROR(__xludf.DUMMYFUNCTION("""COMPUTED_VALUE"""),"DD - Vesper - vUNI")</f>
        <v>DD - Vesper - vUNI</v>
      </c>
      <c r="B35" s="9" t="str">
        <f>IFERROR(__xludf.DUMMYFUNCTION("""COMPUTED_VALUE"""),"0x6054aad16aacbb974a496858105e18d39c448ca4")</f>
        <v>0x6054aad16aacbb974a496858105e18d39c448ca4</v>
      </c>
      <c r="C35" s="9" t="str">
        <f>IFERROR(__xludf.DUMMYFUNCTION("""COMPUTED_VALUE"""),"UNI")</f>
        <v>UNI</v>
      </c>
      <c r="D35" s="9" t="str">
        <f>IFERROR(__xludf.DUMMYFUNCTION("""COMPUTED_VALUE"""),"Live")</f>
        <v>Live</v>
      </c>
      <c r="E35" s="9" t="b">
        <f>IFERROR(__xludf.DUMMYFUNCTION("""COMPUTED_VALUE"""),TRUE)</f>
        <v>1</v>
      </c>
      <c r="F35" s="55">
        <f>IFERROR(__xludf.DUMMYFUNCTION("""COMPUTED_VALUE"""),0.0)</f>
        <v>0</v>
      </c>
      <c r="G35" s="55">
        <f>IFERROR(__xludf.DUMMYFUNCTION("""COMPUTED_VALUE"""),5823096.731324092)</f>
        <v>5823096.731</v>
      </c>
      <c r="H35" s="55">
        <f>IFERROR(__xludf.DUMMYFUNCTION("""COMPUTED_VALUE"""),5823096.731324092)</f>
        <v>5823096.731</v>
      </c>
      <c r="I35" s="9"/>
      <c r="J35" s="9" t="str">
        <f>IFERROR(__xludf.DUMMYFUNCTION("""COMPUTED_VALUE"""),"VUNI")</f>
        <v>VUNI</v>
      </c>
      <c r="K35" s="9"/>
      <c r="L35" s="9"/>
      <c r="M35" s="9"/>
      <c r="N35" s="9"/>
      <c r="O35" s="9"/>
      <c r="P35" s="33">
        <f>IFERROR(__xludf.DUMMYFUNCTION("""COMPUTED_VALUE"""),0.1306)</f>
        <v>0.1306</v>
      </c>
      <c r="Q35" s="9"/>
    </row>
    <row r="36">
      <c r="A36" s="9" t="str">
        <f>IFERROR(__xludf.DUMMYFUNCTION("""COMPUTED_VALUE"""),"YD - Vesper - vWBTC")</f>
        <v>YD - Vesper - vWBTC</v>
      </c>
      <c r="B36" s="9" t="str">
        <f>IFERROR(__xludf.DUMMYFUNCTION("""COMPUTED_VALUE"""),"0xcab7A77dfc3B79AE4D2969a45b0036F9a11eA224")</f>
        <v>0xcab7A77dfc3B79AE4D2969a45b0036F9a11eA224</v>
      </c>
      <c r="C36" s="9" t="str">
        <f>IFERROR(__xludf.DUMMYFUNCTION("""COMPUTED_VALUE"""),"BTC")</f>
        <v>BTC</v>
      </c>
      <c r="D36" s="9" t="str">
        <f>IFERROR(__xludf.DUMMYFUNCTION("""COMPUTED_VALUE"""),"Live")</f>
        <v>Live</v>
      </c>
      <c r="E36" s="9" t="b">
        <f>IFERROR(__xludf.DUMMYFUNCTION("""COMPUTED_VALUE"""),TRUE)</f>
        <v>1</v>
      </c>
      <c r="F36" s="55">
        <f>IFERROR(__xludf.DUMMYFUNCTION("""COMPUTED_VALUE"""),0.0)</f>
        <v>0</v>
      </c>
      <c r="G36" s="55">
        <f>IFERROR(__xludf.DUMMYFUNCTION("""COMPUTED_VALUE"""),2.3063786763455663E7)</f>
        <v>23063786.76</v>
      </c>
      <c r="H36" s="55">
        <f>IFERROR(__xludf.DUMMYFUNCTION("""COMPUTED_VALUE"""),2.3063786763455663E7)</f>
        <v>23063786.76</v>
      </c>
      <c r="I36" s="9"/>
      <c r="J36" s="9" t="str">
        <f>IFERROR(__xludf.DUMMYFUNCTION("""COMPUTED_VALUE"""),"VWBTC")</f>
        <v>VWBTC</v>
      </c>
      <c r="K36" s="33">
        <f>IFERROR(__xludf.DUMMYFUNCTION("""COMPUTED_VALUE"""),0.0377)</f>
        <v>0.0377</v>
      </c>
      <c r="L36" s="9"/>
      <c r="M36" s="9"/>
      <c r="N36" s="9"/>
      <c r="O36" s="9"/>
      <c r="P36" s="9"/>
      <c r="Q36" s="9"/>
    </row>
    <row r="37">
      <c r="A37" s="9" t="str">
        <f>IFERROR(__xludf.DUMMYFUNCTION("""COMPUTED_VALUE"""),"YD - Yearn - crvPBTC")</f>
        <v>YD - Yearn - crvPBTC</v>
      </c>
      <c r="B37" s="9" t="str">
        <f>IFERROR(__xludf.DUMMYFUNCTION("""COMPUTED_VALUE"""),"0xE20e407F7D00ae472667481C79aFb22f0f608050")</f>
        <v>0xE20e407F7D00ae472667481C79aFb22f0f608050</v>
      </c>
      <c r="C37" s="9" t="str">
        <f>IFERROR(__xludf.DUMMYFUNCTION("""COMPUTED_VALUE"""),"BTC")</f>
        <v>BTC</v>
      </c>
      <c r="D37" s="9" t="str">
        <f>IFERROR(__xludf.DUMMYFUNCTION("""COMPUTED_VALUE"""),"Live")</f>
        <v>Live</v>
      </c>
      <c r="E37" s="9" t="b">
        <f>IFERROR(__xludf.DUMMYFUNCTION("""COMPUTED_VALUE"""),TRUE)</f>
        <v>1</v>
      </c>
      <c r="F37" s="55">
        <f>IFERROR(__xludf.DUMMYFUNCTION("""COMPUTED_VALUE"""),0.0)</f>
        <v>0</v>
      </c>
      <c r="G37" s="55">
        <f>IFERROR(__xludf.DUMMYFUNCTION("""COMPUTED_VALUE"""),2617262.408246792)</f>
        <v>2617262.408</v>
      </c>
      <c r="H37" s="55">
        <f>IFERROR(__xludf.DUMMYFUNCTION("""COMPUTED_VALUE"""),2617262.408246792)</f>
        <v>2617262.408</v>
      </c>
      <c r="I37" s="9"/>
      <c r="J37" s="9"/>
      <c r="K37" s="33">
        <f>IFERROR(__xludf.DUMMYFUNCTION("""COMPUTED_VALUE"""),0.0892)</f>
        <v>0.0892</v>
      </c>
      <c r="L37" s="9"/>
      <c r="M37" s="9"/>
      <c r="N37" s="9"/>
      <c r="O37" s="9"/>
      <c r="P37" s="9"/>
      <c r="Q37" s="9"/>
    </row>
    <row r="38">
      <c r="A38" s="9" t="str">
        <f>IFERROR(__xludf.DUMMYFUNCTION("""COMPUTED_VALUE"""),"Yield Desk")</f>
        <v>Yield Desk</v>
      </c>
      <c r="B38" s="9" t="str">
        <f>IFERROR(__xludf.DUMMYFUNCTION("""COMPUTED_VALUE"""),"0x5Fae4C088b1d8DddbDaffF93A648dd87A71C6dea")</f>
        <v>0x5Fae4C088b1d8DddbDaffF93A648dd87A71C6dea</v>
      </c>
      <c r="C38" s="9" t="str">
        <f>IFERROR(__xludf.DUMMYFUNCTION("""COMPUTED_VALUE"""),"Multiple")</f>
        <v>Multiple</v>
      </c>
      <c r="D38" s="9" t="str">
        <f>IFERROR(__xludf.DUMMYFUNCTION("""COMPUTED_VALUE"""),"Exited")</f>
        <v>Exited</v>
      </c>
      <c r="E38" s="9" t="b">
        <f>IFERROR(__xludf.DUMMYFUNCTION("""COMPUTED_VALUE"""),TRUE)</f>
        <v>1</v>
      </c>
      <c r="F38" s="55">
        <f>IFERROR(__xludf.DUMMYFUNCTION("""COMPUTED_VALUE"""),0.0)</f>
        <v>0</v>
      </c>
      <c r="G38" s="55">
        <f>IFERROR(__xludf.DUMMYFUNCTION("""COMPUTED_VALUE"""),0.0)</f>
        <v>0</v>
      </c>
      <c r="H38" s="55">
        <f>IFERROR(__xludf.DUMMYFUNCTION("""COMPUTED_VALUE"""),0.0)</f>
        <v>0</v>
      </c>
      <c r="I38" s="9" t="str">
        <f>IFERROR(__xludf.DUMMYFUNCTION("""COMPUTED_VALUE"""),"3k AAVE ($1M), 4.5 ETH ($14k) left in the balance")</f>
        <v>3k AAVE ($1M), 4.5 ETH ($14k) left in the balance</v>
      </c>
      <c r="J38" s="9"/>
      <c r="K38" s="9"/>
      <c r="L38" s="9"/>
      <c r="M38" s="9"/>
      <c r="N38" s="9"/>
      <c r="O38" s="9"/>
      <c r="P38" s="9"/>
      <c r="Q38" s="9"/>
    </row>
    <row r="39">
      <c r="A39" s="9" t="str">
        <f>IFERROR(__xludf.DUMMYFUNCTION("""COMPUTED_VALUE"""),"Yield Desk - Badger")</f>
        <v>Yield Desk - Badger</v>
      </c>
      <c r="B39" s="9" t="str">
        <f>IFERROR(__xludf.DUMMYFUNCTION("""COMPUTED_VALUE"""),"0x53461E4fddcC1385f1256Ae24ce3505Be664f249")</f>
        <v>0x53461E4fddcC1385f1256Ae24ce3505Be664f249</v>
      </c>
      <c r="C39" s="9" t="str">
        <f>IFERROR(__xludf.DUMMYFUNCTION("""COMPUTED_VALUE"""),"BTC")</f>
        <v>BTC</v>
      </c>
      <c r="D39" s="9" t="str">
        <f>IFERROR(__xludf.DUMMYFUNCTION("""COMPUTED_VALUE"""),"Live")</f>
        <v>Live</v>
      </c>
      <c r="E39" s="9" t="b">
        <f>IFERROR(__xludf.DUMMYFUNCTION("""COMPUTED_VALUE"""),TRUE)</f>
        <v>1</v>
      </c>
      <c r="F39" s="55">
        <f>IFERROR(__xludf.DUMMYFUNCTION("""COMPUTED_VALUE"""),0.0)</f>
        <v>0</v>
      </c>
      <c r="G39" s="55">
        <f>IFERROR(__xludf.DUMMYFUNCTION("""COMPUTED_VALUE"""),1.8685949283316204E8)</f>
        <v>186859492.8</v>
      </c>
      <c r="H39" s="55">
        <f>IFERROR(__xludf.DUMMYFUNCTION("""COMPUTED_VALUE"""),1.8685949283316204E8)</f>
        <v>186859492.8</v>
      </c>
      <c r="I39" s="9"/>
      <c r="J39" s="9"/>
      <c r="K39" s="33" t="str">
        <f>IFERROR(__xludf.DUMMYFUNCTION("""COMPUTED_VALUE"""),"#N/A")</f>
        <v>#N/A</v>
      </c>
      <c r="L39" s="9"/>
      <c r="M39" s="9"/>
      <c r="N39" s="9"/>
      <c r="O39" s="9"/>
      <c r="P39" s="9"/>
      <c r="Q39" s="9"/>
    </row>
    <row r="40">
      <c r="A40" s="9" t="str">
        <f>IFERROR(__xludf.DUMMYFUNCTION("""COMPUTED_VALUE"""),"Yield Desk - Bancor")</f>
        <v>Yield Desk - Bancor</v>
      </c>
      <c r="B40" s="9" t="str">
        <f>IFERROR(__xludf.DUMMYFUNCTION("""COMPUTED_VALUE"""),"0xf73C37dF30571b9b58dA19C7473964369011DBeC")</f>
        <v>0xf73C37dF30571b9b58dA19C7473964369011DBeC</v>
      </c>
      <c r="C40" s="9" t="str">
        <f>IFERROR(__xludf.DUMMYFUNCTION("""COMPUTED_VALUE"""),"Multiple")</f>
        <v>Multiple</v>
      </c>
      <c r="D40" s="9" t="str">
        <f>IFERROR(__xludf.DUMMYFUNCTION("""COMPUTED_VALUE"""),"Live")</f>
        <v>Live</v>
      </c>
      <c r="E40" s="9" t="b">
        <f>IFERROR(__xludf.DUMMYFUNCTION("""COMPUTED_VALUE"""),TRUE)</f>
        <v>1</v>
      </c>
      <c r="F40" s="55">
        <f>IFERROR(__xludf.DUMMYFUNCTION("""COMPUTED_VALUE"""),0.0)</f>
        <v>0</v>
      </c>
      <c r="G40" s="55">
        <f>IFERROR(__xludf.DUMMYFUNCTION("""COMPUTED_VALUE"""),1.0795815296220641E8)</f>
        <v>107958153</v>
      </c>
      <c r="H40" s="55">
        <f>IFERROR(__xludf.DUMMYFUNCTION("""COMPUTED_VALUE"""),1.0795815296220641E8)</f>
        <v>107958153</v>
      </c>
      <c r="I40" s="9"/>
      <c r="J40" s="9"/>
      <c r="K40" s="33">
        <f>IFERROR(__xludf.DUMMYFUNCTION("""COMPUTED_VALUE"""),0.08009999999999999)</f>
        <v>0.0801</v>
      </c>
      <c r="L40" s="33">
        <f>IFERROR(__xludf.DUMMYFUNCTION("""COMPUTED_VALUE"""),0.0487)</f>
        <v>0.0487</v>
      </c>
      <c r="M40" s="33">
        <f>IFERROR(__xludf.DUMMYFUNCTION("""COMPUTED_VALUE"""),0.1287)</f>
        <v>0.1287</v>
      </c>
      <c r="N40" s="9"/>
      <c r="O40" s="9"/>
      <c r="P40" s="9"/>
      <c r="Q40" s="9"/>
    </row>
    <row r="41">
      <c r="A41" s="9" t="str">
        <f>IFERROR(__xludf.DUMMYFUNCTION("""COMPUTED_VALUE"""),"Yield Desk - Compound")</f>
        <v>Yield Desk - Compound</v>
      </c>
      <c r="B41" s="9" t="str">
        <f>IFERROR(__xludf.DUMMYFUNCTION("""COMPUTED_VALUE"""),"0x62Ff145f987dD7fbBcEC2FEec76FA89E19778aBd")</f>
        <v>0x62Ff145f987dD7fbBcEC2FEec76FA89E19778aBd</v>
      </c>
      <c r="C41" s="9" t="str">
        <f>IFERROR(__xludf.DUMMYFUNCTION("""COMPUTED_VALUE"""),"LINK")</f>
        <v>LINK</v>
      </c>
      <c r="D41" s="9" t="str">
        <f>IFERROR(__xludf.DUMMYFUNCTION("""COMPUTED_VALUE"""),"Live")</f>
        <v>Live</v>
      </c>
      <c r="E41" s="9" t="b">
        <f>IFERROR(__xludf.DUMMYFUNCTION("""COMPUTED_VALUE"""),TRUE)</f>
        <v>1</v>
      </c>
      <c r="F41" s="55">
        <f>IFERROR(__xludf.DUMMYFUNCTION("""COMPUTED_VALUE"""),0.0)</f>
        <v>0</v>
      </c>
      <c r="G41" s="55">
        <f>IFERROR(__xludf.DUMMYFUNCTION("""COMPUTED_VALUE"""),1.0697286030020352)</f>
        <v>1.069728603</v>
      </c>
      <c r="H41" s="55">
        <f>IFERROR(__xludf.DUMMYFUNCTION("""COMPUTED_VALUE"""),1.0697286030020352)</f>
        <v>1.069728603</v>
      </c>
      <c r="I41" s="9"/>
      <c r="J41" s="9"/>
      <c r="K41" s="9"/>
      <c r="L41" s="9"/>
      <c r="M41" s="33">
        <f>IFERROR(__xludf.DUMMYFUNCTION("""COMPUTED_VALUE"""),0.014099999999999998)</f>
        <v>0.0141</v>
      </c>
      <c r="N41" s="9"/>
      <c r="O41" s="9"/>
      <c r="P41" s="9"/>
      <c r="Q41" s="9"/>
    </row>
    <row r="42">
      <c r="A42" s="9" t="str">
        <f>IFERROR(__xludf.DUMMYFUNCTION("""COMPUTED_VALUE"""),"YieldDesk_Main")</f>
        <v>YieldDesk_Main</v>
      </c>
      <c r="B42" s="9" t="str">
        <f>IFERROR(__xludf.DUMMYFUNCTION("""COMPUTED_VALUE"""),"0xdb5AA12AD695Ef2a28C6CdB69f2BB04BEd20a48e")</f>
        <v>0xdb5AA12AD695Ef2a28C6CdB69f2BB04BEd20a48e</v>
      </c>
      <c r="C42" s="9" t="str">
        <f>IFERROR(__xludf.DUMMYFUNCTION("""COMPUTED_VALUE"""),"Multiple")</f>
        <v>Multiple</v>
      </c>
      <c r="D42" s="9" t="str">
        <f>IFERROR(__xludf.DUMMYFUNCTION("""COMPUTED_VALUE"""),"Live")</f>
        <v>Live</v>
      </c>
      <c r="E42" s="9" t="b">
        <f>IFERROR(__xludf.DUMMYFUNCTION("""COMPUTED_VALUE"""),FALSE)</f>
        <v>0</v>
      </c>
      <c r="F42" s="55">
        <f>IFERROR(__xludf.DUMMYFUNCTION("""COMPUTED_VALUE"""),0.0)</f>
        <v>0</v>
      </c>
      <c r="G42" s="55">
        <f>IFERROR(__xludf.DUMMYFUNCTION("""COMPUTED_VALUE"""),0.0)</f>
        <v>0</v>
      </c>
      <c r="H42" s="55">
        <f>IFERROR(__xludf.DUMMYFUNCTION("""COMPUTED_VALUE"""),0.0)</f>
        <v>0</v>
      </c>
      <c r="I42" s="9"/>
      <c r="J42" s="9"/>
      <c r="K42" s="33">
        <f>IFERROR(__xludf.DUMMYFUNCTION("""COMPUTED_VALUE"""),0.08009999999999999)</f>
        <v>0.0801</v>
      </c>
      <c r="L42" s="33">
        <f>IFERROR(__xludf.DUMMYFUNCTION("""COMPUTED_VALUE"""),0.0487)</f>
        <v>0.0487</v>
      </c>
      <c r="M42" s="33">
        <f>IFERROR(__xludf.DUMMYFUNCTION("""COMPUTED_VALUE"""),0.1287)</f>
        <v>0.1287</v>
      </c>
      <c r="N42" s="9"/>
      <c r="O42" s="9"/>
      <c r="P42" s="9"/>
      <c r="Q42" s="33">
        <f>IFERROR(__xludf.DUMMYFUNCTION("""COMPUTED_VALUE"""),0.0139)</f>
        <v>0.0139</v>
      </c>
    </row>
    <row r="43">
      <c r="A43" s="9" t="str">
        <f>IFERROR(__xludf.DUMMYFUNCTION("""COMPUTED_VALUE"""),"BlockDemon ETH Staking")</f>
        <v>BlockDemon ETH Staking</v>
      </c>
      <c r="B43" s="9" t="str">
        <f>IFERROR(__xludf.DUMMYFUNCTION("""COMPUTED_VALUE"""),"0xeEE27662c2B8EBa3CD936A23F039F3189633e4C8")</f>
        <v>0xeEE27662c2B8EBa3CD936A23F039F3189633e4C8</v>
      </c>
      <c r="C43" s="9" t="str">
        <f>IFERROR(__xludf.DUMMYFUNCTION("""COMPUTED_VALUE"""),"ETH")</f>
        <v>ETH</v>
      </c>
      <c r="D43" s="9" t="str">
        <f>IFERROR(__xludf.DUMMYFUNCTION("""COMPUTED_VALUE"""),"Live")</f>
        <v>Live</v>
      </c>
      <c r="E43" s="9" t="b">
        <f>IFERROR(__xludf.DUMMYFUNCTION("""COMPUTED_VALUE"""),TRUE)</f>
        <v>1</v>
      </c>
      <c r="F43" s="9"/>
      <c r="G43" s="9"/>
      <c r="H43" s="9"/>
      <c r="I43" s="9"/>
      <c r="J43" s="9"/>
      <c r="K43" s="9"/>
      <c r="L43" s="33">
        <f>IFERROR(__xludf.DUMMYFUNCTION("""COMPUTED_VALUE"""),0.06)</f>
        <v>0.06</v>
      </c>
      <c r="M43" s="9"/>
      <c r="N43" s="9"/>
      <c r="O43" s="9"/>
      <c r="P43" s="9"/>
      <c r="Q43" s="9"/>
    </row>
    <row r="44">
      <c r="A44" s="9" t="str">
        <f>IFERROR(__xludf.DUMMYFUNCTION("""COMPUTED_VALUE"""),"YFL")</f>
        <v>YFL</v>
      </c>
      <c r="B44" s="9" t="str">
        <f>IFERROR(__xludf.DUMMYFUNCTION("""COMPUTED_VALUE"""),"0x022064C9F712B52D7Afff7263527EAbEBF59a71C")</f>
        <v>0x022064C9F712B52D7Afff7263527EAbEBF59a71C</v>
      </c>
      <c r="C44" s="9" t="str">
        <f>IFERROR(__xludf.DUMMYFUNCTION("""COMPUTED_VALUE"""),"Multiple")</f>
        <v>Multiple</v>
      </c>
      <c r="D44" s="9" t="str">
        <f>IFERROR(__xludf.DUMMYFUNCTION("""COMPUTED_VALUE"""),"Live")</f>
        <v>Live</v>
      </c>
      <c r="E44" s="9" t="b">
        <f>IFERROR(__xludf.DUMMYFUNCTION("""COMPUTED_VALUE"""),TRUE)</f>
        <v>1</v>
      </c>
      <c r="F44" s="9"/>
      <c r="G44" s="9"/>
      <c r="H44" s="9"/>
      <c r="I44" s="9" t="str">
        <f>IFERROR(__xludf.DUMMYFUNCTION("""COMPUTED_VALUE"""),"Wallet name change, Old name:'DD - Polygon - Testing'
")</f>
        <v>Wallet name change, Old name:'DD - Polygon - Testing'
</v>
      </c>
      <c r="J44" s="9"/>
      <c r="K44" s="9"/>
      <c r="L44" s="9"/>
      <c r="M44" s="9"/>
      <c r="N44" s="9"/>
      <c r="O44" s="9"/>
      <c r="P44" s="9"/>
      <c r="Q44" s="9"/>
    </row>
    <row r="45">
      <c r="A45" s="9" t="str">
        <f>IFERROR(__xludf.DUMMYFUNCTION("""COMPUTED_VALUE"""),"DD - Liquity - LUSD")</f>
        <v>DD - Liquity - LUSD</v>
      </c>
      <c r="B45" s="9" t="str">
        <f>IFERROR(__xludf.DUMMYFUNCTION("""COMPUTED_VALUE"""),"0x7aD6a48C39B82c61100E76264182A6A31587a242")</f>
        <v>0x7aD6a48C39B82c61100E76264182A6A31587a242</v>
      </c>
      <c r="C45" s="9" t="str">
        <f>IFERROR(__xludf.DUMMYFUNCTION("""COMPUTED_VALUE"""),"USDC")</f>
        <v>USDC</v>
      </c>
      <c r="D45" s="9" t="str">
        <f>IFERROR(__xludf.DUMMYFUNCTION("""COMPUTED_VALUE"""),"Live")</f>
        <v>Live</v>
      </c>
      <c r="E45" s="9" t="b">
        <f>IFERROR(__xludf.DUMMYFUNCTION("""COMPUTED_VALUE"""),TRUE)</f>
        <v>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>
      <c r="A46" s="9" t="str">
        <f>IFERROR(__xludf.DUMMYFUNCTION("""COMPUTED_VALUE"""),"DD - Badger - tBTC")</f>
        <v>DD - Badger - tBTC</v>
      </c>
      <c r="B46" s="9" t="str">
        <f>IFERROR(__xludf.DUMMYFUNCTION("""COMPUTED_VALUE"""),"0xEE9F84Af6a8251Eb5ffDe38c5F056bc72d3b3DD0")</f>
        <v>0xEE9F84Af6a8251Eb5ffDe38c5F056bc72d3b3DD0</v>
      </c>
      <c r="C46" s="9" t="str">
        <f>IFERROR(__xludf.DUMMYFUNCTION("""COMPUTED_VALUE"""),"BTC")</f>
        <v>BTC</v>
      </c>
      <c r="D46" s="9" t="str">
        <f>IFERROR(__xludf.DUMMYFUNCTION("""COMPUTED_VALUE"""),"Live")</f>
        <v>Live</v>
      </c>
      <c r="E46" s="9" t="b">
        <f>IFERROR(__xludf.DUMMYFUNCTION("""COMPUTED_VALUE"""),TRUE)</f>
        <v>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>
      <c r="A47" s="9" t="str">
        <f>IFERROR(__xludf.DUMMYFUNCTION("""COMPUTED_VALUE"""),"YD - Convex - tricrypto2")</f>
        <v>YD - Convex - tricrypto2</v>
      </c>
      <c r="B47" s="9" t="str">
        <f>IFERROR(__xludf.DUMMYFUNCTION("""COMPUTED_VALUE"""),"0x73cAe59e9D6e73b43AD32De120b456783F72B7Aa")</f>
        <v>0x73cAe59e9D6e73b43AD32De120b456783F72B7Aa</v>
      </c>
      <c r="C47" s="9" t="str">
        <f>IFERROR(__xludf.DUMMYFUNCTION("""COMPUTED_VALUE"""),"Multiple")</f>
        <v>Multiple</v>
      </c>
      <c r="D47" s="9"/>
      <c r="E47" s="9"/>
      <c r="F47" s="9"/>
      <c r="G47" s="9"/>
      <c r="H47" s="9"/>
      <c r="I47" s="9" t="str">
        <f>IFERROR(__xludf.DUMMYFUNCTION("""COMPUTED_VALUE"""),"Wallet name change, Old name:'YD-Curve-tricrypto2'
")</f>
        <v>Wallet name change, Old name:'YD-Curve-tricrypto2'
</v>
      </c>
      <c r="J47" s="9"/>
      <c r="K47" s="9"/>
      <c r="L47" s="9"/>
      <c r="M47" s="9"/>
      <c r="N47" s="9"/>
      <c r="O47" s="9"/>
      <c r="P47" s="9"/>
      <c r="Q47" s="9"/>
    </row>
    <row r="48">
      <c r="A48" s="9" t="str">
        <f>IFERROR(__xludf.DUMMYFUNCTION("""COMPUTED_VALUE"""),"DD-Elrond-EGLD ")</f>
        <v>DD-Elrond-EGLD </v>
      </c>
      <c r="B48" s="9"/>
      <c r="C48" s="9"/>
      <c r="D48" s="9" t="str">
        <f>IFERROR(__xludf.DUMMYFUNCTION("""COMPUTED_VALUE"""),"Live")</f>
        <v>Live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>
      <c r="A49" s="9" t="str">
        <f>IFERROR(__xludf.DUMMYFUNCTION("""COMPUTED_VALUE"""),"DD-CONVEX-ALETH")</f>
        <v>DD-CONVEX-ALETH</v>
      </c>
      <c r="B49" s="9"/>
      <c r="C49" s="9"/>
      <c r="D49" s="9" t="str">
        <f>IFERROR(__xludf.DUMMYFUNCTION("""COMPUTED_VALUE"""),"Live")</f>
        <v>Live</v>
      </c>
      <c r="E49" s="9"/>
      <c r="F49" s="9"/>
      <c r="G49" s="9"/>
      <c r="H49" s="9"/>
      <c r="I49" s="9"/>
      <c r="J49" s="9"/>
      <c r="K49" s="9"/>
      <c r="L49" s="56">
        <f>IFERROR(__xludf.DUMMYFUNCTION("""COMPUTED_VALUE"""),0.15)</f>
        <v>0.15</v>
      </c>
      <c r="M49" s="9"/>
      <c r="N49" s="9"/>
      <c r="O49" s="9"/>
      <c r="P49" s="9"/>
      <c r="Q49" s="9"/>
    </row>
    <row r="50">
      <c r="A50" s="9" t="str">
        <f>IFERROR(__xludf.DUMMYFUNCTION("""COMPUTED_VALUE"""),"DD-SHIBASWAP-WBTC")</f>
        <v>DD-SHIBASWAP-WBTC</v>
      </c>
      <c r="B50" s="9"/>
      <c r="C50" s="9"/>
      <c r="D50" s="9"/>
      <c r="E50" s="9"/>
      <c r="F50" s="9"/>
      <c r="G50" s="9"/>
      <c r="H50" s="9"/>
      <c r="I50" s="9"/>
      <c r="J50" s="9"/>
      <c r="K50" s="56">
        <f>IFERROR(__xludf.DUMMYFUNCTION("""COMPUTED_VALUE"""),0.28)</f>
        <v>0.28</v>
      </c>
      <c r="L50" s="9"/>
      <c r="M50" s="9"/>
      <c r="N50" s="9"/>
      <c r="O50" s="9"/>
      <c r="P50" s="9"/>
      <c r="Q50" s="9"/>
    </row>
    <row r="51">
      <c r="A51" s="9" t="str">
        <f>IFERROR(__xludf.DUMMYFUNCTION("""COMPUTED_VALUE"""),"DD-NOTIONAL-WBTC")</f>
        <v>DD-NOTIONAL-WBTC</v>
      </c>
      <c r="B51" s="9"/>
      <c r="C51" s="9"/>
      <c r="D51" s="9"/>
      <c r="E51" s="9"/>
      <c r="F51" s="9"/>
      <c r="G51" s="9"/>
      <c r="H51" s="9"/>
      <c r="I51" s="9"/>
      <c r="J51" s="9"/>
      <c r="K51" s="33">
        <f>IFERROR(__xludf.DUMMYFUNCTION("""COMPUTED_VALUE"""),0.067)</f>
        <v>0.067</v>
      </c>
      <c r="L51" s="9"/>
      <c r="M51" s="9"/>
      <c r="N51" s="9"/>
      <c r="O51" s="9"/>
      <c r="P51" s="9"/>
      <c r="Q51" s="9"/>
    </row>
    <row r="52">
      <c r="A52" s="9" t="str">
        <f>IFERROR(__xludf.DUMMYFUNCTION("""COMPUTED_VALUE"""),"DD-NOTIONAL-ETH")</f>
        <v>DD-NOTIONAL-ETH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33">
        <f>IFERROR(__xludf.DUMMYFUNCTION("""COMPUTED_VALUE"""),0.055)</f>
        <v>0.055</v>
      </c>
      <c r="M52" s="9"/>
      <c r="N52" s="9"/>
      <c r="O52" s="9"/>
      <c r="P52" s="9"/>
      <c r="Q52" s="9"/>
    </row>
    <row r="53">
      <c r="A53" s="9" t="str">
        <f>IFERROR(__xludf.DUMMYFUNCTION("""COMPUTED_VALUE"""),"DD-Yearn-ETH")</f>
        <v>DD-Yearn-ETH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33">
        <f>IFERROR(__xludf.DUMMYFUNCTION("""COMPUTED_VALUE"""),0.0133)</f>
        <v>0.0133</v>
      </c>
      <c r="M53" s="9"/>
      <c r="N53" s="9"/>
      <c r="O53" s="9"/>
      <c r="P53" s="9"/>
      <c r="Q53" s="9"/>
    </row>
    <row r="54">
      <c r="A54" s="9" t="str">
        <f>IFERROR(__xludf.DUMMYFUNCTION("""COMPUTED_VALUE"""),"DD-Yearn-WBTC")</f>
        <v>DD-Yearn-WBTC</v>
      </c>
      <c r="B54" s="9"/>
      <c r="C54" s="9"/>
      <c r="D54" s="9"/>
      <c r="E54" s="9"/>
      <c r="F54" s="9"/>
      <c r="G54" s="9"/>
      <c r="H54" s="9"/>
      <c r="I54" s="9"/>
      <c r="J54" s="9"/>
      <c r="K54" s="56">
        <f>IFERROR(__xludf.DUMMYFUNCTION("""COMPUTED_VALUE"""),0.03)</f>
        <v>0.03</v>
      </c>
      <c r="L54" s="9"/>
      <c r="M54" s="9"/>
      <c r="N54" s="9"/>
      <c r="O54" s="9"/>
      <c r="P54" s="9"/>
      <c r="Q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5"/>
    <col customWidth="1" min="3" max="3" width="21.13"/>
    <col customWidth="1" min="4" max="4" width="18.25"/>
    <col customWidth="1" min="5" max="5" width="16.63"/>
  </cols>
  <sheetData>
    <row r="1">
      <c r="A1" s="57" t="str">
        <f>IFERROR(__xludf.DUMMYFUNCTION("IMPORTRANGE(""https://docs.google.com/spreadsheets/d/1gXAO2GNyEKylLtfGmhTYfO8S7zp-qMFYhPViOnaf5qk/edit#gid=1359329667"",""Dashboard!T1:X6"")"),"APYs")</f>
        <v>APYs</v>
      </c>
      <c r="B1" s="9" t="str">
        <f>IFERROR(__xludf.DUMMYFUNCTION("""COMPUTED_VALUE"""),"Daily")</f>
        <v>Daily</v>
      </c>
      <c r="C1" s="58">
        <f>IFERROR(__xludf.DUMMYFUNCTION("""COMPUTED_VALUE"""),44537.0)</f>
        <v>44537</v>
      </c>
      <c r="D1" s="9" t="str">
        <f>IFERROR(__xludf.DUMMYFUNCTION("""COMPUTED_VALUE"""),"Weekly as of")</f>
        <v>Weekly as of</v>
      </c>
      <c r="E1" s="58">
        <f>IFERROR(__xludf.DUMMYFUNCTION("""COMPUTED_VALUE"""),44533.0)</f>
        <v>44533</v>
      </c>
    </row>
    <row r="2">
      <c r="A2" s="9"/>
      <c r="B2" s="9" t="str">
        <f>IFERROR(__xludf.DUMMYFUNCTION("""COMPUTED_VALUE"""),"USD Balance")</f>
        <v>USD Balance</v>
      </c>
      <c r="C2" s="9" t="str">
        <f>IFERROR(__xludf.DUMMYFUNCTION("""COMPUTED_VALUE"""),"Funding (+ collateral)")</f>
        <v>Funding (+ collateral)</v>
      </c>
      <c r="D2" s="9" t="str">
        <f>IFERROR(__xludf.DUMMYFUNCTION("""COMPUTED_VALUE"""),"USD Balance")</f>
        <v>USD Balance</v>
      </c>
      <c r="E2" s="9" t="str">
        <f>IFERROR(__xludf.DUMMYFUNCTION("""COMPUTED_VALUE"""),"Funding (+ collateral)")</f>
        <v>Funding (+ collateral)</v>
      </c>
    </row>
    <row r="3">
      <c r="A3" s="9" t="str">
        <f>IFERROR(__xludf.DUMMYFUNCTION("""COMPUTED_VALUE"""),"CnC")</f>
        <v>CnC</v>
      </c>
      <c r="B3" s="33">
        <f>IFERROR(__xludf.DUMMYFUNCTION("""COMPUTED_VALUE"""),0.07579606876888569)</f>
        <v>0.07579606877</v>
      </c>
      <c r="C3" s="33">
        <f>IFERROR(__xludf.DUMMYFUNCTION("""COMPUTED_VALUE"""),0.10999956923517759)</f>
        <v>0.1099995692</v>
      </c>
      <c r="D3" s="33">
        <f>IFERROR(__xludf.DUMMYFUNCTION("""COMPUTED_VALUE"""),0.027095364537050828)</f>
        <v>0.02709536454</v>
      </c>
      <c r="E3" s="33">
        <f>IFERROR(__xludf.DUMMYFUNCTION("""COMPUTED_VALUE"""),0.03932233525769856)</f>
        <v>0.03932233526</v>
      </c>
    </row>
    <row r="4">
      <c r="A4" s="9" t="str">
        <f>IFERROR(__xludf.DUMMYFUNCTION("""COMPUTED_VALUE"""),"Futures MM")</f>
        <v>Futures MM</v>
      </c>
      <c r="B4" s="33">
        <f>IFERROR(__xludf.DUMMYFUNCTION("""COMPUTED_VALUE"""),1.4379654414593248)</f>
        <v>1.437965441</v>
      </c>
      <c r="C4" s="33">
        <f>IFERROR(__xludf.DUMMYFUNCTION("""COMPUTED_VALUE"""),1.7122251053830535)</f>
        <v>1.712225105</v>
      </c>
      <c r="D4" s="33">
        <f>IFERROR(__xludf.DUMMYFUNCTION("""COMPUTED_VALUE"""),0.48853015957890755)</f>
        <v>0.4885301596</v>
      </c>
      <c r="E4" s="33">
        <f>IFERROR(__xludf.DUMMYFUNCTION("""COMPUTED_VALUE"""),0.581706333024872)</f>
        <v>0.581706333</v>
      </c>
    </row>
    <row r="5">
      <c r="A5" s="9" t="str">
        <f>IFERROR(__xludf.DUMMYFUNCTION("""COMPUTED_VALUE"""),"Directional Trading 2")</f>
        <v>Directional Trading 2</v>
      </c>
      <c r="B5" s="33">
        <f>IFERROR(__xludf.DUMMYFUNCTION("""COMPUTED_VALUE"""),0.01589002194407196)</f>
        <v>0.01589002194</v>
      </c>
      <c r="C5" s="33">
        <f>IFERROR(__xludf.DUMMYFUNCTION("""COMPUTED_VALUE"""),-3.831185403967693E-4)</f>
        <v>-0.0003831185404</v>
      </c>
      <c r="D5" s="33">
        <f>IFERROR(__xludf.DUMMYFUNCTION("""COMPUTED_VALUE"""),-8.120349071027283)</f>
        <v>-8.120349071</v>
      </c>
      <c r="E5" s="33">
        <f>IFERROR(__xludf.DUMMYFUNCTION("""COMPUTED_VALUE"""),0.19578678333826127)</f>
        <v>0.1957867833</v>
      </c>
    </row>
    <row r="6">
      <c r="A6" s="9" t="str">
        <f>IFERROR(__xludf.DUMMYFUNCTION("""COMPUTED_VALUE"""),"Solana")</f>
        <v>Solana</v>
      </c>
      <c r="B6" s="33">
        <f>IFERROR(__xludf.DUMMYFUNCTION("""COMPUTED_VALUE"""),0.29589541668642877)</f>
        <v>0.2958954167</v>
      </c>
      <c r="C6" s="33">
        <f>IFERROR(__xludf.DUMMYFUNCTION("""COMPUTED_VALUE"""),0.014384798223006572)</f>
        <v>0.01438479822</v>
      </c>
      <c r="D6" s="33" t="str">
        <f>IFERROR(__xludf.DUMMYFUNCTION("""COMPUTED_VALUE"""),"#N/A")</f>
        <v>#N/A</v>
      </c>
      <c r="E6" s="33" t="str">
        <f>IFERROR(__xludf.DUMMYFUNCTION("""COMPUTED_VALUE"""),"#N/A")</f>
        <v>#N/A</v>
      </c>
    </row>
    <row r="22">
      <c r="A22" s="59" t="str">
        <f>IFERROR(__xludf.DUMMYFUNCTION("IMPORTRANGE(""https://docs.google.com/spreadsheets/d/1gXAO2GNyEKylLtfGmhTYfO8S7zp-qMFYhPViOnaf5qk/edit#gid=1359329667"",""Dashboard!b18:c160"")"),"CeFi Strategies")</f>
        <v>CeFi Strategies</v>
      </c>
      <c r="B22" s="9" t="str">
        <f>IFERROR(__xludf.DUMMYFUNCTION("""COMPUTED_VALUE"""),"Coin")</f>
        <v>Coin</v>
      </c>
      <c r="C22" s="60" t="str">
        <f>IFERROR(__xludf.DUMMYFUNCTION("IMPORTRANGE(""https://docs.google.com/spreadsheets/d/1gXAO2GNyEKylLtfGmhTYfO8S7zp-qMFYhPViOnaf5qk/edit#gid=1359329667"",""Dashboard!M18:m160"")"),"APY")</f>
        <v>APY</v>
      </c>
    </row>
    <row r="23">
      <c r="A23" s="9" t="str">
        <f>IFERROR(__xludf.DUMMYFUNCTION("""COMPUTED_VALUE"""),"Cash and Carry")</f>
        <v>Cash and Carry</v>
      </c>
      <c r="B23" s="9" t="str">
        <f>IFERROR(__xludf.DUMMYFUNCTION("""COMPUTED_VALUE"""),"BTC/USD")</f>
        <v>BTC/USD</v>
      </c>
      <c r="C23" s="9"/>
    </row>
    <row r="24">
      <c r="A24" s="9" t="str">
        <f>IFERROR(__xludf.DUMMYFUNCTION("""COMPUTED_VALUE"""),"Cash and Carry")</f>
        <v>Cash and Carry</v>
      </c>
      <c r="B24" s="9" t="str">
        <f>IFERROR(__xludf.DUMMYFUNCTION("""COMPUTED_VALUE"""),"BTC-PERP")</f>
        <v>BTC-PERP</v>
      </c>
      <c r="C24" s="33">
        <f>IFERROR(__xludf.DUMMYFUNCTION("""COMPUTED_VALUE"""),0.043800000000000006)</f>
        <v>0.0438</v>
      </c>
    </row>
    <row r="25">
      <c r="A25" s="9"/>
      <c r="B25" s="9"/>
      <c r="C25" s="9"/>
    </row>
    <row r="26">
      <c r="A26" s="9" t="str">
        <f>IFERROR(__xludf.DUMMYFUNCTION("""COMPUTED_VALUE"""),"Cash and Carry")</f>
        <v>Cash and Carry</v>
      </c>
      <c r="B26" s="9" t="str">
        <f>IFERROR(__xludf.DUMMYFUNCTION("""COMPUTED_VALUE"""),"ETH/USD")</f>
        <v>ETH/USD</v>
      </c>
      <c r="C26" s="9"/>
    </row>
    <row r="27">
      <c r="A27" s="9" t="str">
        <f>IFERROR(__xludf.DUMMYFUNCTION("""COMPUTED_VALUE"""),"Cash and Carry")</f>
        <v>Cash and Carry</v>
      </c>
      <c r="B27" s="9" t="str">
        <f>IFERROR(__xludf.DUMMYFUNCTION("""COMPUTED_VALUE"""),"ETH-PERP")</f>
        <v>ETH-PERP</v>
      </c>
      <c r="C27" s="33">
        <f>IFERROR(__xludf.DUMMYFUNCTION("""COMPUTED_VALUE"""),0.0)</f>
        <v>0</v>
      </c>
    </row>
    <row r="28">
      <c r="A28" s="9"/>
      <c r="B28" s="9"/>
      <c r="C28" s="9"/>
    </row>
    <row r="29">
      <c r="A29" s="9" t="str">
        <f>IFERROR(__xludf.DUMMYFUNCTION("""COMPUTED_VALUE"""),"Cash and Carry")</f>
        <v>Cash and Carry</v>
      </c>
      <c r="B29" s="9" t="str">
        <f>IFERROR(__xludf.DUMMYFUNCTION("""COMPUTED_VALUE"""),"ALICE/USD")</f>
        <v>ALICE/USD</v>
      </c>
      <c r="C29" s="9"/>
    </row>
    <row r="30">
      <c r="A30" s="9" t="str">
        <f>IFERROR(__xludf.DUMMYFUNCTION("""COMPUTED_VALUE"""),"Cash and Carry")</f>
        <v>Cash and Carry</v>
      </c>
      <c r="B30" s="9" t="str">
        <f>IFERROR(__xludf.DUMMYFUNCTION("""COMPUTED_VALUE"""),"ALICE-PERP")</f>
        <v>ALICE-PERP</v>
      </c>
      <c r="C30" s="9" t="str">
        <f>IFERROR(__xludf.DUMMYFUNCTION("""COMPUTED_VALUE"""),"#N/A")</f>
        <v>#N/A</v>
      </c>
    </row>
    <row r="31">
      <c r="A31" s="9"/>
      <c r="B31" s="9"/>
      <c r="C31" s="9"/>
    </row>
    <row r="32">
      <c r="A32" s="9" t="str">
        <f>IFERROR(__xludf.DUMMYFUNCTION("""COMPUTED_VALUE"""),"Cash and Carry")</f>
        <v>Cash and Carry</v>
      </c>
      <c r="B32" s="9" t="str">
        <f>IFERROR(__xludf.DUMMYFUNCTION("""COMPUTED_VALUE"""),"MANA/USD")</f>
        <v>MANA/USD</v>
      </c>
      <c r="C32" s="9"/>
    </row>
    <row r="33">
      <c r="A33" s="9" t="str">
        <f>IFERROR(__xludf.DUMMYFUNCTION("""COMPUTED_VALUE"""),"Cash and Carry")</f>
        <v>Cash and Carry</v>
      </c>
      <c r="B33" s="9" t="str">
        <f>IFERROR(__xludf.DUMMYFUNCTION("""COMPUTED_VALUE"""),"MANA-PERP")</f>
        <v>MANA-PERP</v>
      </c>
      <c r="C33" s="33">
        <f>IFERROR(__xludf.DUMMYFUNCTION("""COMPUTED_VALUE"""),-0.25404)</f>
        <v>-0.25404</v>
      </c>
    </row>
    <row r="34">
      <c r="A34" s="9"/>
      <c r="B34" s="9"/>
      <c r="C34" s="9"/>
    </row>
    <row r="35">
      <c r="A35" s="9" t="str">
        <f>IFERROR(__xludf.DUMMYFUNCTION("""COMPUTED_VALUE"""),"Cash and Carry")</f>
        <v>Cash and Carry</v>
      </c>
      <c r="B35" s="9" t="str">
        <f>IFERROR(__xludf.DUMMYFUNCTION("""COMPUTED_VALUE"""),"SOL/USD")</f>
        <v>SOL/USD</v>
      </c>
      <c r="C35" s="9"/>
    </row>
    <row r="36">
      <c r="A36" s="9" t="str">
        <f>IFERROR(__xludf.DUMMYFUNCTION("""COMPUTED_VALUE"""),"Cash and Carry")</f>
        <v>Cash and Carry</v>
      </c>
      <c r="B36" s="9" t="str">
        <f>IFERROR(__xludf.DUMMYFUNCTION("""COMPUTED_VALUE"""),"SOL-PERP")</f>
        <v>SOL-PERP</v>
      </c>
      <c r="C36" s="33">
        <f>IFERROR(__xludf.DUMMYFUNCTION("""COMPUTED_VALUE"""),-0.02628)</f>
        <v>-0.02628</v>
      </c>
    </row>
    <row r="37">
      <c r="A37" s="9"/>
      <c r="B37" s="9"/>
      <c r="C37" s="9"/>
    </row>
    <row r="38">
      <c r="A38" s="9" t="str">
        <f>IFERROR(__xludf.DUMMYFUNCTION("""COMPUTED_VALUE"""),"Cash and Carry")</f>
        <v>Cash and Carry</v>
      </c>
      <c r="B38" s="9" t="str">
        <f>IFERROR(__xludf.DUMMYFUNCTION("""COMPUTED_VALUE"""),"FTM/USD")</f>
        <v>FTM/USD</v>
      </c>
      <c r="C38" s="9"/>
    </row>
    <row r="39">
      <c r="A39" s="9" t="str">
        <f>IFERROR(__xludf.DUMMYFUNCTION("""COMPUTED_VALUE"""),"Cash and Carry")</f>
        <v>Cash and Carry</v>
      </c>
      <c r="B39" s="9" t="str">
        <f>IFERROR(__xludf.DUMMYFUNCTION("""COMPUTED_VALUE"""),"FTM-PERP")</f>
        <v>FTM-PERP</v>
      </c>
      <c r="C39" s="33">
        <f>IFERROR(__xludf.DUMMYFUNCTION("""COMPUTED_VALUE"""),0.00876)</f>
        <v>0.00876</v>
      </c>
    </row>
    <row r="40">
      <c r="A40" s="9"/>
      <c r="B40" s="9"/>
      <c r="C40" s="9"/>
    </row>
    <row r="41">
      <c r="A41" s="9" t="str">
        <f>IFERROR(__xludf.DUMMYFUNCTION("""COMPUTED_VALUE"""),"Cash and Carry")</f>
        <v>Cash and Carry</v>
      </c>
      <c r="B41" s="9" t="str">
        <f>IFERROR(__xludf.DUMMYFUNCTION("""COMPUTED_VALUE"""),"LRC/USD")</f>
        <v>LRC/USD</v>
      </c>
      <c r="C41" s="9"/>
    </row>
    <row r="42">
      <c r="A42" s="9" t="str">
        <f>IFERROR(__xludf.DUMMYFUNCTION("""COMPUTED_VALUE"""),"Cash and Carry")</f>
        <v>Cash and Carry</v>
      </c>
      <c r="B42" s="9" t="str">
        <f>IFERROR(__xludf.DUMMYFUNCTION("""COMPUTED_VALUE"""),"LRC-PERP")</f>
        <v>LRC-PERP</v>
      </c>
      <c r="C42" s="9"/>
    </row>
    <row r="43">
      <c r="A43" s="9"/>
      <c r="B43" s="9"/>
      <c r="C43" s="9"/>
    </row>
    <row r="44">
      <c r="A44" s="9" t="str">
        <f>IFERROR(__xludf.DUMMYFUNCTION("""COMPUTED_VALUE"""),"Cash and Carry")</f>
        <v>Cash and Carry</v>
      </c>
      <c r="B44" s="9" t="str">
        <f>IFERROR(__xludf.DUMMYFUNCTION("""COMPUTED_VALUE"""),"BOBA/USD")</f>
        <v>BOBA/USD</v>
      </c>
      <c r="C44" s="9"/>
    </row>
    <row r="45">
      <c r="A45" s="9" t="str">
        <f>IFERROR(__xludf.DUMMYFUNCTION("""COMPUTED_VALUE"""),"Cash and Carry")</f>
        <v>Cash and Carry</v>
      </c>
      <c r="B45" s="9" t="str">
        <f>IFERROR(__xludf.DUMMYFUNCTION("""COMPUTED_VALUE"""),"BOBA-PERP")</f>
        <v>BOBA-PERP</v>
      </c>
      <c r="C45" s="33">
        <f>IFERROR(__xludf.DUMMYFUNCTION("""COMPUTED_VALUE"""),-0.05256)</f>
        <v>-0.05256</v>
      </c>
    </row>
    <row r="46">
      <c r="A46" s="9"/>
      <c r="B46" s="9"/>
      <c r="C46" s="9"/>
    </row>
    <row r="47">
      <c r="A47" s="9" t="str">
        <f>IFERROR(__xludf.DUMMYFUNCTION("""COMPUTED_VALUE"""),"Cash and Carry")</f>
        <v>Cash and Carry</v>
      </c>
      <c r="B47" s="9" t="str">
        <f>IFERROR(__xludf.DUMMYFUNCTION("""COMPUTED_VALUE"""),"MATIC/USD")</f>
        <v>MATIC/USD</v>
      </c>
      <c r="C47" s="9"/>
    </row>
    <row r="48">
      <c r="A48" s="9" t="str">
        <f>IFERROR(__xludf.DUMMYFUNCTION("""COMPUTED_VALUE"""),"Cash and Carry")</f>
        <v>Cash and Carry</v>
      </c>
      <c r="B48" s="9" t="str">
        <f>IFERROR(__xludf.DUMMYFUNCTION("""COMPUTED_VALUE"""),"MATIC-PERP")</f>
        <v>MATIC-PERP</v>
      </c>
      <c r="C48" s="9"/>
    </row>
    <row r="49">
      <c r="A49" s="9"/>
      <c r="B49" s="9"/>
      <c r="C49" s="9"/>
    </row>
    <row r="50">
      <c r="A50" s="9"/>
      <c r="B50" s="9" t="str">
        <f>IFERROR(__xludf.DUMMYFUNCTION("""COMPUTED_VALUE"""),"USD")</f>
        <v>USD</v>
      </c>
      <c r="C50" s="33">
        <f>IFERROR(__xludf.DUMMYFUNCTION("""COMPUTED_VALUE"""),0.043035689999999995)</f>
        <v>0.04303569</v>
      </c>
    </row>
    <row r="51">
      <c r="A51" s="9"/>
      <c r="B51" s="9" t="str">
        <f>IFERROR(__xludf.DUMMYFUNCTION("""COMPUTED_VALUE"""),"USDT ERC20")</f>
        <v>USDT ERC20</v>
      </c>
      <c r="C51" s="9"/>
    </row>
    <row r="52">
      <c r="A52" s="9"/>
      <c r="B52" s="9" t="str">
        <f>IFERROR(__xludf.DUMMYFUNCTION("""COMPUTED_VALUE"""),"OMG")</f>
        <v>OMG</v>
      </c>
      <c r="C52" s="9"/>
    </row>
    <row r="53">
      <c r="A53" s="9" t="str">
        <f>IFERROR(__xludf.DUMMYFUNCTION("""COMPUTED_VALUE"""),"Cash and Carry")</f>
        <v>Cash and Carry</v>
      </c>
      <c r="B53" s="9"/>
      <c r="C53" s="33">
        <f>IFERROR(__xludf.DUMMYFUNCTION("""COMPUTED_VALUE"""),0.005602086119215673)</f>
        <v>0.005602086119</v>
      </c>
    </row>
    <row r="54">
      <c r="A54" s="9"/>
      <c r="B54" s="9"/>
      <c r="C54" s="9"/>
    </row>
    <row r="55">
      <c r="A55" s="9" t="str">
        <f>IFERROR(__xludf.DUMMYFUNCTION("""COMPUTED_VALUE"""),"Futures Funding")</f>
        <v>Futures Funding</v>
      </c>
      <c r="B55" s="9" t="str">
        <f>IFERROR(__xludf.DUMMYFUNCTION("""COMPUTED_VALUE"""),"BTC-1231")</f>
        <v>BTC-1231</v>
      </c>
      <c r="C55" s="33">
        <f>IFERROR(__xludf.DUMMYFUNCTION("""COMPUTED_VALUE"""),0.04878279351170917)</f>
        <v>0.04878279351</v>
      </c>
    </row>
    <row r="56">
      <c r="A56" s="9" t="str">
        <f>IFERROR(__xludf.DUMMYFUNCTION("""COMPUTED_VALUE"""),"Futures Funding")</f>
        <v>Futures Funding</v>
      </c>
      <c r="B56" s="9" t="str">
        <f>IFERROR(__xludf.DUMMYFUNCTION("""COMPUTED_VALUE"""),"BTC/USD")</f>
        <v>BTC/USD</v>
      </c>
      <c r="C56" s="9"/>
    </row>
    <row r="57">
      <c r="A57" s="9"/>
      <c r="B57" s="9"/>
      <c r="C57" s="9"/>
    </row>
    <row r="58">
      <c r="A58" s="9" t="str">
        <f>IFERROR(__xludf.DUMMYFUNCTION("""COMPUTED_VALUE"""),"Futures Funding")</f>
        <v>Futures Funding</v>
      </c>
      <c r="B58" s="9" t="str">
        <f>IFERROR(__xludf.DUMMYFUNCTION("""COMPUTED_VALUE"""),"BTC-0325")</f>
        <v>BTC-0325</v>
      </c>
      <c r="C58" s="33">
        <f>IFERROR(__xludf.DUMMYFUNCTION("""COMPUTED_VALUE"""),0.09956555839799351)</f>
        <v>0.0995655584</v>
      </c>
    </row>
    <row r="59">
      <c r="A59" s="9" t="str">
        <f>IFERROR(__xludf.DUMMYFUNCTION("""COMPUTED_VALUE"""),"Futures Funding")</f>
        <v>Futures Funding</v>
      </c>
      <c r="B59" s="9" t="str">
        <f>IFERROR(__xludf.DUMMYFUNCTION("""COMPUTED_VALUE"""),"BTC/USD")</f>
        <v>BTC/USD</v>
      </c>
      <c r="C59" s="9"/>
    </row>
    <row r="60">
      <c r="A60" s="9"/>
      <c r="B60" s="9"/>
      <c r="C60" s="9"/>
    </row>
    <row r="61">
      <c r="A61" s="9" t="str">
        <f>IFERROR(__xludf.DUMMYFUNCTION("""COMPUTED_VALUE"""),"Futures Funding")</f>
        <v>Futures Funding</v>
      </c>
      <c r="B61" s="9" t="str">
        <f>IFERROR(__xludf.DUMMYFUNCTION("""COMPUTED_VALUE"""),"ETH-0325")</f>
        <v>ETH-0325</v>
      </c>
      <c r="C61" s="33">
        <f>IFERROR(__xludf.DUMMYFUNCTION("""COMPUTED_VALUE"""),0.10811682739592231)</f>
        <v>0.1081168274</v>
      </c>
    </row>
    <row r="62">
      <c r="A62" s="9" t="str">
        <f>IFERROR(__xludf.DUMMYFUNCTION("""COMPUTED_VALUE"""),"Futures Funding")</f>
        <v>Futures Funding</v>
      </c>
      <c r="B62" s="9" t="str">
        <f>IFERROR(__xludf.DUMMYFUNCTION("""COMPUTED_VALUE"""),"ETH/USD")</f>
        <v>ETH/USD</v>
      </c>
      <c r="C62" s="9"/>
    </row>
    <row r="63">
      <c r="A63" s="9"/>
      <c r="B63" s="9"/>
      <c r="C63" s="9"/>
    </row>
    <row r="64">
      <c r="A64" s="9" t="str">
        <f>IFERROR(__xludf.DUMMYFUNCTION("""COMPUTED_VALUE"""),"Futures Funding")</f>
        <v>Futures Funding</v>
      </c>
      <c r="B64" s="9"/>
      <c r="C64" s="9"/>
    </row>
    <row r="65">
      <c r="A65" s="9"/>
      <c r="B65" s="9"/>
      <c r="C65" s="9"/>
    </row>
    <row r="66">
      <c r="A66" s="9" t="str">
        <f>IFERROR(__xludf.DUMMYFUNCTION("""COMPUTED_VALUE"""),"Directional Trading 2")</f>
        <v>Directional Trading 2</v>
      </c>
      <c r="B66" s="9" t="str">
        <f>IFERROR(__xludf.DUMMYFUNCTION("""COMPUTED_VALUE"""),"BTC/USD")</f>
        <v>BTC/USD</v>
      </c>
      <c r="C66" s="9"/>
    </row>
    <row r="67">
      <c r="A67" s="9"/>
      <c r="B67" s="9" t="str">
        <f>IFERROR(__xludf.DUMMYFUNCTION("""COMPUTED_VALUE"""),"BTC-PERP")</f>
        <v>BTC-PERP</v>
      </c>
      <c r="C67" s="9"/>
    </row>
    <row r="68">
      <c r="A68" s="9"/>
      <c r="B68" s="9" t="str">
        <f>IFERROR(__xludf.DUMMYFUNCTION("""COMPUTED_VALUE"""),"Funding")</f>
        <v>Funding</v>
      </c>
      <c r="C68" s="9"/>
    </row>
    <row r="69">
      <c r="A69" s="9"/>
      <c r="B69" s="9" t="str">
        <f>IFERROR(__xludf.DUMMYFUNCTION("""COMPUTED_VALUE"""),"ETH/USD")</f>
        <v>ETH/USD</v>
      </c>
      <c r="C69" s="9"/>
    </row>
    <row r="70">
      <c r="A70" s="9"/>
      <c r="B70" s="9" t="str">
        <f>IFERROR(__xludf.DUMMYFUNCTION("""COMPUTED_VALUE"""),"ETH-PERP")</f>
        <v>ETH-PERP</v>
      </c>
      <c r="C70" s="9"/>
    </row>
    <row r="71">
      <c r="A71" s="9"/>
      <c r="B71" s="9" t="str">
        <f>IFERROR(__xludf.DUMMYFUNCTION("""COMPUTED_VALUE"""),"Funding")</f>
        <v>Funding</v>
      </c>
      <c r="C71" s="9"/>
    </row>
    <row r="72">
      <c r="A72" s="9"/>
      <c r="B72" s="9" t="str">
        <f>IFERROR(__xludf.DUMMYFUNCTION("""COMPUTED_VALUE"""),"USD")</f>
        <v>USD</v>
      </c>
      <c r="C72" s="9"/>
    </row>
    <row r="73">
      <c r="A73" s="9"/>
      <c r="B73" s="9"/>
      <c r="C73" s="9"/>
    </row>
    <row r="74">
      <c r="A74" s="9" t="str">
        <f>IFERROR(__xludf.DUMMYFUNCTION("""COMPUTED_VALUE"""),"Directional Trading 2")</f>
        <v>Directional Trading 2</v>
      </c>
      <c r="B74" s="9"/>
      <c r="C74" s="9"/>
    </row>
    <row r="75">
      <c r="A75" s="9"/>
      <c r="B75" s="9"/>
      <c r="C75" s="9"/>
    </row>
    <row r="76">
      <c r="A76" s="9" t="str">
        <f>IFERROR(__xludf.DUMMYFUNCTION("""COMPUTED_VALUE"""),"Futures Market Making")</f>
        <v>Futures Market Making</v>
      </c>
      <c r="B76" s="9" t="str">
        <f>IFERROR(__xludf.DUMMYFUNCTION("""COMPUTED_VALUE"""),"BTC-PERP")</f>
        <v>BTC-PERP</v>
      </c>
      <c r="C76" s="9"/>
    </row>
    <row r="77">
      <c r="A77" s="9"/>
      <c r="B77" s="9" t="str">
        <f>IFERROR(__xludf.DUMMYFUNCTION("""COMPUTED_VALUE"""),"Funding")</f>
        <v>Funding</v>
      </c>
      <c r="C77" s="9"/>
    </row>
    <row r="78">
      <c r="A78" s="9" t="str">
        <f>IFERROR(__xludf.DUMMYFUNCTION("""COMPUTED_VALUE"""),"Futures Market Making")</f>
        <v>Futures Market Making</v>
      </c>
      <c r="B78" s="9" t="str">
        <f>IFERROR(__xludf.DUMMYFUNCTION("""COMPUTED_VALUE"""),"ETH-PERP")</f>
        <v>ETH-PERP</v>
      </c>
      <c r="C78" s="9"/>
    </row>
    <row r="79">
      <c r="A79" s="9"/>
      <c r="B79" s="9" t="str">
        <f>IFERROR(__xludf.DUMMYFUNCTION("""COMPUTED_VALUE"""),"Funding")</f>
        <v>Funding</v>
      </c>
      <c r="C79" s="9"/>
    </row>
    <row r="80">
      <c r="A80" s="9"/>
      <c r="B80" s="9" t="str">
        <f>IFERROR(__xludf.DUMMYFUNCTION("""COMPUTED_VALUE"""),"USD")</f>
        <v>USD</v>
      </c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 t="str">
        <f>IFERROR(__xludf.DUMMYFUNCTION("""COMPUTED_VALUE"""),"Futures Market Making")</f>
        <v>Futures Market Making</v>
      </c>
      <c r="B85" s="9"/>
      <c r="C85" s="33">
        <f>IFERROR(__xludf.DUMMYFUNCTION("""COMPUTED_VALUE"""),0.278395269020309)</f>
        <v>0.278395269</v>
      </c>
    </row>
    <row r="86">
      <c r="A86" s="9"/>
      <c r="B86" s="9"/>
      <c r="C86" s="9"/>
    </row>
    <row r="87">
      <c r="A87" s="9" t="str">
        <f>IFERROR(__xludf.DUMMYFUNCTION("""COMPUTED_VALUE"""),"Spot Margin Lending")</f>
        <v>Spot Margin Lending</v>
      </c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 t="str">
        <f>IFERROR(__xludf.DUMMYFUNCTION("""COMPUTED_VALUE"""),"Jacob")</f>
        <v>Jacob</v>
      </c>
      <c r="B93" s="9"/>
      <c r="C93" s="9"/>
    </row>
    <row r="94">
      <c r="A94" s="9"/>
      <c r="B94" s="9"/>
      <c r="C94" s="9"/>
    </row>
    <row r="95">
      <c r="A95" s="9" t="str">
        <f>IFERROR(__xludf.DUMMYFUNCTION("""COMPUTED_VALUE"""),"Solana - CeFi")</f>
        <v>Solana - CeFi</v>
      </c>
      <c r="B95" s="9" t="str">
        <f>IFERROR(__xludf.DUMMYFUNCTION("""COMPUTED_VALUE"""),"ATLAS/USD")</f>
        <v>ATLAS/USD</v>
      </c>
      <c r="C95" s="9"/>
    </row>
    <row r="96">
      <c r="A96" s="9"/>
      <c r="B96" s="9" t="str">
        <f>IFERROR(__xludf.DUMMYFUNCTION("""COMPUTED_VALUE"""),"ATLAS-PERP")</f>
        <v>ATLAS-PERP</v>
      </c>
      <c r="C96" s="9"/>
    </row>
    <row r="97">
      <c r="A97" s="9"/>
      <c r="B97" s="9" t="str">
        <f>IFERROR(__xludf.DUMMYFUNCTION("""COMPUTED_VALUE"""),"Funding")</f>
        <v>Funding</v>
      </c>
      <c r="C97" s="33">
        <f>IFERROR(__xludf.DUMMYFUNCTION("""COMPUTED_VALUE"""),-0.35857600000000006)</f>
        <v>-0.358576</v>
      </c>
    </row>
    <row r="98">
      <c r="A98" s="9"/>
      <c r="B98" s="9" t="str">
        <f>IFERROR(__xludf.DUMMYFUNCTION("""COMPUTED_VALUE"""),"POLIS/USD")</f>
        <v>POLIS/USD</v>
      </c>
      <c r="C98" s="9"/>
    </row>
    <row r="99">
      <c r="A99" s="9"/>
      <c r="B99" s="9" t="str">
        <f>IFERROR(__xludf.DUMMYFUNCTION("""COMPUTED_VALUE"""),"POLIS-PERP")</f>
        <v>POLIS-PERP</v>
      </c>
      <c r="C99" s="9"/>
    </row>
    <row r="100">
      <c r="A100" s="9"/>
      <c r="B100" s="9" t="str">
        <f>IFERROR(__xludf.DUMMYFUNCTION("""COMPUTED_VALUE"""),"Funding")</f>
        <v>Funding</v>
      </c>
      <c r="C100" s="33">
        <f>IFERROR(__xludf.DUMMYFUNCTION("""COMPUTED_VALUE"""),-0.2873279999999999)</f>
        <v>-0.287328</v>
      </c>
    </row>
    <row r="101">
      <c r="A101" s="9"/>
      <c r="B101" s="9" t="str">
        <f>IFERROR(__xludf.DUMMYFUNCTION("""COMPUTED_VALUE"""),"RAY/USD")</f>
        <v>RAY/USD</v>
      </c>
      <c r="C101" s="9"/>
    </row>
    <row r="102">
      <c r="A102" s="9"/>
      <c r="B102" s="9" t="str">
        <f>IFERROR(__xludf.DUMMYFUNCTION("""COMPUTED_VALUE"""),"RAY-PERP")</f>
        <v>RAY-PERP</v>
      </c>
      <c r="C102" s="9"/>
    </row>
    <row r="103">
      <c r="A103" s="9"/>
      <c r="B103" s="9" t="str">
        <f>IFERROR(__xludf.DUMMYFUNCTION("""COMPUTED_VALUE"""),"Funding")</f>
        <v>Funding</v>
      </c>
      <c r="C103" s="33">
        <f>IFERROR(__xludf.DUMMYFUNCTION("""COMPUTED_VALUE"""),-1.0447760000000001)</f>
        <v>-1.044776</v>
      </c>
    </row>
    <row r="104">
      <c r="A104" s="9"/>
      <c r="B104" s="9" t="str">
        <f>IFERROR(__xludf.DUMMYFUNCTION("""COMPUTED_VALUE"""),"OMG")</f>
        <v>OMG</v>
      </c>
      <c r="C104" s="9"/>
    </row>
    <row r="105">
      <c r="A105" s="9"/>
      <c r="B105" s="9"/>
      <c r="C105" s="9"/>
    </row>
    <row r="106">
      <c r="A106" s="9" t="str">
        <f>IFERROR(__xludf.DUMMYFUNCTION("""COMPUTED_VALUE"""),"DeFi")</f>
        <v>DeFi</v>
      </c>
      <c r="B106" s="9" t="str">
        <f>IFERROR(__xludf.DUMMYFUNCTION("""COMPUTED_VALUE"""),"ATLAS/USD")</f>
        <v>ATLAS/USD</v>
      </c>
      <c r="C106" s="9"/>
    </row>
    <row r="107">
      <c r="A107" s="9" t="str">
        <f>IFERROR(__xludf.DUMMYFUNCTION("""COMPUTED_VALUE"""),"(balances)")</f>
        <v>(balances)</v>
      </c>
      <c r="B107" s="9" t="str">
        <f>IFERROR(__xludf.DUMMYFUNCTION("""COMPUTED_VALUE"""),"POLIS/USD")</f>
        <v>POLIS/USD</v>
      </c>
      <c r="C107" s="9"/>
    </row>
    <row r="108">
      <c r="A108" s="9"/>
      <c r="B108" s="9" t="str">
        <f>IFERROR(__xludf.DUMMYFUNCTION("""COMPUTED_VALUE"""),"RAY/USD")</f>
        <v>RAY/USD</v>
      </c>
      <c r="C108" s="9"/>
    </row>
    <row r="109">
      <c r="A109" s="9"/>
      <c r="B109" s="9"/>
      <c r="C109" s="9"/>
    </row>
    <row r="110">
      <c r="A110" s="9" t="str">
        <f>IFERROR(__xludf.DUMMYFUNCTION("""COMPUTED_VALUE"""),"Solana")</f>
        <v>Solana</v>
      </c>
      <c r="B110" s="9"/>
      <c r="C110" s="33" t="str">
        <f>IFERROR(__xludf.DUMMYFUNCTION("""COMPUTED_VALUE"""),"#N/A")</f>
        <v>#N/A</v>
      </c>
    </row>
    <row r="111">
      <c r="A111" s="9"/>
      <c r="B111" s="9"/>
      <c r="C111" s="9"/>
    </row>
    <row r="112">
      <c r="A112" s="9" t="str">
        <f>IFERROR(__xludf.DUMMYFUNCTION("""COMPUTED_VALUE"""),"CEL")</f>
        <v>CEL</v>
      </c>
      <c r="B112" s="9" t="str">
        <f>IFERROR(__xludf.DUMMYFUNCTION("""COMPUTED_VALUE"""),"CEL/USD")</f>
        <v>CEL/USD</v>
      </c>
      <c r="C112" s="9"/>
    </row>
    <row r="113">
      <c r="A113" s="9"/>
      <c r="B113" s="9" t="str">
        <f>IFERROR(__xludf.DUMMYFUNCTION("""COMPUTED_VALUE"""),"CEL/BTC")</f>
        <v>CEL/BTC</v>
      </c>
      <c r="C113" s="9"/>
    </row>
    <row r="114">
      <c r="A114" s="9"/>
      <c r="B114" s="9" t="str">
        <f>IFERROR(__xludf.DUMMYFUNCTION("""COMPUTED_VALUE"""),"BTC/USD")</f>
        <v>BTC/USD</v>
      </c>
      <c r="C114" s="9"/>
    </row>
    <row r="115">
      <c r="A115" s="9" t="str">
        <f>IFERROR(__xludf.DUMMYFUNCTION("""COMPUTED_VALUE"""),"Kairon2")</f>
        <v>Kairon2</v>
      </c>
      <c r="B115" s="9" t="str">
        <f>IFERROR(__xludf.DUMMYFUNCTION("""COMPUTED_VALUE"""),"CEL/USD")</f>
        <v>CEL/USD</v>
      </c>
      <c r="C115" s="9"/>
    </row>
    <row r="116">
      <c r="A116" s="9"/>
      <c r="B116" s="9" t="str">
        <f>IFERROR(__xludf.DUMMYFUNCTION("""COMPUTED_VALUE"""),"CEL/BTC")</f>
        <v>CEL/BTC</v>
      </c>
      <c r="C116" s="9"/>
    </row>
    <row r="117">
      <c r="A117" s="9"/>
      <c r="B117" s="9" t="str">
        <f>IFERROR(__xludf.DUMMYFUNCTION("""COMPUTED_VALUE"""),"BTC/USD")</f>
        <v>BTC/USD</v>
      </c>
      <c r="C117" s="9"/>
    </row>
    <row r="118">
      <c r="A118" s="9" t="str">
        <f>IFERROR(__xludf.DUMMYFUNCTION("""COMPUTED_VALUE"""),"Defi")</f>
        <v>Defi</v>
      </c>
      <c r="B118" s="9" t="str">
        <f>IFERROR(__xludf.DUMMYFUNCTION("""COMPUTED_VALUE"""),"ETH/USD")</f>
        <v>ETH/USD</v>
      </c>
      <c r="C118" s="9"/>
    </row>
    <row r="119">
      <c r="A119" s="9"/>
      <c r="B119" s="9" t="str">
        <f>IFERROR(__xludf.DUMMYFUNCTION("""COMPUTED_VALUE"""),"CEL/USD")</f>
        <v>CEL/USD</v>
      </c>
      <c r="C119" s="9"/>
    </row>
    <row r="120">
      <c r="A120" s="9"/>
      <c r="B120" s="9"/>
      <c r="C120" s="9"/>
    </row>
    <row r="121">
      <c r="A121" s="9" t="str">
        <f>IFERROR(__xludf.DUMMYFUNCTION("""COMPUTED_VALUE"""),"CEL buyback")</f>
        <v>CEL buyback</v>
      </c>
      <c r="B121" s="9"/>
      <c r="C121" s="33">
        <f>IFERROR(__xludf.DUMMYFUNCTION("""COMPUTED_VALUE"""),0.0)</f>
        <v>0</v>
      </c>
    </row>
    <row r="122">
      <c r="A122" s="9"/>
      <c r="B122" s="9"/>
      <c r="C122" s="9"/>
    </row>
    <row r="123">
      <c r="A123" s="9" t="str">
        <f>IFERROR(__xludf.DUMMYFUNCTION("""COMPUTED_VALUE"""),"Kairon")</f>
        <v>Kairon</v>
      </c>
      <c r="B123" s="9" t="str">
        <f>IFERROR(__xludf.DUMMYFUNCTION("""COMPUTED_VALUE"""),"CEL/USD")</f>
        <v>CEL/USD</v>
      </c>
      <c r="C123" s="9"/>
    </row>
    <row r="124">
      <c r="A124" s="9" t="str">
        <f>IFERROR(__xludf.DUMMYFUNCTION("""COMPUTED_VALUE"""),"(Market Making)")</f>
        <v>(Market Making)</v>
      </c>
      <c r="B124" s="9" t="str">
        <f>IFERROR(__xludf.DUMMYFUNCTION("""COMPUTED_VALUE"""),"CEL/BTC")</f>
        <v>CEL/BTC</v>
      </c>
      <c r="C124" s="9"/>
    </row>
    <row r="125">
      <c r="A125" s="9"/>
      <c r="B125" s="9" t="str">
        <f>IFERROR(__xludf.DUMMYFUNCTION("""COMPUTED_VALUE"""),"BTC/USD")</f>
        <v>BTC/USD</v>
      </c>
      <c r="C125" s="9"/>
    </row>
    <row r="126">
      <c r="A126" s="9" t="str">
        <f>IFERROR(__xludf.DUMMYFUNCTION("""COMPUTED_VALUE"""),"Kairon")</f>
        <v>Kairon</v>
      </c>
      <c r="B126" s="9"/>
      <c r="C126" s="33">
        <f>IFERROR(__xludf.DUMMYFUNCTION("""COMPUTED_VALUE"""),-0.06978311621391232)</f>
        <v>-0.06978311621</v>
      </c>
    </row>
    <row r="127">
      <c r="A127" s="9"/>
      <c r="B127" s="9"/>
      <c r="C127" s="9"/>
    </row>
    <row r="128">
      <c r="A128" s="9" t="str">
        <f>IFERROR(__xludf.DUMMYFUNCTION("""COMPUTED_VALUE"""),"Managment")</f>
        <v>Managment</v>
      </c>
      <c r="B128" s="9" t="str">
        <f>IFERROR(__xludf.DUMMYFUNCTION("""COMPUTED_VALUE"""),"BTC/USD")</f>
        <v>BTC/USD</v>
      </c>
      <c r="C128" s="9"/>
    </row>
    <row r="129">
      <c r="A129" s="9"/>
      <c r="B129" s="9" t="str">
        <f>IFERROR(__xludf.DUMMYFUNCTION("""COMPUTED_VALUE"""),"BADGER/USD")</f>
        <v>BADGER/USD</v>
      </c>
      <c r="C129" s="9"/>
    </row>
    <row r="130">
      <c r="A130" s="9"/>
      <c r="B130" s="9" t="str">
        <f>IFERROR(__xludf.DUMMYFUNCTION("""COMPUTED_VALUE"""),"BADGER-PERP")</f>
        <v>BADGER-PERP</v>
      </c>
      <c r="C130" s="9"/>
    </row>
    <row r="131">
      <c r="A131" s="9"/>
      <c r="B131" s="9" t="str">
        <f>IFERROR(__xludf.DUMMYFUNCTION("""COMPUTED_VALUE"""),"BOBA/USD")</f>
        <v>BOBA/USD</v>
      </c>
      <c r="C131" s="9"/>
    </row>
    <row r="132">
      <c r="A132" s="9"/>
      <c r="B132" s="9"/>
      <c r="C132" s="9"/>
    </row>
    <row r="133">
      <c r="A133" s="9" t="str">
        <f>IFERROR(__xludf.DUMMYFUNCTION("""COMPUTED_VALUE"""),"Management")</f>
        <v>Management</v>
      </c>
      <c r="B133" s="9"/>
      <c r="C133" s="33" t="str">
        <f>IFERROR(__xludf.DUMMYFUNCTION("""COMPUTED_VALUE"""),"#VALUE!")</f>
        <v>#VALUE!</v>
      </c>
    </row>
    <row r="134">
      <c r="A134" s="9"/>
      <c r="B134" s="9"/>
      <c r="C134" s="9"/>
    </row>
    <row r="135">
      <c r="A135" s="9" t="str">
        <f>IFERROR(__xludf.DUMMYFUNCTION("""COMPUTED_VALUE"""),"Grayscale")</f>
        <v>Grayscale</v>
      </c>
      <c r="B135" s="9"/>
      <c r="C135" s="9"/>
    </row>
    <row r="136">
      <c r="A136" s="9" t="str">
        <f>IFERROR(__xludf.DUMMYFUNCTION("""COMPUTED_VALUE"""),"Grayscale")</f>
        <v>Grayscale</v>
      </c>
      <c r="B136" s="9"/>
      <c r="C136" s="9"/>
    </row>
    <row r="137">
      <c r="A137" s="9"/>
      <c r="B137" s="9"/>
      <c r="C137" s="9"/>
    </row>
    <row r="138">
      <c r="A138" s="9" t="str">
        <f>IFERROR(__xludf.DUMMYFUNCTION("""COMPUTED_VALUE"""),"Grayscale")</f>
        <v>Grayscale</v>
      </c>
      <c r="B138" s="9"/>
      <c r="C138" s="33" t="str">
        <f>IFERROR(__xludf.DUMMYFUNCTION("""COMPUTED_VALUE"""),"#DIV/0!")</f>
        <v>#DIV/0!</v>
      </c>
    </row>
    <row r="139">
      <c r="A139" s="9"/>
      <c r="B139" s="9"/>
      <c r="C139" s="9"/>
    </row>
    <row r="140">
      <c r="A140" s="9" t="str">
        <f>IFERROR(__xludf.DUMMYFUNCTION("""COMPUTED_VALUE"""),"Management")</f>
        <v>Management</v>
      </c>
      <c r="B140" s="9"/>
      <c r="C140" s="9"/>
    </row>
    <row r="141">
      <c r="A141" s="9" t="str">
        <f>IFERROR(__xludf.DUMMYFUNCTION("""COMPUTED_VALUE"""),"Management")</f>
        <v>Management</v>
      </c>
      <c r="B141" s="9"/>
      <c r="C141" s="9"/>
    </row>
    <row r="142">
      <c r="A142" s="9"/>
      <c r="B142" s="9"/>
      <c r="C142" s="9"/>
    </row>
    <row r="143">
      <c r="A143" s="9" t="str">
        <f>IFERROR(__xludf.DUMMYFUNCTION("""COMPUTED_VALUE"""),"Management")</f>
        <v>Management</v>
      </c>
      <c r="B143" s="9"/>
      <c r="C143" s="33" t="str">
        <f>IFERROR(__xludf.DUMMYFUNCTION("""COMPUTED_VALUE"""),"#DIV/0!")</f>
        <v>#DIV/0!</v>
      </c>
    </row>
    <row r="144">
      <c r="A144" s="9"/>
      <c r="B144" s="9"/>
      <c r="C144" s="9"/>
    </row>
    <row r="145">
      <c r="A145" s="9" t="str">
        <f>IFERROR(__xludf.DUMMYFUNCTION("""COMPUTED_VALUE"""),"FTX Borrow")</f>
        <v>FTX Borrow</v>
      </c>
      <c r="B145" s="9" t="str">
        <f>IFERROR(__xludf.DUMMYFUNCTION("""COMPUTED_VALUE"""),"USD")</f>
        <v>USD</v>
      </c>
      <c r="C145" s="33">
        <f>IFERROR(__xludf.DUMMYFUNCTION("""COMPUTED_VALUE"""),0.014899039285714292)</f>
        <v>0.01489903929</v>
      </c>
    </row>
    <row r="146">
      <c r="A146" s="9"/>
      <c r="B146" s="9"/>
      <c r="C146" s="9"/>
    </row>
    <row r="147">
      <c r="A147" s="9"/>
      <c r="B147" s="9"/>
      <c r="C147" s="9"/>
    </row>
    <row r="148">
      <c r="A148" s="9" t="str">
        <f>IFERROR(__xludf.DUMMYFUNCTION("""COMPUTED_VALUE"""),"FTX Borrow")</f>
        <v>FTX Borrow</v>
      </c>
      <c r="B148" s="9"/>
      <c r="C148" s="33">
        <f>IFERROR(__xludf.DUMMYFUNCTION("""COMPUTED_VALUE"""),-5.910644102554782E-4)</f>
        <v>-0.0005910644103</v>
      </c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33">
        <f>IFERROR(__xludf.DUMMYFUNCTION("""COMPUTED_VALUE"""),-0.02902395441251538)</f>
        <v>-0.02902395441</v>
      </c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 t="str">
        <f>IFERROR(__xludf.DUMMYFUNCTION("""COMPUTED_VALUE"""),"Bitfinex")</f>
        <v>Bitfinex</v>
      </c>
      <c r="B156" s="9" t="str">
        <f>IFERROR(__xludf.DUMMYFUNCTION("""COMPUTED_VALUE"""),"Contract")</f>
        <v>Contract</v>
      </c>
      <c r="C156" s="9"/>
    </row>
    <row r="157">
      <c r="A157" s="9" t="str">
        <f>IFERROR(__xludf.DUMMYFUNCTION("""COMPUTED_VALUE"""),"BOT")</f>
        <v>BOT</v>
      </c>
      <c r="B157" s="9" t="str">
        <f>IFERROR(__xludf.DUMMYFUNCTION("""COMPUTED_VALUE"""),"ADA")</f>
        <v>ADA</v>
      </c>
      <c r="C157" s="9"/>
    </row>
    <row r="158">
      <c r="A158" s="9"/>
      <c r="B158" s="9" t="str">
        <f>IFERROR(__xludf.DUMMYFUNCTION("""COMPUTED_VALUE"""),"ALGO")</f>
        <v>ALGO</v>
      </c>
      <c r="C158" s="9"/>
    </row>
    <row r="159">
      <c r="A159" s="9"/>
      <c r="B159" s="9" t="str">
        <f>IFERROR(__xludf.DUMMYFUNCTION("""COMPUTED_VALUE"""),"BCHN")</f>
        <v>BCHN</v>
      </c>
      <c r="C159" s="9"/>
    </row>
    <row r="160">
      <c r="A160" s="9"/>
      <c r="B160" s="9" t="str">
        <f>IFERROR(__xludf.DUMMYFUNCTION("""COMPUTED_VALUE"""),"BSV")</f>
        <v>BSV</v>
      </c>
      <c r="C160" s="9"/>
    </row>
    <row r="161">
      <c r="A161" s="9"/>
      <c r="B161" s="9" t="str">
        <f>IFERROR(__xludf.DUMMYFUNCTION("""COMPUTED_VALUE"""),"BTC")</f>
        <v>BTC</v>
      </c>
      <c r="C161" s="9"/>
    </row>
    <row r="162">
      <c r="A162" s="9"/>
      <c r="B162" s="9" t="str">
        <f>IFERROR(__xludf.DUMMYFUNCTION("""COMPUTED_VALUE"""),"BTG")</f>
        <v>BTG</v>
      </c>
      <c r="C162" s="9"/>
    </row>
    <row r="163">
      <c r="A163" s="9"/>
      <c r="B163" s="9" t="str">
        <f>IFERROR(__xludf.DUMMYFUNCTION("""COMPUTED_VALUE"""),"DASH")</f>
        <v>DASH</v>
      </c>
      <c r="C163" s="9"/>
    </row>
    <row r="164">
      <c r="A164" s="9"/>
      <c r="B164" s="9" t="str">
        <f>IFERROR(__xludf.DUMMYFUNCTION("""COMPUTED_VALUE"""),"EOS")</f>
        <v>EOS</v>
      </c>
      <c r="C164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38"/>
    <col customWidth="1" min="6" max="6" width="20.63"/>
  </cols>
  <sheetData>
    <row r="1">
      <c r="A1" s="61" t="str">
        <f>IFERROR(__xludf.DUMMYFUNCTION("IMPORTRANGE(""https://docs.google.com/spreadsheets/d/1EzKkGPvQKhP19qcrNLwYMBf1WGoBBDr2JY0Cm52km_Q/edit#gid=943410670"",""APY calc!A:B"")"),"Coin")</f>
        <v>Coin</v>
      </c>
      <c r="B1" s="61" t="str">
        <f>IFERROR(__xludf.DUMMYFUNCTION("""COMPUTED_VALUE"""),"7d apy net")</f>
        <v>7d apy net</v>
      </c>
      <c r="C1" s="62"/>
      <c r="D1" s="61"/>
      <c r="E1" s="61"/>
      <c r="F1" s="61"/>
      <c r="G1" s="63"/>
      <c r="H1" s="61"/>
      <c r="I1" s="61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>
      <c r="A2" s="9" t="str">
        <f>IFERROR(__xludf.DUMMYFUNCTION("""COMPUTED_VALUE"""),"ETH")</f>
        <v>ETH</v>
      </c>
      <c r="B2" s="33">
        <f>IFERROR(__xludf.DUMMYFUNCTION("""COMPUTED_VALUE"""),0.05492136038344005)</f>
        <v>0.05492136038</v>
      </c>
      <c r="C2" s="64"/>
      <c r="D2" s="13"/>
      <c r="E2" s="13"/>
      <c r="F2" s="65"/>
      <c r="I2" s="33"/>
    </row>
    <row r="3">
      <c r="A3" s="9" t="str">
        <f>IFERROR(__xludf.DUMMYFUNCTION("""COMPUTED_VALUE"""),"BTC")</f>
        <v>BTC</v>
      </c>
      <c r="B3" s="33">
        <f>IFERROR(__xludf.DUMMYFUNCTION("""COMPUTED_VALUE"""),0.05362683443379041)</f>
        <v>0.05362683443</v>
      </c>
      <c r="C3" s="64"/>
      <c r="D3" s="13"/>
      <c r="E3" s="13"/>
      <c r="F3" s="65"/>
      <c r="I3" s="33"/>
    </row>
    <row r="4">
      <c r="A4" s="9" t="str">
        <f>IFERROR(__xludf.DUMMYFUNCTION("""COMPUTED_VALUE"""),"USDC")</f>
        <v>USDC</v>
      </c>
      <c r="B4" s="33">
        <f>IFERROR(__xludf.DUMMYFUNCTION("""COMPUTED_VALUE"""),0.1358632390490176)</f>
        <v>0.135863239</v>
      </c>
      <c r="C4" s="64"/>
      <c r="D4" s="13"/>
      <c r="E4" s="13"/>
      <c r="F4" s="65"/>
      <c r="I4" s="33"/>
    </row>
    <row r="5">
      <c r="A5" s="9" t="str">
        <f>IFERROR(__xludf.DUMMYFUNCTION("""COMPUTED_VALUE"""),"MCDAI")</f>
        <v>MCDAI</v>
      </c>
      <c r="B5" s="33">
        <f>IFERROR(__xludf.DUMMYFUNCTION("""COMPUTED_VALUE"""),0.175461127010925)</f>
        <v>0.175461127</v>
      </c>
      <c r="C5" s="64"/>
      <c r="D5" s="13"/>
      <c r="E5" s="13"/>
      <c r="F5" s="65"/>
      <c r="I5" s="33"/>
    </row>
    <row r="6">
      <c r="A6" s="9" t="str">
        <f>IFERROR(__xludf.DUMMYFUNCTION("""COMPUTED_VALUE"""),"LINK")</f>
        <v>LINK</v>
      </c>
      <c r="B6" s="33">
        <f>IFERROR(__xludf.DUMMYFUNCTION("""COMPUTED_VALUE"""),0.09771019212044406)</f>
        <v>0.09771019212</v>
      </c>
      <c r="C6" s="64"/>
      <c r="D6" s="13"/>
      <c r="E6" s="13"/>
      <c r="F6" s="65"/>
      <c r="I6" s="33"/>
    </row>
    <row r="7">
      <c r="A7" s="9"/>
      <c r="B7" s="9"/>
      <c r="C7" s="64"/>
      <c r="D7" s="13"/>
      <c r="E7" s="13"/>
      <c r="F7" s="65"/>
      <c r="I7" s="33"/>
    </row>
    <row r="8">
      <c r="A8" s="9"/>
      <c r="B8" s="9"/>
      <c r="C8" s="64"/>
      <c r="D8" s="13"/>
      <c r="E8" s="13"/>
      <c r="F8" s="65"/>
    </row>
    <row r="9">
      <c r="A9" s="9"/>
      <c r="B9" s="9"/>
      <c r="C9" s="64"/>
      <c r="D9" s="13"/>
      <c r="E9" s="13"/>
      <c r="F9" s="65"/>
    </row>
    <row r="10">
      <c r="A10" s="9"/>
      <c r="B10" s="9"/>
      <c r="C10" s="64"/>
      <c r="D10" s="13"/>
      <c r="E10" s="13"/>
      <c r="F10" s="65"/>
    </row>
    <row r="11">
      <c r="A11" s="9"/>
      <c r="B11" s="9"/>
      <c r="C11" s="64"/>
      <c r="D11" s="13"/>
      <c r="E11" s="13"/>
      <c r="F11" s="65"/>
    </row>
    <row r="12">
      <c r="A12" s="9"/>
      <c r="B12" s="9"/>
      <c r="C12" s="64"/>
      <c r="D12" s="13"/>
      <c r="E12" s="13"/>
    </row>
    <row r="13">
      <c r="A13" s="9"/>
      <c r="B13" s="9"/>
      <c r="C13" s="66"/>
      <c r="D13" s="13"/>
      <c r="E13" s="13"/>
    </row>
    <row r="14">
      <c r="A14" s="9"/>
      <c r="B14" s="9"/>
      <c r="C14" s="64"/>
      <c r="D14" s="13"/>
      <c r="E14" s="13"/>
    </row>
    <row r="15">
      <c r="A15" s="9"/>
      <c r="B15" s="9"/>
      <c r="C15" s="64"/>
      <c r="D15" s="13"/>
      <c r="E15" s="13"/>
    </row>
    <row r="16">
      <c r="A16" s="9"/>
      <c r="B16" s="9"/>
      <c r="C16" s="67"/>
      <c r="D16" s="13"/>
      <c r="E16" s="13"/>
    </row>
    <row r="17">
      <c r="A17" s="9"/>
      <c r="B17" s="9"/>
      <c r="C17" s="64"/>
      <c r="D17" s="13"/>
      <c r="E17" s="13"/>
    </row>
    <row r="18">
      <c r="A18" s="9"/>
      <c r="B18" s="9"/>
      <c r="C18" s="68"/>
      <c r="D18" s="13"/>
      <c r="E18" s="13"/>
    </row>
    <row r="19">
      <c r="A19" s="9"/>
      <c r="B19" s="9"/>
      <c r="C19" s="69"/>
    </row>
    <row r="20">
      <c r="A20" s="9"/>
      <c r="B20" s="9"/>
      <c r="C20" s="69"/>
    </row>
    <row r="21">
      <c r="A21" s="9"/>
      <c r="B21" s="66"/>
      <c r="C21" s="69"/>
    </row>
    <row r="22">
      <c r="A22" s="9"/>
      <c r="B22" s="9"/>
      <c r="C22" s="69"/>
    </row>
    <row r="23">
      <c r="A23" s="9"/>
      <c r="B23" s="9"/>
      <c r="C23" s="69"/>
    </row>
    <row r="24">
      <c r="A24" s="9"/>
      <c r="B24" s="9"/>
      <c r="C24" s="69"/>
    </row>
    <row r="25">
      <c r="A25" s="9"/>
      <c r="B25" s="9"/>
      <c r="C25" s="69"/>
    </row>
    <row r="26">
      <c r="A26" s="9"/>
      <c r="B26" s="9"/>
      <c r="C26" s="69"/>
    </row>
    <row r="27">
      <c r="A27" s="9"/>
      <c r="B27" s="9"/>
      <c r="C27" s="69"/>
    </row>
    <row r="28">
      <c r="A28" s="9"/>
      <c r="B28" s="9"/>
      <c r="C28" s="69"/>
    </row>
    <row r="29">
      <c r="A29" s="9"/>
      <c r="B29" s="9"/>
      <c r="C29" s="69"/>
    </row>
    <row r="30">
      <c r="A30" s="9"/>
      <c r="B30" s="9"/>
      <c r="C30" s="69"/>
    </row>
    <row r="31">
      <c r="A31" s="9"/>
      <c r="B31" s="9"/>
      <c r="C31" s="69"/>
    </row>
    <row r="32">
      <c r="A32" s="9"/>
      <c r="B32" s="9"/>
      <c r="C32" s="69"/>
    </row>
    <row r="33">
      <c r="A33" s="9"/>
      <c r="B33" s="9"/>
      <c r="C33" s="69"/>
    </row>
    <row r="34">
      <c r="A34" s="9"/>
      <c r="B34" s="9"/>
      <c r="C34" s="69"/>
    </row>
    <row r="35">
      <c r="A35" s="9"/>
      <c r="B35" s="9"/>
      <c r="C35" s="69"/>
    </row>
    <row r="36">
      <c r="A36" s="9"/>
      <c r="B36" s="9"/>
      <c r="C36" s="69"/>
    </row>
    <row r="37">
      <c r="A37" s="9"/>
      <c r="B37" s="9"/>
      <c r="C37" s="69"/>
    </row>
    <row r="38">
      <c r="A38" s="9"/>
      <c r="B38" s="9"/>
      <c r="C38" s="69"/>
    </row>
    <row r="39">
      <c r="A39" s="9"/>
      <c r="B39" s="9"/>
      <c r="C39" s="69"/>
    </row>
    <row r="40">
      <c r="A40" s="9"/>
      <c r="B40" s="9"/>
      <c r="C40" s="69"/>
    </row>
    <row r="41">
      <c r="A41" s="9"/>
      <c r="B41" s="9"/>
      <c r="C41" s="69"/>
    </row>
    <row r="42">
      <c r="A42" s="9"/>
      <c r="B42" s="9"/>
      <c r="C42" s="69"/>
    </row>
    <row r="43">
      <c r="A43" s="9"/>
      <c r="B43" s="9"/>
      <c r="C43" s="69"/>
    </row>
    <row r="44">
      <c r="A44" s="9"/>
      <c r="B44" s="9"/>
      <c r="C44" s="69"/>
    </row>
    <row r="45">
      <c r="A45" s="9"/>
      <c r="B45" s="9"/>
      <c r="C45" s="69"/>
    </row>
    <row r="46">
      <c r="A46" s="9"/>
      <c r="B46" s="9"/>
      <c r="C46" s="69"/>
    </row>
    <row r="47">
      <c r="A47" s="9"/>
      <c r="B47" s="9"/>
      <c r="C47" s="69"/>
    </row>
    <row r="48">
      <c r="A48" s="9"/>
      <c r="B48" s="9"/>
      <c r="C48" s="69"/>
    </row>
    <row r="49">
      <c r="A49" s="9"/>
      <c r="B49" s="9"/>
      <c r="C49" s="69"/>
    </row>
    <row r="50">
      <c r="A50" s="9"/>
      <c r="B50" s="9"/>
      <c r="C50" s="69"/>
    </row>
    <row r="51">
      <c r="A51" s="9"/>
      <c r="B51" s="9"/>
      <c r="C51" s="69"/>
    </row>
    <row r="52">
      <c r="A52" s="9"/>
      <c r="B52" s="9"/>
      <c r="C52" s="69"/>
    </row>
    <row r="53">
      <c r="A53" s="9"/>
      <c r="B53" s="9"/>
      <c r="C53" s="69"/>
    </row>
    <row r="54">
      <c r="A54" s="9"/>
      <c r="B54" s="9"/>
      <c r="C54" s="69"/>
    </row>
    <row r="55">
      <c r="A55" s="9"/>
      <c r="B55" s="9"/>
      <c r="C55" s="69"/>
    </row>
    <row r="56">
      <c r="A56" s="9"/>
      <c r="B56" s="9"/>
      <c r="C56" s="69"/>
    </row>
    <row r="57">
      <c r="A57" s="9"/>
      <c r="B57" s="9"/>
      <c r="C57" s="69"/>
    </row>
    <row r="58">
      <c r="A58" s="9"/>
      <c r="B58" s="9"/>
      <c r="C58" s="69"/>
    </row>
    <row r="59">
      <c r="A59" s="9"/>
      <c r="B59" s="9"/>
      <c r="C59" s="69"/>
    </row>
    <row r="60">
      <c r="A60" s="9"/>
      <c r="B60" s="9"/>
      <c r="C60" s="69"/>
    </row>
    <row r="61">
      <c r="A61" s="9"/>
      <c r="B61" s="9"/>
      <c r="C61" s="69"/>
    </row>
    <row r="62">
      <c r="A62" s="9"/>
      <c r="B62" s="9"/>
      <c r="C62" s="69"/>
    </row>
    <row r="63">
      <c r="A63" s="9"/>
      <c r="B63" s="9"/>
      <c r="C63" s="69"/>
    </row>
    <row r="64">
      <c r="A64" s="9"/>
      <c r="B64" s="9"/>
      <c r="C64" s="69"/>
    </row>
    <row r="65">
      <c r="A65" s="9"/>
      <c r="B65" s="9"/>
      <c r="C65" s="69"/>
    </row>
    <row r="66">
      <c r="A66" s="9"/>
      <c r="B66" s="9"/>
      <c r="C66" s="69"/>
    </row>
    <row r="67">
      <c r="A67" s="9"/>
      <c r="B67" s="9"/>
      <c r="C67" s="69"/>
    </row>
    <row r="68">
      <c r="A68" s="9"/>
      <c r="B68" s="9"/>
      <c r="C68" s="69"/>
    </row>
    <row r="69">
      <c r="A69" s="9"/>
      <c r="B69" s="9"/>
      <c r="C69" s="69"/>
    </row>
    <row r="70">
      <c r="A70" s="9"/>
      <c r="B70" s="9"/>
      <c r="C70" s="69"/>
    </row>
    <row r="71">
      <c r="A71" s="9"/>
      <c r="B71" s="9"/>
      <c r="C71" s="69"/>
    </row>
    <row r="72">
      <c r="A72" s="9"/>
      <c r="B72" s="9"/>
      <c r="C72" s="69"/>
    </row>
    <row r="73">
      <c r="A73" s="9"/>
      <c r="B73" s="9"/>
      <c r="C73" s="69"/>
    </row>
    <row r="74">
      <c r="A74" s="9"/>
      <c r="B74" s="9"/>
      <c r="C74" s="69"/>
    </row>
    <row r="75">
      <c r="A75" s="9"/>
      <c r="B75" s="9"/>
      <c r="C75" s="69"/>
    </row>
    <row r="76">
      <c r="A76" s="9"/>
      <c r="B76" s="9"/>
      <c r="C76" s="69"/>
    </row>
    <row r="77">
      <c r="A77" s="9"/>
      <c r="B77" s="9"/>
      <c r="C77" s="69"/>
    </row>
    <row r="78">
      <c r="A78" s="9"/>
      <c r="B78" s="9"/>
      <c r="C78" s="69"/>
    </row>
    <row r="79">
      <c r="A79" s="9"/>
      <c r="B79" s="9"/>
      <c r="C79" s="69"/>
    </row>
    <row r="80">
      <c r="A80" s="9"/>
      <c r="B80" s="9"/>
      <c r="C80" s="69"/>
    </row>
    <row r="81">
      <c r="A81" s="9"/>
      <c r="B81" s="9"/>
      <c r="C81" s="69"/>
    </row>
    <row r="82">
      <c r="A82" s="9"/>
      <c r="B82" s="9"/>
      <c r="C82" s="69"/>
    </row>
    <row r="83">
      <c r="A83" s="9"/>
      <c r="B83" s="9"/>
      <c r="C83" s="69"/>
    </row>
    <row r="84">
      <c r="A84" s="9"/>
      <c r="B84" s="9"/>
      <c r="C84" s="69"/>
    </row>
    <row r="85">
      <c r="A85" s="9"/>
      <c r="B85" s="9"/>
      <c r="C85" s="69"/>
    </row>
    <row r="86">
      <c r="A86" s="9"/>
      <c r="B86" s="9"/>
      <c r="C86" s="69"/>
    </row>
    <row r="87">
      <c r="A87" s="9"/>
      <c r="B87" s="9"/>
      <c r="C87" s="69"/>
    </row>
    <row r="88">
      <c r="A88" s="9"/>
      <c r="B88" s="9"/>
      <c r="C88" s="69"/>
    </row>
    <row r="89">
      <c r="A89" s="9"/>
      <c r="B89" s="9"/>
      <c r="C89" s="69"/>
    </row>
    <row r="90">
      <c r="A90" s="9"/>
      <c r="B90" s="9"/>
      <c r="C90" s="69"/>
    </row>
    <row r="91">
      <c r="A91" s="9"/>
      <c r="B91" s="9"/>
      <c r="C91" s="69"/>
    </row>
    <row r="92">
      <c r="A92" s="9"/>
      <c r="B92" s="9"/>
      <c r="C92" s="69"/>
    </row>
    <row r="93">
      <c r="A93" s="9"/>
      <c r="B93" s="9"/>
      <c r="C93" s="69"/>
    </row>
    <row r="94">
      <c r="A94" s="9"/>
      <c r="B94" s="9"/>
      <c r="C94" s="69"/>
    </row>
    <row r="95">
      <c r="A95" s="9"/>
      <c r="B95" s="9"/>
      <c r="C95" s="69"/>
    </row>
    <row r="96">
      <c r="A96" s="9"/>
      <c r="B96" s="9"/>
      <c r="C96" s="69"/>
    </row>
    <row r="97">
      <c r="A97" s="9"/>
      <c r="B97" s="9"/>
      <c r="C97" s="69"/>
    </row>
    <row r="98">
      <c r="A98" s="9"/>
      <c r="B98" s="9"/>
      <c r="C98" s="69"/>
    </row>
    <row r="99">
      <c r="A99" s="9"/>
      <c r="B99" s="9"/>
      <c r="C99" s="69"/>
    </row>
    <row r="100">
      <c r="A100" s="9"/>
      <c r="B100" s="9"/>
      <c r="C100" s="69"/>
    </row>
    <row r="101">
      <c r="A101" s="9"/>
      <c r="B101" s="9"/>
      <c r="C101" s="69"/>
    </row>
    <row r="102">
      <c r="A102" s="9"/>
      <c r="B102" s="9"/>
      <c r="C102" s="69"/>
    </row>
    <row r="103">
      <c r="A103" s="9"/>
      <c r="B103" s="9"/>
      <c r="C103" s="69"/>
    </row>
    <row r="104">
      <c r="A104" s="9"/>
      <c r="B104" s="9"/>
      <c r="C104" s="69"/>
    </row>
    <row r="105">
      <c r="A105" s="9"/>
      <c r="B105" s="9"/>
      <c r="C105" s="69"/>
    </row>
    <row r="106">
      <c r="A106" s="9"/>
      <c r="B106" s="9"/>
      <c r="C106" s="69"/>
    </row>
    <row r="107">
      <c r="A107" s="9"/>
      <c r="B107" s="9"/>
      <c r="C107" s="69"/>
    </row>
    <row r="108">
      <c r="A108" s="9"/>
      <c r="B108" s="9"/>
      <c r="C108" s="69"/>
    </row>
    <row r="109">
      <c r="A109" s="9"/>
      <c r="B109" s="9"/>
      <c r="C109" s="69"/>
    </row>
    <row r="110">
      <c r="A110" s="9"/>
      <c r="B110" s="9"/>
      <c r="C110" s="69"/>
    </row>
    <row r="111">
      <c r="A111" s="9"/>
      <c r="B111" s="9"/>
      <c r="C111" s="69"/>
    </row>
    <row r="112">
      <c r="A112" s="9"/>
      <c r="B112" s="9"/>
      <c r="C112" s="69"/>
    </row>
    <row r="113">
      <c r="A113" s="9"/>
      <c r="B113" s="9"/>
      <c r="C113" s="69"/>
    </row>
    <row r="114">
      <c r="A114" s="9"/>
      <c r="B114" s="9"/>
      <c r="C114" s="69"/>
    </row>
    <row r="115">
      <c r="A115" s="9"/>
      <c r="B115" s="9"/>
      <c r="C115" s="69"/>
    </row>
    <row r="116">
      <c r="A116" s="9"/>
      <c r="B116" s="9"/>
      <c r="C116" s="69"/>
    </row>
    <row r="117">
      <c r="A117" s="9"/>
      <c r="B117" s="9"/>
      <c r="C117" s="69"/>
    </row>
    <row r="118">
      <c r="A118" s="9"/>
      <c r="B118" s="9"/>
      <c r="C118" s="69"/>
    </row>
    <row r="119">
      <c r="A119" s="9"/>
      <c r="B119" s="9"/>
      <c r="C119" s="69"/>
    </row>
    <row r="120">
      <c r="A120" s="9"/>
      <c r="B120" s="9"/>
      <c r="C120" s="69"/>
    </row>
    <row r="121">
      <c r="A121" s="9"/>
      <c r="B121" s="9"/>
      <c r="C121" s="69"/>
    </row>
    <row r="122">
      <c r="A122" s="9"/>
      <c r="B122" s="9"/>
      <c r="C122" s="69"/>
    </row>
    <row r="123">
      <c r="A123" s="9"/>
      <c r="B123" s="9"/>
      <c r="C123" s="69"/>
    </row>
    <row r="124">
      <c r="A124" s="9"/>
      <c r="B124" s="9"/>
      <c r="C124" s="69"/>
    </row>
    <row r="125">
      <c r="A125" s="9"/>
      <c r="B125" s="9"/>
      <c r="C125" s="69"/>
    </row>
    <row r="126">
      <c r="A126" s="9"/>
      <c r="B126" s="9"/>
      <c r="C126" s="69"/>
    </row>
    <row r="127">
      <c r="A127" s="9"/>
      <c r="B127" s="9"/>
      <c r="C127" s="69"/>
    </row>
    <row r="128">
      <c r="A128" s="9"/>
      <c r="B128" s="9"/>
      <c r="C128" s="69"/>
    </row>
    <row r="129">
      <c r="A129" s="9"/>
      <c r="B129" s="9"/>
      <c r="C129" s="69"/>
    </row>
    <row r="130">
      <c r="A130" s="9"/>
      <c r="B130" s="9"/>
      <c r="C130" s="69"/>
    </row>
    <row r="131">
      <c r="A131" s="9"/>
      <c r="B131" s="9"/>
      <c r="C131" s="69"/>
    </row>
    <row r="132">
      <c r="A132" s="9"/>
      <c r="B132" s="9"/>
      <c r="C132" s="69"/>
    </row>
    <row r="133">
      <c r="A133" s="9"/>
      <c r="B133" s="9"/>
      <c r="C133" s="69"/>
    </row>
    <row r="134">
      <c r="A134" s="9"/>
      <c r="B134" s="9"/>
      <c r="C134" s="69"/>
    </row>
    <row r="135">
      <c r="A135" s="9"/>
      <c r="B135" s="9"/>
      <c r="C135" s="69"/>
    </row>
    <row r="136">
      <c r="A136" s="9"/>
      <c r="B136" s="9"/>
      <c r="C136" s="69"/>
    </row>
    <row r="137">
      <c r="A137" s="9"/>
      <c r="B137" s="9"/>
      <c r="C137" s="69"/>
    </row>
    <row r="138">
      <c r="A138" s="9"/>
      <c r="B138" s="9"/>
      <c r="C138" s="69"/>
    </row>
    <row r="139">
      <c r="A139" s="9"/>
      <c r="B139" s="9"/>
      <c r="C139" s="69"/>
    </row>
    <row r="140">
      <c r="A140" s="9"/>
      <c r="B140" s="9"/>
      <c r="C140" s="69"/>
    </row>
    <row r="141">
      <c r="A141" s="9"/>
      <c r="B141" s="9"/>
      <c r="C141" s="69"/>
    </row>
    <row r="142">
      <c r="A142" s="9"/>
      <c r="B142" s="9"/>
      <c r="C142" s="69"/>
    </row>
    <row r="143">
      <c r="A143" s="9"/>
      <c r="B143" s="9"/>
      <c r="C143" s="69"/>
    </row>
    <row r="144">
      <c r="A144" s="9"/>
      <c r="B144" s="9"/>
      <c r="C144" s="69"/>
    </row>
    <row r="145">
      <c r="A145" s="9"/>
      <c r="B145" s="9"/>
      <c r="C145" s="69"/>
    </row>
    <row r="146">
      <c r="A146" s="9"/>
      <c r="B146" s="9"/>
      <c r="C146" s="69"/>
    </row>
    <row r="147">
      <c r="A147" s="9"/>
      <c r="B147" s="9"/>
      <c r="C147" s="69"/>
    </row>
    <row r="148">
      <c r="A148" s="9"/>
      <c r="B148" s="9"/>
      <c r="C148" s="69"/>
    </row>
    <row r="149">
      <c r="A149" s="9"/>
      <c r="B149" s="9"/>
      <c r="C149" s="69"/>
    </row>
    <row r="150">
      <c r="A150" s="9"/>
      <c r="B150" s="9"/>
      <c r="C150" s="69"/>
    </row>
    <row r="151">
      <c r="A151" s="9"/>
      <c r="B151" s="9"/>
      <c r="C151" s="69"/>
    </row>
    <row r="152">
      <c r="A152" s="9"/>
      <c r="B152" s="9"/>
      <c r="C152" s="69"/>
    </row>
    <row r="153">
      <c r="A153" s="9"/>
      <c r="B153" s="9"/>
      <c r="C153" s="69"/>
    </row>
    <row r="154">
      <c r="A154" s="9"/>
      <c r="B154" s="9"/>
      <c r="C154" s="69"/>
    </row>
    <row r="155">
      <c r="A155" s="9"/>
      <c r="B155" s="9"/>
      <c r="C155" s="69"/>
    </row>
    <row r="156">
      <c r="A156" s="9"/>
      <c r="B156" s="9"/>
      <c r="C156" s="69"/>
    </row>
    <row r="157">
      <c r="A157" s="9"/>
      <c r="B157" s="9"/>
      <c r="C157" s="69"/>
    </row>
    <row r="158">
      <c r="A158" s="9"/>
      <c r="B158" s="9"/>
      <c r="C158" s="69"/>
    </row>
    <row r="159">
      <c r="A159" s="9"/>
      <c r="B159" s="9"/>
      <c r="C159" s="69"/>
    </row>
    <row r="160">
      <c r="A160" s="9"/>
      <c r="B160" s="9"/>
      <c r="C160" s="69"/>
    </row>
    <row r="161">
      <c r="A161" s="9"/>
      <c r="B161" s="9"/>
      <c r="C161" s="69"/>
    </row>
    <row r="162">
      <c r="A162" s="9"/>
      <c r="B162" s="9"/>
      <c r="C162" s="69"/>
    </row>
    <row r="163">
      <c r="A163" s="9"/>
      <c r="B163" s="9"/>
      <c r="C163" s="69"/>
    </row>
    <row r="164">
      <c r="A164" s="9"/>
      <c r="B164" s="9"/>
      <c r="C164" s="69"/>
    </row>
    <row r="165">
      <c r="A165" s="9"/>
      <c r="B165" s="9"/>
      <c r="C165" s="69"/>
    </row>
    <row r="166">
      <c r="A166" s="9"/>
      <c r="B166" s="9"/>
      <c r="C166" s="69"/>
    </row>
    <row r="167">
      <c r="A167" s="9"/>
      <c r="B167" s="9"/>
      <c r="C167" s="69"/>
    </row>
    <row r="168">
      <c r="A168" s="9"/>
      <c r="B168" s="9"/>
      <c r="C168" s="69"/>
    </row>
    <row r="169">
      <c r="A169" s="9"/>
      <c r="B169" s="9"/>
      <c r="C169" s="69"/>
    </row>
    <row r="170">
      <c r="A170" s="9"/>
      <c r="B170" s="9"/>
      <c r="C170" s="69"/>
    </row>
    <row r="171">
      <c r="A171" s="9"/>
      <c r="B171" s="9"/>
      <c r="C171" s="69"/>
    </row>
    <row r="172">
      <c r="A172" s="9"/>
      <c r="B172" s="9"/>
      <c r="C172" s="69"/>
    </row>
    <row r="173">
      <c r="A173" s="9"/>
      <c r="B173" s="9"/>
      <c r="C173" s="69"/>
    </row>
    <row r="174">
      <c r="A174" s="9"/>
      <c r="B174" s="9"/>
      <c r="C174" s="69"/>
    </row>
    <row r="175">
      <c r="A175" s="9"/>
      <c r="B175" s="9"/>
      <c r="C175" s="69"/>
    </row>
    <row r="176">
      <c r="A176" s="9"/>
      <c r="B176" s="9"/>
      <c r="C176" s="69"/>
    </row>
    <row r="177">
      <c r="A177" s="9"/>
      <c r="B177" s="9"/>
      <c r="C177" s="69"/>
    </row>
    <row r="178">
      <c r="A178" s="9"/>
      <c r="B178" s="9"/>
      <c r="C178" s="69"/>
    </row>
    <row r="179">
      <c r="A179" s="9"/>
      <c r="B179" s="9"/>
      <c r="C179" s="69"/>
    </row>
    <row r="180">
      <c r="A180" s="9"/>
      <c r="B180" s="9"/>
      <c r="C180" s="69"/>
    </row>
    <row r="181">
      <c r="A181" s="9"/>
      <c r="B181" s="9"/>
      <c r="C181" s="69"/>
    </row>
    <row r="182">
      <c r="A182" s="9"/>
      <c r="B182" s="9"/>
      <c r="C182" s="69"/>
    </row>
    <row r="183">
      <c r="A183" s="9"/>
      <c r="B183" s="9"/>
      <c r="C183" s="69"/>
    </row>
    <row r="184">
      <c r="A184" s="9"/>
      <c r="B184" s="9"/>
      <c r="C184" s="69"/>
    </row>
    <row r="185">
      <c r="A185" s="9"/>
      <c r="B185" s="9"/>
      <c r="C185" s="69"/>
    </row>
    <row r="186">
      <c r="A186" s="9"/>
      <c r="B186" s="9"/>
      <c r="C186" s="69"/>
    </row>
    <row r="187">
      <c r="A187" s="9"/>
      <c r="B187" s="9"/>
      <c r="C187" s="69"/>
    </row>
    <row r="188">
      <c r="A188" s="9"/>
      <c r="B188" s="9"/>
      <c r="C188" s="69"/>
    </row>
    <row r="189">
      <c r="A189" s="9"/>
      <c r="B189" s="9"/>
      <c r="C189" s="69"/>
    </row>
    <row r="190">
      <c r="A190" s="9"/>
      <c r="B190" s="9"/>
      <c r="C190" s="69"/>
    </row>
    <row r="191">
      <c r="A191" s="9"/>
      <c r="B191" s="9"/>
      <c r="C191" s="69"/>
    </row>
    <row r="192">
      <c r="A192" s="9"/>
      <c r="B192" s="9"/>
      <c r="C192" s="69"/>
    </row>
    <row r="193">
      <c r="A193" s="9"/>
      <c r="B193" s="9"/>
      <c r="C193" s="69"/>
    </row>
    <row r="194">
      <c r="A194" s="9"/>
      <c r="B194" s="9"/>
      <c r="C194" s="69"/>
    </row>
    <row r="195">
      <c r="A195" s="9"/>
      <c r="B195" s="9"/>
      <c r="C195" s="69"/>
    </row>
    <row r="196">
      <c r="A196" s="9"/>
      <c r="B196" s="9"/>
      <c r="C196" s="69"/>
    </row>
    <row r="197">
      <c r="A197" s="9"/>
      <c r="B197" s="9"/>
      <c r="C197" s="69"/>
    </row>
    <row r="198">
      <c r="A198" s="9"/>
      <c r="B198" s="9"/>
      <c r="C198" s="69"/>
    </row>
    <row r="199">
      <c r="A199" s="9"/>
      <c r="B199" s="9"/>
      <c r="C199" s="69"/>
    </row>
    <row r="200">
      <c r="A200" s="9"/>
      <c r="B200" s="9"/>
      <c r="C200" s="69"/>
    </row>
    <row r="201">
      <c r="A201" s="9"/>
      <c r="B201" s="9"/>
      <c r="C201" s="69"/>
    </row>
    <row r="202">
      <c r="A202" s="9"/>
      <c r="B202" s="9"/>
      <c r="C202" s="69"/>
    </row>
    <row r="203">
      <c r="A203" s="9"/>
      <c r="B203" s="9"/>
      <c r="C203" s="69"/>
    </row>
    <row r="204">
      <c r="A204" s="9"/>
      <c r="B204" s="9"/>
      <c r="C204" s="69"/>
    </row>
    <row r="205">
      <c r="A205" s="9"/>
      <c r="B205" s="9"/>
      <c r="C205" s="69"/>
    </row>
    <row r="206">
      <c r="A206" s="9"/>
      <c r="B206" s="9"/>
      <c r="C206" s="69"/>
    </row>
    <row r="207">
      <c r="A207" s="9"/>
      <c r="B207" s="9"/>
      <c r="C207" s="69"/>
    </row>
    <row r="208">
      <c r="A208" s="9"/>
      <c r="B208" s="9"/>
      <c r="C208" s="69"/>
    </row>
    <row r="209">
      <c r="A209" s="9"/>
      <c r="B209" s="9"/>
      <c r="C209" s="69"/>
    </row>
    <row r="210">
      <c r="A210" s="9"/>
      <c r="B210" s="9"/>
      <c r="C210" s="69"/>
    </row>
    <row r="211">
      <c r="A211" s="9"/>
      <c r="B211" s="9"/>
      <c r="C211" s="69"/>
    </row>
    <row r="212">
      <c r="A212" s="9"/>
      <c r="B212" s="9"/>
      <c r="C212" s="69"/>
    </row>
    <row r="213">
      <c r="A213" s="9"/>
      <c r="B213" s="9"/>
      <c r="C213" s="69"/>
    </row>
    <row r="214">
      <c r="A214" s="9"/>
      <c r="B214" s="9"/>
      <c r="C214" s="69"/>
    </row>
    <row r="215">
      <c r="A215" s="9"/>
      <c r="B215" s="9"/>
      <c r="C215" s="69"/>
    </row>
    <row r="216">
      <c r="A216" s="9"/>
      <c r="B216" s="9"/>
      <c r="C216" s="69"/>
    </row>
    <row r="217">
      <c r="A217" s="9"/>
      <c r="B217" s="9"/>
      <c r="C217" s="69"/>
    </row>
    <row r="218">
      <c r="A218" s="9"/>
      <c r="B218" s="9"/>
      <c r="C218" s="69"/>
    </row>
    <row r="219">
      <c r="A219" s="9"/>
      <c r="B219" s="9"/>
      <c r="C219" s="69"/>
    </row>
    <row r="220">
      <c r="A220" s="9"/>
      <c r="B220" s="9"/>
      <c r="C220" s="69"/>
    </row>
    <row r="221">
      <c r="A221" s="9"/>
      <c r="B221" s="9"/>
      <c r="C221" s="69"/>
    </row>
    <row r="222">
      <c r="A222" s="9"/>
      <c r="B222" s="9"/>
      <c r="C222" s="69"/>
    </row>
    <row r="223">
      <c r="A223" s="9"/>
      <c r="B223" s="9"/>
      <c r="C223" s="69"/>
    </row>
    <row r="224">
      <c r="A224" s="9"/>
      <c r="B224" s="9"/>
      <c r="C224" s="69"/>
    </row>
    <row r="225">
      <c r="A225" s="9"/>
      <c r="B225" s="9"/>
      <c r="C225" s="69"/>
    </row>
    <row r="226">
      <c r="A226" s="9"/>
      <c r="B226" s="9"/>
      <c r="C226" s="69"/>
    </row>
    <row r="227">
      <c r="A227" s="9"/>
      <c r="B227" s="9"/>
      <c r="C227" s="69"/>
    </row>
    <row r="228">
      <c r="A228" s="9"/>
      <c r="B228" s="9"/>
      <c r="C228" s="69"/>
    </row>
    <row r="229">
      <c r="A229" s="9"/>
      <c r="B229" s="9"/>
      <c r="C229" s="69"/>
    </row>
    <row r="230">
      <c r="A230" s="9"/>
      <c r="B230" s="9"/>
      <c r="C230" s="69"/>
    </row>
    <row r="231">
      <c r="A231" s="9"/>
      <c r="B231" s="9"/>
      <c r="C231" s="69"/>
    </row>
    <row r="232">
      <c r="A232" s="9"/>
      <c r="B232" s="9"/>
      <c r="C232" s="69"/>
    </row>
    <row r="233">
      <c r="A233" s="9"/>
      <c r="B233" s="9"/>
      <c r="C233" s="69"/>
    </row>
    <row r="234">
      <c r="A234" s="9"/>
      <c r="B234" s="9"/>
      <c r="C234" s="69"/>
    </row>
    <row r="235">
      <c r="A235" s="9"/>
      <c r="B235" s="9"/>
      <c r="C235" s="69"/>
    </row>
    <row r="236">
      <c r="A236" s="9"/>
      <c r="B236" s="9"/>
      <c r="C236" s="69"/>
    </row>
    <row r="237">
      <c r="A237" s="9"/>
      <c r="B237" s="9"/>
      <c r="C237" s="69"/>
    </row>
    <row r="238">
      <c r="A238" s="9"/>
      <c r="B238" s="9"/>
      <c r="C238" s="69"/>
    </row>
    <row r="239">
      <c r="A239" s="9"/>
      <c r="B239" s="9"/>
      <c r="C239" s="69"/>
    </row>
    <row r="240">
      <c r="A240" s="9"/>
      <c r="B240" s="9"/>
      <c r="C240" s="69"/>
    </row>
    <row r="241">
      <c r="A241" s="9"/>
      <c r="B241" s="9"/>
      <c r="C241" s="69"/>
    </row>
    <row r="242">
      <c r="A242" s="9"/>
      <c r="B242" s="9"/>
      <c r="C242" s="69"/>
    </row>
    <row r="243">
      <c r="A243" s="9"/>
      <c r="B243" s="9"/>
      <c r="C243" s="69"/>
    </row>
    <row r="244">
      <c r="A244" s="9"/>
      <c r="B244" s="9"/>
      <c r="C244" s="69"/>
    </row>
    <row r="245">
      <c r="A245" s="9"/>
      <c r="B245" s="9"/>
      <c r="C245" s="69"/>
    </row>
    <row r="246">
      <c r="A246" s="9"/>
      <c r="B246" s="9"/>
      <c r="C246" s="69"/>
    </row>
    <row r="247">
      <c r="A247" s="9"/>
      <c r="B247" s="9"/>
      <c r="C247" s="69"/>
    </row>
    <row r="248">
      <c r="A248" s="9"/>
      <c r="B248" s="9"/>
      <c r="C248" s="69"/>
    </row>
    <row r="249">
      <c r="A249" s="9"/>
      <c r="B249" s="9"/>
      <c r="C249" s="69"/>
    </row>
    <row r="250">
      <c r="A250" s="9"/>
      <c r="B250" s="9"/>
      <c r="C250" s="69"/>
    </row>
    <row r="251">
      <c r="A251" s="9"/>
      <c r="B251" s="9"/>
      <c r="C251" s="69"/>
    </row>
    <row r="252">
      <c r="A252" s="9"/>
      <c r="B252" s="9"/>
      <c r="C252" s="69"/>
    </row>
    <row r="253">
      <c r="A253" s="9"/>
      <c r="B253" s="9"/>
      <c r="C253" s="69"/>
    </row>
    <row r="254">
      <c r="A254" s="9"/>
      <c r="B254" s="9"/>
      <c r="C254" s="69"/>
    </row>
    <row r="255">
      <c r="A255" s="9"/>
      <c r="B255" s="9"/>
      <c r="C255" s="69"/>
    </row>
    <row r="256">
      <c r="A256" s="9"/>
      <c r="B256" s="9"/>
      <c r="C256" s="69"/>
    </row>
    <row r="257">
      <c r="A257" s="9"/>
      <c r="B257" s="9"/>
      <c r="C257" s="69"/>
    </row>
    <row r="258">
      <c r="A258" s="9"/>
      <c r="B258" s="9"/>
      <c r="C258" s="69"/>
    </row>
    <row r="259">
      <c r="A259" s="9"/>
      <c r="B259" s="9"/>
      <c r="C259" s="69"/>
    </row>
    <row r="260">
      <c r="A260" s="9"/>
      <c r="B260" s="9"/>
      <c r="C260" s="69"/>
    </row>
    <row r="261">
      <c r="A261" s="9"/>
      <c r="B261" s="9"/>
      <c r="C261" s="69"/>
    </row>
    <row r="262">
      <c r="A262" s="9"/>
      <c r="B262" s="9"/>
      <c r="C262" s="69"/>
    </row>
    <row r="263">
      <c r="A263" s="9"/>
      <c r="B263" s="9"/>
      <c r="C263" s="69"/>
    </row>
    <row r="264">
      <c r="A264" s="9"/>
      <c r="B264" s="9"/>
      <c r="C264" s="69"/>
    </row>
    <row r="265">
      <c r="A265" s="9"/>
      <c r="B265" s="9"/>
      <c r="C265" s="69"/>
    </row>
    <row r="266">
      <c r="A266" s="9"/>
      <c r="B266" s="9"/>
      <c r="C266" s="69"/>
    </row>
    <row r="267">
      <c r="A267" s="9"/>
      <c r="B267" s="9"/>
      <c r="C267" s="69"/>
    </row>
    <row r="268">
      <c r="A268" s="9"/>
      <c r="B268" s="9"/>
      <c r="C268" s="69"/>
    </row>
    <row r="269">
      <c r="A269" s="9"/>
      <c r="B269" s="9"/>
      <c r="C269" s="69"/>
    </row>
    <row r="270">
      <c r="A270" s="9"/>
      <c r="B270" s="9"/>
      <c r="C270" s="69"/>
    </row>
    <row r="271">
      <c r="A271" s="9"/>
      <c r="B271" s="9"/>
      <c r="C271" s="69"/>
    </row>
    <row r="272">
      <c r="A272" s="9"/>
      <c r="B272" s="9"/>
      <c r="C272" s="69"/>
    </row>
    <row r="273">
      <c r="A273" s="9"/>
      <c r="B273" s="9"/>
      <c r="C273" s="69"/>
    </row>
    <row r="274">
      <c r="A274" s="9"/>
      <c r="B274" s="9"/>
      <c r="C274" s="69"/>
    </row>
    <row r="275">
      <c r="A275" s="9"/>
      <c r="B275" s="9"/>
      <c r="C275" s="69"/>
    </row>
    <row r="276">
      <c r="A276" s="9"/>
      <c r="B276" s="9"/>
      <c r="C276" s="69"/>
    </row>
    <row r="277">
      <c r="A277" s="9"/>
      <c r="B277" s="9"/>
      <c r="C277" s="69"/>
    </row>
    <row r="278">
      <c r="A278" s="9"/>
      <c r="B278" s="9"/>
      <c r="C278" s="69"/>
    </row>
    <row r="279">
      <c r="A279" s="9"/>
      <c r="B279" s="9"/>
      <c r="C279" s="69"/>
    </row>
    <row r="280">
      <c r="A280" s="9"/>
      <c r="B280" s="9"/>
      <c r="C280" s="69"/>
    </row>
    <row r="281">
      <c r="A281" s="9"/>
      <c r="B281" s="9"/>
      <c r="C281" s="69"/>
    </row>
    <row r="282">
      <c r="A282" s="9"/>
      <c r="B282" s="9"/>
      <c r="C282" s="69"/>
    </row>
    <row r="283">
      <c r="A283" s="9"/>
      <c r="B283" s="9"/>
      <c r="C283" s="69"/>
    </row>
    <row r="284">
      <c r="A284" s="9"/>
      <c r="B284" s="9"/>
      <c r="C284" s="69"/>
    </row>
    <row r="285">
      <c r="A285" s="9"/>
      <c r="B285" s="9"/>
      <c r="C285" s="69"/>
    </row>
    <row r="286">
      <c r="A286" s="9"/>
      <c r="B286" s="9"/>
      <c r="C286" s="69"/>
    </row>
    <row r="287">
      <c r="A287" s="9"/>
      <c r="B287" s="9"/>
      <c r="C287" s="69"/>
    </row>
    <row r="288">
      <c r="A288" s="9"/>
      <c r="B288" s="9"/>
      <c r="C288" s="69"/>
    </row>
    <row r="289">
      <c r="A289" s="9"/>
      <c r="B289" s="9"/>
      <c r="C289" s="69"/>
    </row>
    <row r="290">
      <c r="A290" s="9"/>
      <c r="B290" s="9"/>
      <c r="C290" s="69"/>
    </row>
    <row r="291">
      <c r="A291" s="9"/>
      <c r="B291" s="9"/>
      <c r="C291" s="69"/>
    </row>
    <row r="292">
      <c r="A292" s="9"/>
      <c r="B292" s="9"/>
      <c r="C292" s="69"/>
    </row>
    <row r="293">
      <c r="A293" s="9"/>
      <c r="B293" s="9"/>
      <c r="C293" s="69"/>
    </row>
    <row r="294">
      <c r="A294" s="9"/>
      <c r="B294" s="9"/>
      <c r="C294" s="69"/>
    </row>
    <row r="295">
      <c r="A295" s="9"/>
      <c r="B295" s="9"/>
      <c r="C295" s="69"/>
    </row>
    <row r="296">
      <c r="A296" s="9"/>
      <c r="B296" s="9"/>
      <c r="C296" s="69"/>
    </row>
    <row r="297">
      <c r="A297" s="9"/>
      <c r="B297" s="9"/>
      <c r="C297" s="69"/>
    </row>
    <row r="298">
      <c r="A298" s="9"/>
      <c r="B298" s="9"/>
      <c r="C298" s="69"/>
    </row>
    <row r="299">
      <c r="A299" s="9"/>
      <c r="B299" s="9"/>
      <c r="C299" s="69"/>
    </row>
    <row r="300">
      <c r="A300" s="9"/>
      <c r="B300" s="9"/>
      <c r="C300" s="69"/>
    </row>
    <row r="301">
      <c r="A301" s="9"/>
      <c r="B301" s="9"/>
      <c r="C301" s="69"/>
    </row>
    <row r="302">
      <c r="A302" s="9"/>
      <c r="B302" s="9"/>
      <c r="C302" s="69"/>
    </row>
    <row r="303">
      <c r="A303" s="9"/>
      <c r="B303" s="9"/>
      <c r="C303" s="69"/>
    </row>
    <row r="304">
      <c r="A304" s="9"/>
      <c r="B304" s="9"/>
      <c r="C304" s="69"/>
    </row>
    <row r="305">
      <c r="A305" s="9"/>
      <c r="B305" s="9"/>
      <c r="C305" s="69"/>
    </row>
    <row r="306">
      <c r="A306" s="9"/>
      <c r="B306" s="9"/>
      <c r="C306" s="69"/>
    </row>
    <row r="307">
      <c r="A307" s="9"/>
      <c r="B307" s="9"/>
      <c r="C307" s="69"/>
    </row>
    <row r="308">
      <c r="A308" s="9"/>
      <c r="B308" s="9"/>
      <c r="C308" s="69"/>
    </row>
    <row r="309">
      <c r="A309" s="9"/>
      <c r="B309" s="9"/>
      <c r="C309" s="69"/>
    </row>
    <row r="310">
      <c r="A310" s="9"/>
      <c r="B310" s="9"/>
      <c r="C310" s="69"/>
    </row>
    <row r="311">
      <c r="A311" s="9"/>
      <c r="B311" s="9"/>
      <c r="C311" s="69"/>
    </row>
    <row r="312">
      <c r="A312" s="9"/>
      <c r="B312" s="9"/>
      <c r="C312" s="69"/>
    </row>
    <row r="313">
      <c r="A313" s="9"/>
      <c r="B313" s="9"/>
      <c r="C313" s="69"/>
    </row>
    <row r="314">
      <c r="A314" s="9"/>
      <c r="B314" s="9"/>
      <c r="C314" s="69"/>
    </row>
    <row r="315">
      <c r="A315" s="9"/>
      <c r="B315" s="9"/>
      <c r="C315" s="69"/>
    </row>
    <row r="316">
      <c r="A316" s="9"/>
      <c r="B316" s="9"/>
      <c r="C316" s="69"/>
    </row>
    <row r="317">
      <c r="A317" s="9"/>
      <c r="B317" s="9"/>
      <c r="C317" s="69"/>
    </row>
    <row r="318">
      <c r="A318" s="9"/>
      <c r="B318" s="9"/>
      <c r="C318" s="69"/>
    </row>
    <row r="319">
      <c r="A319" s="9"/>
      <c r="B319" s="9"/>
      <c r="C319" s="69"/>
    </row>
    <row r="320">
      <c r="A320" s="9"/>
      <c r="B320" s="9"/>
      <c r="C320" s="69"/>
    </row>
    <row r="321">
      <c r="A321" s="9"/>
      <c r="B321" s="9"/>
      <c r="C321" s="69"/>
    </row>
    <row r="322">
      <c r="A322" s="9"/>
      <c r="B322" s="9"/>
      <c r="C322" s="69"/>
    </row>
    <row r="323">
      <c r="A323" s="9"/>
      <c r="B323" s="9"/>
      <c r="C323" s="69"/>
    </row>
    <row r="324">
      <c r="A324" s="9"/>
      <c r="B324" s="9"/>
      <c r="C324" s="69"/>
    </row>
    <row r="325">
      <c r="A325" s="9"/>
      <c r="B325" s="9"/>
      <c r="C325" s="69"/>
    </row>
    <row r="326">
      <c r="A326" s="9"/>
      <c r="B326" s="9"/>
      <c r="C326" s="69"/>
    </row>
    <row r="327">
      <c r="A327" s="9"/>
      <c r="B327" s="9"/>
      <c r="C327" s="69"/>
    </row>
    <row r="328">
      <c r="A328" s="9"/>
      <c r="B328" s="9"/>
      <c r="C328" s="69"/>
    </row>
    <row r="329">
      <c r="A329" s="9"/>
      <c r="B329" s="9"/>
      <c r="C329" s="69"/>
    </row>
    <row r="330">
      <c r="A330" s="9"/>
      <c r="B330" s="9"/>
      <c r="C330" s="69"/>
    </row>
    <row r="331">
      <c r="A331" s="9"/>
      <c r="B331" s="9"/>
      <c r="C331" s="69"/>
    </row>
    <row r="332">
      <c r="A332" s="9"/>
      <c r="B332" s="9"/>
      <c r="C332" s="69"/>
    </row>
    <row r="333">
      <c r="A333" s="9"/>
      <c r="B333" s="9"/>
      <c r="C333" s="69"/>
    </row>
    <row r="334">
      <c r="A334" s="9"/>
      <c r="B334" s="9"/>
      <c r="C334" s="69"/>
    </row>
    <row r="335">
      <c r="A335" s="9"/>
      <c r="B335" s="9"/>
      <c r="C335" s="69"/>
    </row>
    <row r="336">
      <c r="A336" s="9"/>
      <c r="B336" s="9"/>
      <c r="C336" s="69"/>
    </row>
    <row r="337">
      <c r="A337" s="9"/>
      <c r="B337" s="9"/>
      <c r="C337" s="69"/>
    </row>
    <row r="338">
      <c r="A338" s="9"/>
      <c r="B338" s="9"/>
      <c r="C338" s="69"/>
    </row>
    <row r="339">
      <c r="A339" s="9"/>
      <c r="B339" s="9"/>
      <c r="C339" s="69"/>
    </row>
    <row r="340">
      <c r="A340" s="9"/>
      <c r="B340" s="9"/>
      <c r="C340" s="69"/>
    </row>
    <row r="341">
      <c r="A341" s="9"/>
      <c r="B341" s="9"/>
      <c r="C341" s="69"/>
    </row>
    <row r="342">
      <c r="A342" s="9"/>
      <c r="B342" s="9"/>
      <c r="C342" s="69"/>
    </row>
    <row r="343">
      <c r="A343" s="9"/>
      <c r="B343" s="9"/>
      <c r="C343" s="69"/>
    </row>
    <row r="344">
      <c r="A344" s="9"/>
      <c r="B344" s="9"/>
      <c r="C344" s="69"/>
    </row>
    <row r="345">
      <c r="A345" s="9"/>
      <c r="B345" s="9"/>
      <c r="C345" s="69"/>
    </row>
    <row r="346">
      <c r="A346" s="9"/>
      <c r="B346" s="9"/>
      <c r="C346" s="69"/>
    </row>
    <row r="347">
      <c r="A347" s="9"/>
      <c r="B347" s="9"/>
      <c r="C347" s="69"/>
    </row>
    <row r="348">
      <c r="A348" s="9"/>
      <c r="B348" s="9"/>
      <c r="C348" s="69"/>
    </row>
    <row r="349">
      <c r="A349" s="9"/>
      <c r="B349" s="9"/>
      <c r="C349" s="69"/>
    </row>
    <row r="350">
      <c r="A350" s="9"/>
      <c r="B350" s="9"/>
      <c r="C350" s="69"/>
    </row>
    <row r="351">
      <c r="A351" s="9"/>
      <c r="B351" s="9"/>
      <c r="C351" s="69"/>
    </row>
    <row r="352">
      <c r="A352" s="9"/>
      <c r="B352" s="9"/>
      <c r="C352" s="69"/>
    </row>
    <row r="353">
      <c r="A353" s="9"/>
      <c r="B353" s="9"/>
      <c r="C353" s="69"/>
    </row>
    <row r="354">
      <c r="A354" s="9"/>
      <c r="B354" s="9"/>
      <c r="C354" s="69"/>
    </row>
    <row r="355">
      <c r="A355" s="9"/>
      <c r="B355" s="9"/>
      <c r="C355" s="69"/>
    </row>
    <row r="356">
      <c r="A356" s="9"/>
      <c r="B356" s="9"/>
      <c r="C356" s="69"/>
    </row>
    <row r="357">
      <c r="A357" s="9"/>
      <c r="B357" s="9"/>
      <c r="C357" s="69"/>
    </row>
    <row r="358">
      <c r="A358" s="9"/>
      <c r="B358" s="9"/>
      <c r="C358" s="69"/>
    </row>
    <row r="359">
      <c r="A359" s="9"/>
      <c r="B359" s="9"/>
      <c r="C359" s="69"/>
    </row>
    <row r="360">
      <c r="A360" s="9"/>
      <c r="B360" s="9"/>
      <c r="C360" s="69"/>
    </row>
    <row r="361">
      <c r="A361" s="9"/>
      <c r="B361" s="9"/>
      <c r="C361" s="69"/>
    </row>
    <row r="362">
      <c r="A362" s="9"/>
      <c r="B362" s="9"/>
      <c r="C362" s="69"/>
    </row>
    <row r="363">
      <c r="A363" s="9"/>
      <c r="B363" s="9"/>
      <c r="C363" s="69"/>
    </row>
    <row r="364">
      <c r="A364" s="9"/>
      <c r="B364" s="9"/>
      <c r="C364" s="69"/>
    </row>
    <row r="365">
      <c r="A365" s="9"/>
      <c r="B365" s="9"/>
      <c r="C365" s="69"/>
    </row>
    <row r="366">
      <c r="A366" s="9"/>
      <c r="B366" s="9"/>
      <c r="C366" s="69"/>
    </row>
    <row r="367">
      <c r="A367" s="9"/>
      <c r="B367" s="9"/>
      <c r="C367" s="69"/>
    </row>
    <row r="368">
      <c r="A368" s="9"/>
      <c r="B368" s="9"/>
      <c r="C368" s="69"/>
    </row>
    <row r="369">
      <c r="A369" s="9"/>
      <c r="B369" s="9"/>
      <c r="C369" s="69"/>
    </row>
    <row r="370">
      <c r="A370" s="9"/>
      <c r="B370" s="9"/>
      <c r="C370" s="69"/>
    </row>
    <row r="371">
      <c r="A371" s="9"/>
      <c r="B371" s="9"/>
      <c r="C371" s="69"/>
    </row>
    <row r="372">
      <c r="A372" s="9"/>
      <c r="B372" s="9"/>
      <c r="C372" s="69"/>
    </row>
    <row r="373">
      <c r="A373" s="9"/>
      <c r="B373" s="9"/>
      <c r="C373" s="69"/>
    </row>
    <row r="374">
      <c r="A374" s="9"/>
      <c r="B374" s="9"/>
      <c r="C374" s="69"/>
    </row>
    <row r="375">
      <c r="A375" s="9"/>
      <c r="B375" s="9"/>
      <c r="C375" s="69"/>
    </row>
    <row r="376">
      <c r="A376" s="9"/>
      <c r="B376" s="9"/>
      <c r="C376" s="69"/>
    </row>
    <row r="377">
      <c r="A377" s="9"/>
      <c r="B377" s="9"/>
      <c r="C377" s="69"/>
    </row>
    <row r="378">
      <c r="A378" s="9"/>
      <c r="B378" s="9"/>
      <c r="C378" s="69"/>
    </row>
    <row r="379">
      <c r="A379" s="9"/>
      <c r="B379" s="9"/>
      <c r="C379" s="69"/>
    </row>
    <row r="380">
      <c r="A380" s="9"/>
      <c r="B380" s="9"/>
      <c r="C380" s="69"/>
    </row>
    <row r="381">
      <c r="A381" s="9"/>
      <c r="B381" s="9"/>
      <c r="C381" s="69"/>
    </row>
    <row r="382">
      <c r="A382" s="9"/>
      <c r="B382" s="9"/>
      <c r="C382" s="69"/>
    </row>
    <row r="383">
      <c r="A383" s="9"/>
      <c r="B383" s="9"/>
      <c r="C383" s="69"/>
    </row>
    <row r="384">
      <c r="A384" s="9"/>
      <c r="B384" s="9"/>
      <c r="C384" s="69"/>
    </row>
    <row r="385">
      <c r="A385" s="9"/>
      <c r="B385" s="9"/>
      <c r="C385" s="69"/>
    </row>
    <row r="386">
      <c r="A386" s="9"/>
      <c r="B386" s="9"/>
      <c r="C386" s="69"/>
    </row>
    <row r="387">
      <c r="A387" s="9"/>
      <c r="B387" s="9"/>
      <c r="C387" s="69"/>
    </row>
    <row r="388">
      <c r="A388" s="9"/>
      <c r="B388" s="9"/>
      <c r="C388" s="69"/>
    </row>
    <row r="389">
      <c r="A389" s="9"/>
      <c r="B389" s="9"/>
      <c r="C389" s="69"/>
    </row>
    <row r="390">
      <c r="A390" s="9"/>
      <c r="B390" s="9"/>
      <c r="C390" s="69"/>
    </row>
    <row r="391">
      <c r="A391" s="9"/>
      <c r="B391" s="9"/>
      <c r="C391" s="69"/>
    </row>
    <row r="392">
      <c r="A392" s="9"/>
      <c r="B392" s="9"/>
      <c r="C392" s="69"/>
    </row>
    <row r="393">
      <c r="A393" s="9"/>
      <c r="B393" s="9"/>
      <c r="C393" s="69"/>
    </row>
    <row r="394">
      <c r="A394" s="9"/>
      <c r="B394" s="9"/>
      <c r="C394" s="69"/>
    </row>
    <row r="395">
      <c r="A395" s="9"/>
      <c r="B395" s="9"/>
      <c r="C395" s="69"/>
    </row>
    <row r="396">
      <c r="A396" s="9"/>
      <c r="B396" s="9"/>
      <c r="C396" s="69"/>
    </row>
    <row r="397">
      <c r="A397" s="9"/>
      <c r="B397" s="9"/>
      <c r="C397" s="69"/>
    </row>
    <row r="398">
      <c r="A398" s="9"/>
      <c r="B398" s="9"/>
      <c r="C398" s="69"/>
    </row>
    <row r="399">
      <c r="A399" s="9"/>
      <c r="B399" s="9"/>
      <c r="C399" s="69"/>
    </row>
    <row r="400">
      <c r="A400" s="9"/>
      <c r="B400" s="9"/>
      <c r="C400" s="69"/>
    </row>
    <row r="401">
      <c r="A401" s="9"/>
      <c r="B401" s="9"/>
      <c r="C401" s="69"/>
    </row>
    <row r="402">
      <c r="A402" s="9"/>
      <c r="B402" s="9"/>
      <c r="C402" s="69"/>
    </row>
    <row r="403">
      <c r="A403" s="9"/>
      <c r="B403" s="9"/>
      <c r="C403" s="69"/>
    </row>
    <row r="404">
      <c r="A404" s="9"/>
      <c r="B404" s="9"/>
      <c r="C404" s="69"/>
    </row>
    <row r="405">
      <c r="A405" s="9"/>
      <c r="B405" s="9"/>
      <c r="C405" s="69"/>
    </row>
    <row r="406">
      <c r="A406" s="9"/>
      <c r="B406" s="9"/>
      <c r="C406" s="69"/>
    </row>
    <row r="407">
      <c r="A407" s="9"/>
      <c r="B407" s="9"/>
      <c r="C407" s="69"/>
    </row>
    <row r="408">
      <c r="A408" s="9"/>
      <c r="B408" s="9"/>
      <c r="C408" s="69"/>
    </row>
    <row r="409">
      <c r="A409" s="9"/>
      <c r="B409" s="9"/>
      <c r="C409" s="69"/>
    </row>
    <row r="410">
      <c r="A410" s="9"/>
      <c r="B410" s="9"/>
      <c r="C410" s="69"/>
    </row>
    <row r="411">
      <c r="A411" s="9"/>
      <c r="B411" s="9"/>
      <c r="C411" s="69"/>
    </row>
    <row r="412">
      <c r="A412" s="9"/>
      <c r="B412" s="9"/>
      <c r="C412" s="69"/>
    </row>
    <row r="413">
      <c r="A413" s="9"/>
      <c r="B413" s="9"/>
      <c r="C413" s="69"/>
    </row>
    <row r="414">
      <c r="A414" s="9"/>
      <c r="B414" s="9"/>
      <c r="C414" s="69"/>
    </row>
    <row r="415">
      <c r="A415" s="9"/>
      <c r="B415" s="9"/>
      <c r="C415" s="69"/>
    </row>
    <row r="416">
      <c r="A416" s="9"/>
      <c r="B416" s="9"/>
      <c r="C416" s="69"/>
    </row>
    <row r="417">
      <c r="A417" s="9"/>
      <c r="B417" s="9"/>
      <c r="C417" s="69"/>
    </row>
    <row r="418">
      <c r="A418" s="9"/>
      <c r="B418" s="9"/>
      <c r="C418" s="69"/>
    </row>
    <row r="419">
      <c r="A419" s="9"/>
      <c r="B419" s="9"/>
      <c r="C419" s="69"/>
    </row>
    <row r="420">
      <c r="A420" s="9"/>
      <c r="B420" s="9"/>
      <c r="C420" s="69"/>
    </row>
    <row r="421">
      <c r="A421" s="9"/>
      <c r="B421" s="9"/>
      <c r="C421" s="69"/>
    </row>
    <row r="422">
      <c r="A422" s="9"/>
      <c r="B422" s="9"/>
      <c r="C422" s="69"/>
    </row>
    <row r="423">
      <c r="A423" s="9"/>
      <c r="B423" s="9"/>
      <c r="C423" s="69"/>
    </row>
    <row r="424">
      <c r="A424" s="9"/>
      <c r="B424" s="9"/>
      <c r="C424" s="69"/>
    </row>
    <row r="425">
      <c r="A425" s="9"/>
      <c r="B425" s="9"/>
      <c r="C425" s="69"/>
    </row>
    <row r="426">
      <c r="A426" s="9"/>
      <c r="B426" s="9"/>
      <c r="C426" s="69"/>
    </row>
    <row r="427">
      <c r="A427" s="9"/>
      <c r="B427" s="9"/>
      <c r="C427" s="69"/>
    </row>
    <row r="428">
      <c r="A428" s="9"/>
      <c r="B428" s="9"/>
      <c r="C428" s="69"/>
    </row>
    <row r="429">
      <c r="A429" s="9"/>
      <c r="B429" s="9"/>
      <c r="C429" s="69"/>
    </row>
    <row r="430">
      <c r="A430" s="9"/>
      <c r="B430" s="9"/>
      <c r="C430" s="69"/>
    </row>
    <row r="431">
      <c r="A431" s="9"/>
      <c r="B431" s="9"/>
      <c r="C431" s="69"/>
    </row>
    <row r="432">
      <c r="A432" s="9"/>
      <c r="B432" s="9"/>
      <c r="C432" s="69"/>
    </row>
    <row r="433">
      <c r="A433" s="9"/>
      <c r="B433" s="9"/>
      <c r="C433" s="69"/>
    </row>
    <row r="434">
      <c r="A434" s="9"/>
      <c r="B434" s="9"/>
      <c r="C434" s="69"/>
    </row>
    <row r="435">
      <c r="A435" s="9"/>
      <c r="B435" s="9"/>
      <c r="C435" s="69"/>
    </row>
    <row r="436">
      <c r="A436" s="9"/>
      <c r="B436" s="9"/>
      <c r="C436" s="69"/>
    </row>
    <row r="437">
      <c r="A437" s="9"/>
      <c r="B437" s="9"/>
      <c r="C437" s="69"/>
    </row>
    <row r="438">
      <c r="A438" s="9"/>
      <c r="B438" s="9"/>
      <c r="C438" s="69"/>
    </row>
    <row r="439">
      <c r="A439" s="9"/>
      <c r="B439" s="9"/>
      <c r="C439" s="69"/>
    </row>
    <row r="440">
      <c r="A440" s="9"/>
      <c r="B440" s="9"/>
      <c r="C440" s="69"/>
    </row>
    <row r="441">
      <c r="A441" s="9"/>
      <c r="B441" s="9"/>
      <c r="C441" s="69"/>
    </row>
    <row r="442">
      <c r="A442" s="9"/>
      <c r="B442" s="9"/>
      <c r="C442" s="69"/>
    </row>
    <row r="443">
      <c r="A443" s="9"/>
      <c r="B443" s="9"/>
      <c r="C443" s="69"/>
    </row>
    <row r="444">
      <c r="A444" s="9"/>
      <c r="B444" s="9"/>
      <c r="C444" s="69"/>
    </row>
    <row r="445">
      <c r="A445" s="9"/>
      <c r="B445" s="9"/>
      <c r="C445" s="69"/>
    </row>
    <row r="446">
      <c r="A446" s="9"/>
      <c r="B446" s="9"/>
      <c r="C446" s="69"/>
    </row>
    <row r="447">
      <c r="A447" s="9"/>
      <c r="B447" s="9"/>
      <c r="C447" s="69"/>
    </row>
    <row r="448">
      <c r="A448" s="9"/>
      <c r="B448" s="9"/>
      <c r="C448" s="69"/>
    </row>
    <row r="449">
      <c r="A449" s="9"/>
      <c r="B449" s="9"/>
      <c r="C449" s="69"/>
    </row>
    <row r="450">
      <c r="A450" s="9"/>
      <c r="B450" s="9"/>
      <c r="C450" s="69"/>
    </row>
    <row r="451">
      <c r="A451" s="9"/>
      <c r="B451" s="9"/>
      <c r="C451" s="69"/>
    </row>
    <row r="452">
      <c r="A452" s="9"/>
      <c r="B452" s="9"/>
      <c r="C452" s="69"/>
    </row>
    <row r="453">
      <c r="A453" s="9"/>
      <c r="B453" s="9"/>
      <c r="C453" s="69"/>
    </row>
    <row r="454">
      <c r="A454" s="9"/>
      <c r="B454" s="9"/>
      <c r="C454" s="69"/>
    </row>
    <row r="455">
      <c r="A455" s="9"/>
      <c r="B455" s="9"/>
      <c r="C455" s="69"/>
    </row>
    <row r="456">
      <c r="A456" s="9"/>
      <c r="B456" s="9"/>
      <c r="C456" s="69"/>
    </row>
    <row r="457">
      <c r="A457" s="9"/>
      <c r="B457" s="9"/>
      <c r="C457" s="69"/>
    </row>
    <row r="458">
      <c r="A458" s="9"/>
      <c r="B458" s="9"/>
      <c r="C458" s="69"/>
    </row>
    <row r="459">
      <c r="A459" s="9"/>
      <c r="B459" s="9"/>
      <c r="C459" s="69"/>
    </row>
    <row r="460">
      <c r="A460" s="9"/>
      <c r="B460" s="9"/>
      <c r="C460" s="69"/>
    </row>
    <row r="461">
      <c r="A461" s="9"/>
      <c r="B461" s="9"/>
      <c r="C461" s="69"/>
    </row>
    <row r="462">
      <c r="A462" s="9"/>
      <c r="B462" s="9"/>
      <c r="C462" s="69"/>
    </row>
    <row r="463">
      <c r="A463" s="9"/>
      <c r="B463" s="9"/>
      <c r="C463" s="69"/>
    </row>
    <row r="464">
      <c r="A464" s="9"/>
      <c r="B464" s="9"/>
      <c r="C464" s="69"/>
    </row>
    <row r="465">
      <c r="A465" s="9"/>
      <c r="B465" s="9"/>
      <c r="C465" s="69"/>
    </row>
    <row r="466">
      <c r="A466" s="9"/>
      <c r="B466" s="9"/>
      <c r="C466" s="69"/>
    </row>
    <row r="467">
      <c r="A467" s="9"/>
      <c r="B467" s="9"/>
      <c r="C467" s="69"/>
    </row>
    <row r="468">
      <c r="A468" s="9"/>
      <c r="B468" s="9"/>
      <c r="C468" s="69"/>
    </row>
    <row r="469">
      <c r="A469" s="9"/>
      <c r="B469" s="9"/>
      <c r="C469" s="69"/>
    </row>
    <row r="470">
      <c r="A470" s="9"/>
      <c r="B470" s="9"/>
      <c r="C470" s="69"/>
    </row>
    <row r="471">
      <c r="A471" s="9"/>
      <c r="B471" s="9"/>
      <c r="C471" s="69"/>
    </row>
    <row r="472">
      <c r="A472" s="9"/>
      <c r="B472" s="9"/>
      <c r="C472" s="69"/>
    </row>
    <row r="473">
      <c r="A473" s="9"/>
      <c r="B473" s="9"/>
      <c r="C473" s="69"/>
    </row>
    <row r="474">
      <c r="A474" s="9"/>
      <c r="B474" s="9"/>
      <c r="C474" s="69"/>
    </row>
    <row r="475">
      <c r="A475" s="9"/>
      <c r="B475" s="9"/>
      <c r="C475" s="69"/>
    </row>
    <row r="476">
      <c r="A476" s="9"/>
      <c r="B476" s="9"/>
      <c r="C476" s="69"/>
    </row>
    <row r="477">
      <c r="A477" s="9"/>
      <c r="B477" s="9"/>
      <c r="C477" s="69"/>
    </row>
    <row r="478">
      <c r="A478" s="9"/>
      <c r="B478" s="9"/>
      <c r="C478" s="69"/>
    </row>
    <row r="479">
      <c r="A479" s="9"/>
      <c r="B479" s="9"/>
      <c r="C479" s="69"/>
    </row>
    <row r="480">
      <c r="A480" s="9"/>
      <c r="B480" s="9"/>
      <c r="C480" s="69"/>
    </row>
    <row r="481">
      <c r="A481" s="9"/>
      <c r="B481" s="9"/>
      <c r="C481" s="69"/>
    </row>
    <row r="482">
      <c r="A482" s="9"/>
      <c r="B482" s="9"/>
      <c r="C482" s="69"/>
    </row>
    <row r="483">
      <c r="A483" s="9"/>
      <c r="B483" s="9"/>
      <c r="C483" s="69"/>
    </row>
    <row r="484">
      <c r="A484" s="9"/>
      <c r="B484" s="9"/>
      <c r="C484" s="69"/>
    </row>
    <row r="485">
      <c r="A485" s="9"/>
      <c r="B485" s="9"/>
      <c r="C485" s="69"/>
    </row>
    <row r="486">
      <c r="A486" s="9"/>
      <c r="B486" s="9"/>
      <c r="C486" s="69"/>
    </row>
    <row r="487">
      <c r="A487" s="9"/>
      <c r="B487" s="9"/>
      <c r="C487" s="69"/>
    </row>
    <row r="488">
      <c r="A488" s="9"/>
      <c r="B488" s="9"/>
      <c r="C488" s="69"/>
    </row>
    <row r="489">
      <c r="A489" s="9"/>
      <c r="B489" s="9"/>
      <c r="C489" s="69"/>
    </row>
    <row r="490">
      <c r="A490" s="9"/>
      <c r="B490" s="9"/>
      <c r="C490" s="69"/>
    </row>
    <row r="491">
      <c r="A491" s="9"/>
      <c r="B491" s="9"/>
      <c r="C491" s="69"/>
    </row>
    <row r="492">
      <c r="A492" s="9"/>
      <c r="B492" s="9"/>
      <c r="C492" s="69"/>
    </row>
    <row r="493">
      <c r="A493" s="9"/>
      <c r="B493" s="9"/>
      <c r="C493" s="69"/>
    </row>
    <row r="494">
      <c r="A494" s="9"/>
      <c r="B494" s="9"/>
      <c r="C494" s="69"/>
    </row>
    <row r="495">
      <c r="A495" s="9"/>
      <c r="B495" s="9"/>
      <c r="C495" s="69"/>
    </row>
    <row r="496">
      <c r="A496" s="9"/>
      <c r="B496" s="9"/>
      <c r="C496" s="69"/>
    </row>
    <row r="497">
      <c r="A497" s="9"/>
      <c r="B497" s="9"/>
      <c r="C497" s="69"/>
    </row>
    <row r="498">
      <c r="A498" s="9"/>
      <c r="B498" s="9"/>
      <c r="C498" s="69"/>
    </row>
    <row r="499">
      <c r="A499" s="9"/>
      <c r="B499" s="9"/>
      <c r="C499" s="69"/>
    </row>
    <row r="500">
      <c r="A500" s="9"/>
      <c r="B500" s="9"/>
      <c r="C500" s="69"/>
    </row>
    <row r="501">
      <c r="A501" s="9"/>
      <c r="B501" s="9"/>
      <c r="C501" s="69"/>
    </row>
    <row r="502">
      <c r="A502" s="9"/>
      <c r="B502" s="9"/>
      <c r="C502" s="69"/>
    </row>
    <row r="503">
      <c r="A503" s="9"/>
      <c r="B503" s="9"/>
      <c r="C503" s="69"/>
    </row>
    <row r="504">
      <c r="A504" s="9"/>
      <c r="B504" s="9"/>
      <c r="C504" s="69"/>
    </row>
    <row r="505">
      <c r="A505" s="9"/>
      <c r="B505" s="9"/>
      <c r="C505" s="69"/>
    </row>
    <row r="506">
      <c r="A506" s="9"/>
      <c r="B506" s="9"/>
      <c r="C506" s="69"/>
    </row>
    <row r="507">
      <c r="A507" s="9"/>
      <c r="B507" s="9"/>
      <c r="C507" s="69"/>
    </row>
    <row r="508">
      <c r="A508" s="9"/>
      <c r="B508" s="9"/>
      <c r="C508" s="69"/>
    </row>
    <row r="509">
      <c r="A509" s="9"/>
      <c r="B509" s="9"/>
      <c r="C509" s="69"/>
    </row>
    <row r="510">
      <c r="A510" s="9"/>
      <c r="B510" s="9"/>
      <c r="C510" s="69"/>
    </row>
    <row r="511">
      <c r="A511" s="9"/>
      <c r="B511" s="9"/>
      <c r="C511" s="69"/>
    </row>
    <row r="512">
      <c r="A512" s="9"/>
      <c r="B512" s="9"/>
      <c r="C512" s="69"/>
    </row>
    <row r="513">
      <c r="A513" s="9"/>
      <c r="B513" s="9"/>
      <c r="C513" s="69"/>
    </row>
    <row r="514">
      <c r="A514" s="9"/>
      <c r="B514" s="9"/>
      <c r="C514" s="69"/>
    </row>
    <row r="515">
      <c r="A515" s="9"/>
      <c r="B515" s="9"/>
      <c r="C515" s="69"/>
    </row>
    <row r="516">
      <c r="A516" s="9"/>
      <c r="B516" s="9"/>
      <c r="C516" s="69"/>
    </row>
    <row r="517">
      <c r="A517" s="9"/>
      <c r="B517" s="9"/>
      <c r="C517" s="69"/>
    </row>
    <row r="518">
      <c r="A518" s="9"/>
      <c r="B518" s="9"/>
      <c r="C518" s="69"/>
    </row>
    <row r="519">
      <c r="A519" s="9"/>
      <c r="B519" s="9"/>
      <c r="C519" s="69"/>
    </row>
    <row r="520">
      <c r="A520" s="9"/>
      <c r="B520" s="9"/>
      <c r="C520" s="69"/>
    </row>
    <row r="521">
      <c r="A521" s="9"/>
      <c r="B521" s="9"/>
      <c r="C521" s="69"/>
    </row>
    <row r="522">
      <c r="A522" s="9"/>
      <c r="B522" s="9"/>
      <c r="C522" s="69"/>
    </row>
    <row r="523">
      <c r="A523" s="9"/>
      <c r="B523" s="9"/>
      <c r="C523" s="69"/>
    </row>
    <row r="524">
      <c r="A524" s="9"/>
      <c r="B524" s="9"/>
      <c r="C524" s="69"/>
    </row>
    <row r="525">
      <c r="A525" s="9"/>
      <c r="B525" s="9"/>
      <c r="C525" s="69"/>
    </row>
    <row r="526">
      <c r="A526" s="9"/>
      <c r="B526" s="9"/>
      <c r="C526" s="69"/>
    </row>
    <row r="527">
      <c r="A527" s="9"/>
      <c r="B527" s="9"/>
      <c r="C527" s="69"/>
    </row>
    <row r="528">
      <c r="A528" s="9"/>
      <c r="B528" s="9"/>
      <c r="C528" s="69"/>
    </row>
    <row r="529">
      <c r="A529" s="9"/>
      <c r="B529" s="9"/>
      <c r="C529" s="69"/>
    </row>
    <row r="530">
      <c r="A530" s="9"/>
      <c r="B530" s="9"/>
      <c r="C530" s="69"/>
    </row>
    <row r="531">
      <c r="A531" s="9"/>
      <c r="B531" s="9"/>
      <c r="C531" s="69"/>
    </row>
    <row r="532">
      <c r="A532" s="9"/>
      <c r="B532" s="9"/>
      <c r="C532" s="69"/>
    </row>
    <row r="533">
      <c r="A533" s="9"/>
      <c r="B533" s="9"/>
      <c r="C533" s="69"/>
    </row>
    <row r="534">
      <c r="A534" s="9"/>
      <c r="B534" s="9"/>
      <c r="C534" s="69"/>
    </row>
    <row r="535">
      <c r="A535" s="9"/>
      <c r="B535" s="9"/>
      <c r="C535" s="69"/>
    </row>
    <row r="536">
      <c r="A536" s="9"/>
      <c r="B536" s="9"/>
      <c r="C536" s="69"/>
    </row>
    <row r="537">
      <c r="A537" s="9"/>
      <c r="B537" s="9"/>
      <c r="C537" s="69"/>
    </row>
    <row r="538">
      <c r="A538" s="9"/>
      <c r="B538" s="9"/>
      <c r="C538" s="69"/>
    </row>
    <row r="539">
      <c r="A539" s="9"/>
      <c r="B539" s="9"/>
      <c r="C539" s="69"/>
    </row>
    <row r="540">
      <c r="A540" s="9"/>
      <c r="B540" s="9"/>
      <c r="C540" s="69"/>
    </row>
    <row r="541">
      <c r="A541" s="9"/>
      <c r="B541" s="9"/>
      <c r="C541" s="69"/>
    </row>
    <row r="542">
      <c r="A542" s="9"/>
      <c r="B542" s="9"/>
      <c r="C542" s="69"/>
    </row>
    <row r="543">
      <c r="A543" s="9"/>
      <c r="B543" s="9"/>
      <c r="C543" s="69"/>
    </row>
    <row r="544">
      <c r="A544" s="9"/>
      <c r="B544" s="9"/>
      <c r="C544" s="69"/>
    </row>
    <row r="545">
      <c r="A545" s="9"/>
      <c r="B545" s="9"/>
      <c r="C545" s="69"/>
    </row>
    <row r="546">
      <c r="A546" s="9"/>
      <c r="B546" s="9"/>
      <c r="C546" s="69"/>
    </row>
    <row r="547">
      <c r="A547" s="9"/>
      <c r="B547" s="9"/>
      <c r="C547" s="69"/>
    </row>
    <row r="548">
      <c r="A548" s="9"/>
      <c r="B548" s="9"/>
      <c r="C548" s="69"/>
    </row>
    <row r="549">
      <c r="A549" s="9"/>
      <c r="B549" s="9"/>
      <c r="C549" s="69"/>
    </row>
    <row r="550">
      <c r="A550" s="9"/>
      <c r="B550" s="9"/>
      <c r="C550" s="69"/>
    </row>
    <row r="551">
      <c r="A551" s="9"/>
      <c r="B551" s="9"/>
      <c r="C551" s="69"/>
    </row>
    <row r="552">
      <c r="A552" s="9"/>
      <c r="B552" s="9"/>
      <c r="C552" s="69"/>
    </row>
    <row r="553">
      <c r="A553" s="9"/>
      <c r="B553" s="9"/>
      <c r="C553" s="69"/>
    </row>
    <row r="554">
      <c r="A554" s="9"/>
      <c r="B554" s="9"/>
      <c r="C554" s="69"/>
    </row>
    <row r="555">
      <c r="A555" s="9"/>
      <c r="B555" s="9"/>
      <c r="C555" s="69"/>
    </row>
    <row r="556">
      <c r="A556" s="9"/>
      <c r="B556" s="9"/>
      <c r="C556" s="69"/>
    </row>
    <row r="557">
      <c r="A557" s="9"/>
      <c r="B557" s="9"/>
      <c r="C557" s="69"/>
    </row>
    <row r="558">
      <c r="A558" s="9"/>
      <c r="B558" s="9"/>
      <c r="C558" s="69"/>
    </row>
    <row r="559">
      <c r="A559" s="9"/>
      <c r="B559" s="9"/>
      <c r="C559" s="69"/>
    </row>
    <row r="560">
      <c r="A560" s="9"/>
      <c r="B560" s="9"/>
      <c r="C560" s="69"/>
    </row>
    <row r="561">
      <c r="A561" s="9"/>
      <c r="B561" s="9"/>
      <c r="C561" s="69"/>
    </row>
    <row r="562">
      <c r="A562" s="9"/>
      <c r="B562" s="9"/>
      <c r="C562" s="69"/>
    </row>
    <row r="563">
      <c r="A563" s="9"/>
      <c r="B563" s="9"/>
      <c r="C563" s="69"/>
    </row>
    <row r="564">
      <c r="A564" s="9"/>
      <c r="B564" s="9"/>
      <c r="C564" s="69"/>
    </row>
    <row r="565">
      <c r="A565" s="9"/>
      <c r="B565" s="9"/>
      <c r="C565" s="69"/>
    </row>
    <row r="566">
      <c r="A566" s="9"/>
      <c r="B566" s="9"/>
      <c r="C566" s="69"/>
    </row>
    <row r="567">
      <c r="A567" s="9"/>
      <c r="B567" s="9"/>
      <c r="C567" s="69"/>
    </row>
    <row r="568">
      <c r="A568" s="9"/>
      <c r="B568" s="9"/>
      <c r="C568" s="69"/>
    </row>
    <row r="569">
      <c r="A569" s="9"/>
      <c r="B569" s="9"/>
      <c r="C569" s="69"/>
    </row>
    <row r="570">
      <c r="A570" s="9"/>
      <c r="B570" s="9"/>
      <c r="C570" s="69"/>
    </row>
    <row r="571">
      <c r="A571" s="9"/>
      <c r="B571" s="9"/>
      <c r="C571" s="69"/>
    </row>
    <row r="572">
      <c r="A572" s="9"/>
      <c r="B572" s="9"/>
      <c r="C572" s="69"/>
    </row>
    <row r="573">
      <c r="A573" s="9"/>
      <c r="B573" s="9"/>
      <c r="C573" s="69"/>
    </row>
    <row r="574">
      <c r="A574" s="9"/>
      <c r="B574" s="9"/>
      <c r="C574" s="69"/>
    </row>
    <row r="575">
      <c r="A575" s="9"/>
      <c r="B575" s="9"/>
      <c r="C575" s="69"/>
    </row>
    <row r="576">
      <c r="A576" s="9"/>
      <c r="B576" s="9"/>
      <c r="C576" s="69"/>
    </row>
    <row r="577">
      <c r="A577" s="9"/>
      <c r="B577" s="9"/>
      <c r="C577" s="69"/>
    </row>
    <row r="578">
      <c r="A578" s="9"/>
      <c r="B578" s="9"/>
      <c r="C578" s="69"/>
    </row>
    <row r="579">
      <c r="A579" s="9"/>
      <c r="B579" s="9"/>
      <c r="C579" s="69"/>
    </row>
    <row r="580">
      <c r="A580" s="9"/>
      <c r="B580" s="9"/>
      <c r="C580" s="69"/>
    </row>
    <row r="581">
      <c r="A581" s="9"/>
      <c r="B581" s="9"/>
      <c r="C581" s="69"/>
    </row>
    <row r="582">
      <c r="A582" s="9"/>
      <c r="B582" s="9"/>
      <c r="C582" s="69"/>
    </row>
    <row r="583">
      <c r="A583" s="9"/>
      <c r="B583" s="9"/>
      <c r="C583" s="69"/>
    </row>
    <row r="584">
      <c r="A584" s="9"/>
      <c r="B584" s="9"/>
      <c r="C584" s="69"/>
    </row>
    <row r="585">
      <c r="A585" s="9"/>
      <c r="B585" s="9"/>
      <c r="C585" s="69"/>
    </row>
    <row r="586">
      <c r="A586" s="9"/>
      <c r="B586" s="9"/>
      <c r="C586" s="69"/>
    </row>
    <row r="587">
      <c r="A587" s="9"/>
      <c r="B587" s="9"/>
      <c r="C587" s="69"/>
    </row>
    <row r="588">
      <c r="A588" s="9"/>
      <c r="B588" s="9"/>
      <c r="C588" s="69"/>
    </row>
    <row r="589">
      <c r="A589" s="9"/>
      <c r="B589" s="9"/>
      <c r="C589" s="69"/>
    </row>
    <row r="590">
      <c r="A590" s="9"/>
      <c r="B590" s="9"/>
      <c r="C590" s="69"/>
    </row>
    <row r="591">
      <c r="A591" s="9"/>
      <c r="B591" s="9"/>
      <c r="C591" s="69"/>
    </row>
    <row r="592">
      <c r="A592" s="9"/>
      <c r="B592" s="9"/>
      <c r="C592" s="69"/>
    </row>
    <row r="593">
      <c r="A593" s="9"/>
      <c r="B593" s="9"/>
      <c r="C593" s="69"/>
    </row>
    <row r="594">
      <c r="A594" s="9"/>
      <c r="B594" s="9"/>
      <c r="C594" s="69"/>
    </row>
    <row r="595">
      <c r="A595" s="9"/>
      <c r="B595" s="9"/>
      <c r="C595" s="69"/>
    </row>
    <row r="596">
      <c r="A596" s="9"/>
      <c r="B596" s="9"/>
      <c r="C596" s="69"/>
    </row>
    <row r="597">
      <c r="A597" s="9"/>
      <c r="B597" s="9"/>
      <c r="C597" s="69"/>
    </row>
    <row r="598">
      <c r="A598" s="9"/>
      <c r="B598" s="9"/>
      <c r="C598" s="69"/>
    </row>
    <row r="599">
      <c r="A599" s="9"/>
      <c r="B599" s="9"/>
      <c r="C599" s="69"/>
    </row>
    <row r="600">
      <c r="A600" s="9"/>
      <c r="B600" s="9"/>
      <c r="C600" s="69"/>
    </row>
    <row r="601">
      <c r="A601" s="9"/>
      <c r="B601" s="9"/>
      <c r="C601" s="69"/>
    </row>
    <row r="602">
      <c r="A602" s="9"/>
      <c r="B602" s="9"/>
      <c r="C602" s="69"/>
    </row>
    <row r="603">
      <c r="A603" s="9"/>
      <c r="B603" s="9"/>
      <c r="C603" s="69"/>
    </row>
    <row r="604">
      <c r="A604" s="9"/>
      <c r="B604" s="9"/>
      <c r="C604" s="69"/>
    </row>
    <row r="605">
      <c r="A605" s="9"/>
      <c r="B605" s="9"/>
      <c r="C605" s="69"/>
    </row>
    <row r="606">
      <c r="A606" s="9"/>
      <c r="B606" s="9"/>
      <c r="C606" s="69"/>
    </row>
    <row r="607">
      <c r="A607" s="9"/>
      <c r="B607" s="9"/>
      <c r="C607" s="69"/>
    </row>
    <row r="608">
      <c r="A608" s="9"/>
      <c r="B608" s="9"/>
      <c r="C608" s="69"/>
    </row>
    <row r="609">
      <c r="A609" s="9"/>
      <c r="B609" s="9"/>
      <c r="C609" s="69"/>
    </row>
    <row r="610">
      <c r="A610" s="9"/>
      <c r="B610" s="9"/>
      <c r="C610" s="69"/>
    </row>
    <row r="611">
      <c r="A611" s="9"/>
      <c r="B611" s="9"/>
      <c r="C611" s="69"/>
    </row>
    <row r="612">
      <c r="A612" s="9"/>
      <c r="B612" s="9"/>
      <c r="C612" s="69"/>
    </row>
    <row r="613">
      <c r="A613" s="9"/>
      <c r="B613" s="9"/>
      <c r="C613" s="69"/>
    </row>
    <row r="614">
      <c r="A614" s="9"/>
      <c r="B614" s="9"/>
      <c r="C614" s="69"/>
    </row>
    <row r="615">
      <c r="A615" s="9"/>
      <c r="B615" s="9"/>
      <c r="C615" s="69"/>
    </row>
    <row r="616">
      <c r="A616" s="9"/>
      <c r="B616" s="9"/>
      <c r="C616" s="69"/>
    </row>
    <row r="617">
      <c r="A617" s="9"/>
      <c r="B617" s="9"/>
      <c r="C617" s="69"/>
    </row>
    <row r="618">
      <c r="A618" s="9"/>
      <c r="B618" s="9"/>
      <c r="C618" s="69"/>
    </row>
    <row r="619">
      <c r="A619" s="9"/>
      <c r="B619" s="9"/>
      <c r="C619" s="69"/>
    </row>
    <row r="620">
      <c r="A620" s="9"/>
      <c r="B620" s="9"/>
      <c r="C620" s="69"/>
    </row>
    <row r="621">
      <c r="A621" s="9"/>
      <c r="B621" s="9"/>
      <c r="C621" s="69"/>
    </row>
    <row r="622">
      <c r="A622" s="9"/>
      <c r="B622" s="9"/>
      <c r="C622" s="69"/>
    </row>
    <row r="623">
      <c r="A623" s="9"/>
      <c r="B623" s="9"/>
      <c r="C623" s="69"/>
    </row>
    <row r="624">
      <c r="A624" s="9"/>
      <c r="B624" s="9"/>
      <c r="C624" s="69"/>
    </row>
    <row r="625">
      <c r="A625" s="9"/>
      <c r="B625" s="9"/>
      <c r="C625" s="69"/>
    </row>
    <row r="626">
      <c r="A626" s="9"/>
      <c r="B626" s="9"/>
      <c r="C626" s="69"/>
    </row>
    <row r="627">
      <c r="A627" s="9"/>
      <c r="B627" s="9"/>
      <c r="C627" s="69"/>
    </row>
    <row r="628">
      <c r="A628" s="9"/>
      <c r="B628" s="9"/>
      <c r="C628" s="69"/>
    </row>
    <row r="629">
      <c r="A629" s="9"/>
      <c r="B629" s="9"/>
      <c r="C629" s="69"/>
    </row>
    <row r="630">
      <c r="A630" s="9"/>
      <c r="B630" s="9"/>
      <c r="C630" s="69"/>
    </row>
    <row r="631">
      <c r="A631" s="9"/>
      <c r="B631" s="9"/>
      <c r="C631" s="69"/>
    </row>
    <row r="632">
      <c r="A632" s="9"/>
      <c r="B632" s="9"/>
      <c r="C632" s="69"/>
    </row>
    <row r="633">
      <c r="A633" s="9"/>
      <c r="B633" s="9"/>
      <c r="C633" s="69"/>
    </row>
    <row r="634">
      <c r="A634" s="9"/>
      <c r="B634" s="9"/>
      <c r="C634" s="69"/>
    </row>
    <row r="635">
      <c r="A635" s="9"/>
      <c r="B635" s="9"/>
      <c r="C635" s="69"/>
    </row>
    <row r="636">
      <c r="A636" s="9"/>
      <c r="B636" s="9"/>
      <c r="C636" s="69"/>
    </row>
    <row r="637">
      <c r="A637" s="9"/>
      <c r="B637" s="9"/>
      <c r="C637" s="69"/>
    </row>
    <row r="638">
      <c r="A638" s="9"/>
      <c r="B638" s="9"/>
      <c r="C638" s="69"/>
    </row>
    <row r="639">
      <c r="A639" s="9"/>
      <c r="B639" s="9"/>
      <c r="C639" s="69"/>
    </row>
    <row r="640">
      <c r="A640" s="9"/>
      <c r="B640" s="9"/>
      <c r="C640" s="69"/>
    </row>
    <row r="641">
      <c r="A641" s="9"/>
      <c r="B641" s="9"/>
      <c r="C641" s="69"/>
    </row>
    <row r="642">
      <c r="A642" s="9"/>
      <c r="B642" s="9"/>
      <c r="C642" s="69"/>
    </row>
    <row r="643">
      <c r="A643" s="9"/>
      <c r="B643" s="9"/>
      <c r="C643" s="69"/>
    </row>
    <row r="644">
      <c r="A644" s="9"/>
      <c r="B644" s="9"/>
      <c r="C644" s="69"/>
    </row>
    <row r="645">
      <c r="A645" s="9"/>
      <c r="B645" s="9"/>
      <c r="C645" s="69"/>
    </row>
    <row r="646">
      <c r="A646" s="9"/>
      <c r="B646" s="9"/>
      <c r="C646" s="69"/>
    </row>
    <row r="647">
      <c r="A647" s="9"/>
      <c r="B647" s="9"/>
      <c r="C647" s="69"/>
    </row>
    <row r="648">
      <c r="A648" s="9"/>
      <c r="B648" s="9"/>
      <c r="C648" s="69"/>
    </row>
    <row r="649">
      <c r="A649" s="9"/>
      <c r="B649" s="9"/>
      <c r="C649" s="69"/>
    </row>
    <row r="650">
      <c r="A650" s="9"/>
      <c r="B650" s="9"/>
      <c r="C650" s="69"/>
    </row>
    <row r="651">
      <c r="A651" s="9"/>
      <c r="B651" s="9"/>
      <c r="C651" s="69"/>
    </row>
    <row r="652">
      <c r="A652" s="9"/>
      <c r="B652" s="9"/>
      <c r="C652" s="69"/>
    </row>
    <row r="653">
      <c r="A653" s="9"/>
      <c r="B653" s="9"/>
      <c r="C653" s="69"/>
    </row>
    <row r="654">
      <c r="A654" s="9"/>
      <c r="B654" s="9"/>
      <c r="C654" s="69"/>
    </row>
    <row r="655">
      <c r="A655" s="9"/>
      <c r="B655" s="9"/>
      <c r="C655" s="69"/>
    </row>
    <row r="656">
      <c r="A656" s="9"/>
      <c r="B656" s="9"/>
      <c r="C656" s="69"/>
    </row>
    <row r="657">
      <c r="A657" s="9"/>
      <c r="B657" s="9"/>
      <c r="C657" s="69"/>
    </row>
    <row r="658">
      <c r="A658" s="9"/>
      <c r="B658" s="9"/>
      <c r="C658" s="69"/>
    </row>
    <row r="659">
      <c r="A659" s="9"/>
      <c r="B659" s="9"/>
      <c r="C659" s="69"/>
    </row>
    <row r="660">
      <c r="A660" s="9"/>
      <c r="B660" s="9"/>
      <c r="C660" s="69"/>
    </row>
    <row r="661">
      <c r="A661" s="9"/>
      <c r="B661" s="9"/>
      <c r="C661" s="69"/>
    </row>
    <row r="662">
      <c r="A662" s="9"/>
      <c r="B662" s="9"/>
      <c r="C662" s="69"/>
    </row>
    <row r="663">
      <c r="A663" s="9"/>
      <c r="B663" s="9"/>
      <c r="C663" s="69"/>
    </row>
    <row r="664">
      <c r="A664" s="9"/>
      <c r="B664" s="9"/>
      <c r="C664" s="69"/>
    </row>
    <row r="665">
      <c r="A665" s="9"/>
      <c r="B665" s="9"/>
      <c r="C665" s="69"/>
    </row>
    <row r="666">
      <c r="A666" s="9"/>
      <c r="B666" s="9"/>
      <c r="C666" s="69"/>
    </row>
    <row r="667">
      <c r="A667" s="9"/>
      <c r="B667" s="9"/>
      <c r="C667" s="69"/>
    </row>
    <row r="668">
      <c r="A668" s="9"/>
      <c r="B668" s="9"/>
      <c r="C668" s="69"/>
    </row>
    <row r="669">
      <c r="A669" s="9"/>
      <c r="B669" s="9"/>
      <c r="C669" s="69"/>
    </row>
    <row r="670">
      <c r="A670" s="9"/>
      <c r="B670" s="9"/>
      <c r="C670" s="69"/>
    </row>
    <row r="671">
      <c r="A671" s="9"/>
      <c r="B671" s="9"/>
      <c r="C671" s="69"/>
    </row>
    <row r="672">
      <c r="A672" s="9"/>
      <c r="B672" s="9"/>
      <c r="C672" s="69"/>
    </row>
    <row r="673">
      <c r="A673" s="9"/>
      <c r="B673" s="9"/>
      <c r="C673" s="69"/>
    </row>
    <row r="674">
      <c r="A674" s="9"/>
      <c r="B674" s="9"/>
      <c r="C674" s="69"/>
    </row>
    <row r="675">
      <c r="A675" s="9"/>
      <c r="B675" s="9"/>
      <c r="C675" s="69"/>
    </row>
    <row r="676">
      <c r="A676" s="9"/>
      <c r="B676" s="9"/>
      <c r="C676" s="69"/>
    </row>
    <row r="677">
      <c r="A677" s="9"/>
      <c r="B677" s="9"/>
      <c r="C677" s="69"/>
    </row>
    <row r="678">
      <c r="A678" s="9"/>
      <c r="B678" s="9"/>
      <c r="C678" s="69"/>
    </row>
    <row r="679">
      <c r="A679" s="9"/>
      <c r="B679" s="9"/>
      <c r="C679" s="69"/>
    </row>
    <row r="680">
      <c r="A680" s="9"/>
      <c r="B680" s="9"/>
      <c r="C680" s="69"/>
    </row>
    <row r="681">
      <c r="A681" s="9"/>
      <c r="B681" s="9"/>
      <c r="C681" s="69"/>
    </row>
    <row r="682">
      <c r="A682" s="9"/>
      <c r="B682" s="9"/>
      <c r="C682" s="69"/>
    </row>
    <row r="683">
      <c r="A683" s="9"/>
      <c r="B683" s="9"/>
      <c r="C683" s="69"/>
    </row>
    <row r="684">
      <c r="A684" s="9"/>
      <c r="B684" s="9"/>
      <c r="C684" s="69"/>
    </row>
    <row r="685">
      <c r="A685" s="9"/>
      <c r="B685" s="9"/>
      <c r="C685" s="69"/>
    </row>
    <row r="686">
      <c r="A686" s="9"/>
      <c r="B686" s="9"/>
      <c r="C686" s="69"/>
    </row>
    <row r="687">
      <c r="A687" s="9"/>
      <c r="B687" s="9"/>
      <c r="C687" s="69"/>
    </row>
    <row r="688">
      <c r="A688" s="9"/>
      <c r="B688" s="9"/>
      <c r="C688" s="69"/>
    </row>
    <row r="689">
      <c r="A689" s="9"/>
      <c r="B689" s="9"/>
      <c r="C689" s="69"/>
    </row>
    <row r="690">
      <c r="A690" s="9"/>
      <c r="B690" s="9"/>
      <c r="C690" s="69"/>
    </row>
    <row r="691">
      <c r="A691" s="9"/>
      <c r="B691" s="9"/>
      <c r="C691" s="69"/>
    </row>
    <row r="692">
      <c r="A692" s="9"/>
      <c r="B692" s="9"/>
      <c r="C692" s="69"/>
    </row>
    <row r="693">
      <c r="A693" s="9"/>
      <c r="B693" s="9"/>
      <c r="C693" s="69"/>
    </row>
    <row r="694">
      <c r="A694" s="9"/>
      <c r="B694" s="9"/>
      <c r="C694" s="69"/>
    </row>
    <row r="695">
      <c r="A695" s="9"/>
      <c r="B695" s="9"/>
      <c r="C695" s="69"/>
    </row>
    <row r="696">
      <c r="A696" s="9"/>
      <c r="B696" s="9"/>
      <c r="C696" s="69"/>
    </row>
    <row r="697">
      <c r="A697" s="9"/>
      <c r="B697" s="9"/>
      <c r="C697" s="69"/>
    </row>
    <row r="698">
      <c r="A698" s="9"/>
      <c r="B698" s="9"/>
      <c r="C698" s="69"/>
    </row>
    <row r="699">
      <c r="A699" s="9"/>
      <c r="B699" s="9"/>
      <c r="C699" s="69"/>
    </row>
    <row r="700">
      <c r="A700" s="9"/>
      <c r="B700" s="9"/>
      <c r="C700" s="69"/>
    </row>
    <row r="701">
      <c r="A701" s="9"/>
      <c r="B701" s="9"/>
      <c r="C701" s="69"/>
    </row>
    <row r="702">
      <c r="A702" s="9"/>
      <c r="B702" s="9"/>
      <c r="C702" s="69"/>
    </row>
    <row r="703">
      <c r="A703" s="9"/>
      <c r="B703" s="9"/>
      <c r="C703" s="69"/>
    </row>
    <row r="704">
      <c r="A704" s="9"/>
      <c r="B704" s="9"/>
      <c r="C704" s="69"/>
    </row>
    <row r="705">
      <c r="A705" s="9"/>
      <c r="B705" s="9"/>
      <c r="C705" s="69"/>
    </row>
    <row r="706">
      <c r="A706" s="9"/>
      <c r="B706" s="9"/>
      <c r="C706" s="69"/>
    </row>
    <row r="707">
      <c r="A707" s="9"/>
      <c r="B707" s="9"/>
      <c r="C707" s="69"/>
    </row>
    <row r="708">
      <c r="A708" s="9"/>
      <c r="B708" s="9"/>
      <c r="C708" s="69"/>
    </row>
    <row r="709">
      <c r="A709" s="9"/>
      <c r="B709" s="9"/>
      <c r="C709" s="69"/>
    </row>
    <row r="710">
      <c r="A710" s="9"/>
      <c r="B710" s="9"/>
      <c r="C710" s="69"/>
    </row>
    <row r="711">
      <c r="A711" s="9"/>
      <c r="B711" s="9"/>
      <c r="C711" s="69"/>
    </row>
    <row r="712">
      <c r="A712" s="9"/>
      <c r="B712" s="9"/>
      <c r="C712" s="69"/>
    </row>
    <row r="713">
      <c r="A713" s="9"/>
      <c r="B713" s="9"/>
      <c r="C713" s="69"/>
    </row>
    <row r="714">
      <c r="A714" s="9"/>
      <c r="B714" s="9"/>
      <c r="C714" s="69"/>
    </row>
    <row r="715">
      <c r="A715" s="9"/>
      <c r="B715" s="9"/>
      <c r="C715" s="69"/>
    </row>
    <row r="716">
      <c r="A716" s="9"/>
      <c r="B716" s="9"/>
      <c r="C716" s="69"/>
    </row>
    <row r="717">
      <c r="A717" s="9"/>
      <c r="B717" s="9"/>
      <c r="C717" s="69"/>
    </row>
    <row r="718">
      <c r="A718" s="9"/>
      <c r="B718" s="9"/>
      <c r="C718" s="69"/>
    </row>
    <row r="719">
      <c r="A719" s="9"/>
      <c r="B719" s="9"/>
      <c r="C719" s="69"/>
    </row>
    <row r="720">
      <c r="A720" s="9"/>
      <c r="B720" s="9"/>
      <c r="C720" s="69"/>
    </row>
    <row r="721">
      <c r="A721" s="9"/>
      <c r="B721" s="9"/>
      <c r="C721" s="69"/>
    </row>
    <row r="722">
      <c r="A722" s="9"/>
      <c r="B722" s="9"/>
      <c r="C722" s="69"/>
    </row>
    <row r="723">
      <c r="A723" s="9"/>
      <c r="B723" s="9"/>
      <c r="C723" s="69"/>
    </row>
    <row r="724">
      <c r="A724" s="9"/>
      <c r="B724" s="9"/>
      <c r="C724" s="69"/>
    </row>
    <row r="725">
      <c r="A725" s="9"/>
      <c r="B725" s="9"/>
      <c r="C725" s="69"/>
    </row>
    <row r="726">
      <c r="A726" s="9"/>
      <c r="B726" s="9"/>
      <c r="C726" s="69"/>
    </row>
    <row r="727">
      <c r="A727" s="9"/>
      <c r="B727" s="9"/>
      <c r="C727" s="69"/>
    </row>
    <row r="728">
      <c r="A728" s="9"/>
      <c r="B728" s="9"/>
      <c r="C728" s="69"/>
    </row>
    <row r="729">
      <c r="A729" s="9"/>
      <c r="B729" s="9"/>
      <c r="C729" s="69"/>
    </row>
    <row r="730">
      <c r="A730" s="9"/>
      <c r="B730" s="9"/>
      <c r="C730" s="69"/>
    </row>
    <row r="731">
      <c r="A731" s="9"/>
      <c r="B731" s="9"/>
      <c r="C731" s="69"/>
    </row>
    <row r="732">
      <c r="A732" s="9"/>
      <c r="B732" s="9"/>
      <c r="C732" s="69"/>
    </row>
    <row r="733">
      <c r="A733" s="9"/>
      <c r="B733" s="9"/>
      <c r="C733" s="69"/>
    </row>
    <row r="734">
      <c r="A734" s="9"/>
      <c r="B734" s="9"/>
      <c r="C734" s="69"/>
    </row>
    <row r="735">
      <c r="A735" s="9"/>
      <c r="B735" s="9"/>
      <c r="C735" s="69"/>
    </row>
    <row r="736">
      <c r="A736" s="9"/>
      <c r="B736" s="9"/>
      <c r="C736" s="69"/>
    </row>
    <row r="737">
      <c r="A737" s="9"/>
      <c r="B737" s="9"/>
      <c r="C737" s="69"/>
    </row>
    <row r="738">
      <c r="A738" s="9"/>
      <c r="B738" s="9"/>
      <c r="C738" s="69"/>
    </row>
    <row r="739">
      <c r="A739" s="9"/>
      <c r="B739" s="9"/>
      <c r="C739" s="69"/>
    </row>
    <row r="740">
      <c r="A740" s="9"/>
      <c r="B740" s="9"/>
      <c r="C740" s="69"/>
    </row>
    <row r="741">
      <c r="A741" s="9"/>
      <c r="B741" s="9"/>
      <c r="C741" s="69"/>
    </row>
    <row r="742">
      <c r="A742" s="9"/>
      <c r="B742" s="9"/>
      <c r="C742" s="69"/>
    </row>
    <row r="743">
      <c r="A743" s="9"/>
      <c r="B743" s="9"/>
      <c r="C743" s="69"/>
    </row>
    <row r="744">
      <c r="A744" s="9"/>
      <c r="B744" s="9"/>
      <c r="C744" s="69"/>
    </row>
    <row r="745">
      <c r="A745" s="9"/>
      <c r="B745" s="9"/>
      <c r="C745" s="69"/>
    </row>
    <row r="746">
      <c r="A746" s="9"/>
      <c r="B746" s="9"/>
      <c r="C746" s="69"/>
    </row>
    <row r="747">
      <c r="A747" s="9"/>
      <c r="B747" s="9"/>
      <c r="C747" s="69"/>
    </row>
    <row r="748">
      <c r="A748" s="9"/>
      <c r="B748" s="9"/>
      <c r="C748" s="69"/>
    </row>
    <row r="749">
      <c r="A749" s="9"/>
      <c r="B749" s="9"/>
      <c r="C749" s="69"/>
    </row>
    <row r="750">
      <c r="A750" s="9"/>
      <c r="B750" s="9"/>
      <c r="C750" s="69"/>
    </row>
    <row r="751">
      <c r="A751" s="9"/>
      <c r="B751" s="9"/>
      <c r="C751" s="69"/>
    </row>
    <row r="752">
      <c r="A752" s="9"/>
      <c r="B752" s="9"/>
      <c r="C752" s="69"/>
    </row>
    <row r="753">
      <c r="A753" s="9"/>
      <c r="B753" s="9"/>
      <c r="C753" s="69"/>
    </row>
    <row r="754">
      <c r="A754" s="9"/>
      <c r="B754" s="9"/>
      <c r="C754" s="69"/>
    </row>
    <row r="755">
      <c r="A755" s="9"/>
      <c r="B755" s="9"/>
      <c r="C755" s="69"/>
    </row>
    <row r="756">
      <c r="A756" s="9"/>
      <c r="B756" s="9"/>
      <c r="C756" s="69"/>
    </row>
    <row r="757">
      <c r="A757" s="9"/>
      <c r="B757" s="9"/>
      <c r="C757" s="69"/>
    </row>
    <row r="758">
      <c r="A758" s="9"/>
      <c r="B758" s="9"/>
      <c r="C758" s="69"/>
    </row>
    <row r="759">
      <c r="A759" s="9"/>
      <c r="B759" s="9"/>
      <c r="C759" s="69"/>
    </row>
    <row r="760">
      <c r="A760" s="9"/>
      <c r="B760" s="9"/>
      <c r="C760" s="69"/>
    </row>
    <row r="761">
      <c r="A761" s="9"/>
      <c r="B761" s="9"/>
      <c r="C761" s="69"/>
    </row>
    <row r="762">
      <c r="A762" s="9"/>
      <c r="B762" s="9"/>
      <c r="C762" s="69"/>
    </row>
    <row r="763">
      <c r="A763" s="9"/>
      <c r="B763" s="9"/>
      <c r="C763" s="69"/>
    </row>
    <row r="764">
      <c r="A764" s="9"/>
      <c r="B764" s="9"/>
      <c r="C764" s="69"/>
    </row>
    <row r="765">
      <c r="A765" s="9"/>
      <c r="B765" s="9"/>
      <c r="C765" s="69"/>
    </row>
    <row r="766">
      <c r="A766" s="9"/>
      <c r="B766" s="9"/>
      <c r="C766" s="69"/>
    </row>
    <row r="767">
      <c r="A767" s="9"/>
      <c r="B767" s="9"/>
      <c r="C767" s="69"/>
    </row>
    <row r="768">
      <c r="A768" s="9"/>
      <c r="B768" s="9"/>
      <c r="C768" s="69"/>
    </row>
    <row r="769">
      <c r="A769" s="9"/>
      <c r="B769" s="9"/>
      <c r="C769" s="69"/>
    </row>
    <row r="770">
      <c r="A770" s="9"/>
      <c r="B770" s="9"/>
      <c r="C770" s="69"/>
    </row>
    <row r="771">
      <c r="A771" s="9"/>
      <c r="B771" s="9"/>
      <c r="C771" s="69"/>
    </row>
    <row r="772">
      <c r="A772" s="9"/>
      <c r="B772" s="9"/>
      <c r="C772" s="69"/>
    </row>
    <row r="773">
      <c r="A773" s="9"/>
      <c r="B773" s="9"/>
      <c r="C773" s="69"/>
    </row>
    <row r="774">
      <c r="A774" s="9"/>
      <c r="B774" s="9"/>
      <c r="C774" s="69"/>
    </row>
    <row r="775">
      <c r="A775" s="9"/>
      <c r="B775" s="9"/>
      <c r="C775" s="69"/>
    </row>
    <row r="776">
      <c r="A776" s="9"/>
      <c r="B776" s="9"/>
      <c r="C776" s="69"/>
    </row>
    <row r="777">
      <c r="A777" s="9"/>
      <c r="B777" s="9"/>
      <c r="C777" s="69"/>
    </row>
    <row r="778">
      <c r="A778" s="9"/>
      <c r="B778" s="9"/>
      <c r="C778" s="69"/>
    </row>
    <row r="779">
      <c r="A779" s="9"/>
      <c r="B779" s="9"/>
      <c r="C779" s="69"/>
    </row>
    <row r="780">
      <c r="A780" s="9"/>
      <c r="B780" s="9"/>
      <c r="C780" s="69"/>
    </row>
    <row r="781">
      <c r="A781" s="9"/>
      <c r="B781" s="9"/>
      <c r="C781" s="69"/>
    </row>
    <row r="782">
      <c r="A782" s="9"/>
      <c r="B782" s="9"/>
      <c r="C782" s="69"/>
    </row>
    <row r="783">
      <c r="A783" s="9"/>
      <c r="B783" s="9"/>
      <c r="C783" s="69"/>
    </row>
    <row r="784">
      <c r="A784" s="9"/>
      <c r="B784" s="9"/>
      <c r="C784" s="69"/>
    </row>
    <row r="785">
      <c r="A785" s="9"/>
      <c r="B785" s="9"/>
      <c r="C785" s="69"/>
    </row>
    <row r="786">
      <c r="A786" s="9"/>
      <c r="B786" s="9"/>
      <c r="C786" s="69"/>
    </row>
    <row r="787">
      <c r="A787" s="9"/>
      <c r="B787" s="9"/>
      <c r="C787" s="69"/>
    </row>
    <row r="788">
      <c r="A788" s="9"/>
      <c r="B788" s="9"/>
      <c r="C788" s="69"/>
    </row>
    <row r="789">
      <c r="A789" s="9"/>
      <c r="B789" s="9"/>
      <c r="C789" s="69"/>
    </row>
    <row r="790">
      <c r="A790" s="9"/>
      <c r="B790" s="9"/>
      <c r="C790" s="69"/>
    </row>
    <row r="791">
      <c r="A791" s="9"/>
      <c r="B791" s="9"/>
      <c r="C791" s="69"/>
    </row>
    <row r="792">
      <c r="A792" s="9"/>
      <c r="B792" s="9"/>
      <c r="C792" s="69"/>
    </row>
    <row r="793">
      <c r="A793" s="9"/>
      <c r="B793" s="9"/>
      <c r="C793" s="69"/>
    </row>
    <row r="794">
      <c r="A794" s="9"/>
      <c r="B794" s="9"/>
      <c r="C794" s="69"/>
    </row>
    <row r="795">
      <c r="A795" s="9"/>
      <c r="B795" s="9"/>
      <c r="C795" s="69"/>
    </row>
    <row r="796">
      <c r="A796" s="9"/>
      <c r="B796" s="9"/>
      <c r="C796" s="69"/>
    </row>
    <row r="797">
      <c r="A797" s="9"/>
      <c r="B797" s="9"/>
      <c r="C797" s="69"/>
    </row>
    <row r="798">
      <c r="A798" s="9"/>
      <c r="B798" s="9"/>
      <c r="C798" s="69"/>
    </row>
    <row r="799">
      <c r="A799" s="9"/>
      <c r="B799" s="9"/>
      <c r="C799" s="69"/>
    </row>
    <row r="800">
      <c r="A800" s="9"/>
      <c r="B800" s="9"/>
      <c r="C800" s="69"/>
    </row>
    <row r="801">
      <c r="A801" s="9"/>
      <c r="B801" s="9"/>
      <c r="C801" s="69"/>
    </row>
    <row r="802">
      <c r="A802" s="9"/>
      <c r="B802" s="9"/>
      <c r="C802" s="69"/>
    </row>
    <row r="803">
      <c r="A803" s="9"/>
      <c r="B803" s="9"/>
      <c r="C803" s="69"/>
    </row>
    <row r="804">
      <c r="A804" s="9"/>
      <c r="B804" s="9"/>
      <c r="C804" s="69"/>
    </row>
    <row r="805">
      <c r="A805" s="9"/>
      <c r="B805" s="9"/>
      <c r="C805" s="69"/>
    </row>
    <row r="806">
      <c r="A806" s="9"/>
      <c r="B806" s="9"/>
      <c r="C806" s="69"/>
    </row>
    <row r="807">
      <c r="A807" s="9"/>
      <c r="B807" s="9"/>
      <c r="C807" s="69"/>
    </row>
    <row r="808">
      <c r="A808" s="9"/>
      <c r="B808" s="9"/>
      <c r="C808" s="69"/>
    </row>
    <row r="809">
      <c r="A809" s="9"/>
      <c r="B809" s="9"/>
      <c r="C809" s="69"/>
    </row>
    <row r="810">
      <c r="A810" s="9"/>
      <c r="B810" s="9"/>
      <c r="C810" s="69"/>
    </row>
    <row r="811">
      <c r="A811" s="9"/>
      <c r="B811" s="9"/>
      <c r="C811" s="69"/>
    </row>
    <row r="812">
      <c r="A812" s="9"/>
      <c r="B812" s="9"/>
      <c r="C812" s="69"/>
    </row>
    <row r="813">
      <c r="A813" s="9"/>
      <c r="B813" s="9"/>
      <c r="C813" s="69"/>
    </row>
    <row r="814">
      <c r="A814" s="9"/>
      <c r="B814" s="9"/>
      <c r="C814" s="69"/>
    </row>
    <row r="815">
      <c r="A815" s="9"/>
      <c r="B815" s="9"/>
      <c r="C815" s="69"/>
    </row>
    <row r="816">
      <c r="A816" s="9"/>
      <c r="B816" s="9"/>
      <c r="C816" s="69"/>
    </row>
    <row r="817">
      <c r="A817" s="9"/>
      <c r="B817" s="9"/>
      <c r="C817" s="69"/>
    </row>
    <row r="818">
      <c r="A818" s="9"/>
      <c r="B818" s="9"/>
      <c r="C818" s="69"/>
    </row>
    <row r="819">
      <c r="A819" s="9"/>
      <c r="B819" s="9"/>
      <c r="C819" s="69"/>
    </row>
    <row r="820">
      <c r="A820" s="9"/>
      <c r="B820" s="9"/>
      <c r="C820" s="69"/>
    </row>
    <row r="821">
      <c r="A821" s="9"/>
      <c r="B821" s="9"/>
      <c r="C821" s="69"/>
    </row>
    <row r="822">
      <c r="A822" s="9"/>
      <c r="B822" s="9"/>
      <c r="C822" s="69"/>
    </row>
    <row r="823">
      <c r="A823" s="9"/>
      <c r="B823" s="9"/>
      <c r="C823" s="69"/>
    </row>
    <row r="824">
      <c r="A824" s="9"/>
      <c r="B824" s="9"/>
      <c r="C824" s="69"/>
    </row>
    <row r="825">
      <c r="A825" s="9"/>
      <c r="B825" s="9"/>
      <c r="C825" s="69"/>
    </row>
    <row r="826">
      <c r="A826" s="9"/>
      <c r="B826" s="9"/>
      <c r="C826" s="69"/>
    </row>
    <row r="827">
      <c r="A827" s="9"/>
      <c r="B827" s="9"/>
      <c r="C827" s="69"/>
    </row>
    <row r="828">
      <c r="A828" s="9"/>
      <c r="B828" s="9"/>
      <c r="C828" s="69"/>
    </row>
    <row r="829">
      <c r="A829" s="9"/>
      <c r="B829" s="9"/>
      <c r="C829" s="69"/>
    </row>
    <row r="830">
      <c r="A830" s="9"/>
      <c r="B830" s="9"/>
      <c r="C830" s="69"/>
    </row>
    <row r="831">
      <c r="A831" s="9"/>
      <c r="B831" s="9"/>
      <c r="C831" s="69"/>
    </row>
    <row r="832">
      <c r="A832" s="9"/>
      <c r="B832" s="9"/>
      <c r="C832" s="69"/>
    </row>
    <row r="833">
      <c r="A833" s="9"/>
      <c r="B833" s="9"/>
      <c r="C833" s="69"/>
    </row>
    <row r="834">
      <c r="A834" s="9"/>
      <c r="B834" s="9"/>
      <c r="C834" s="69"/>
    </row>
    <row r="835">
      <c r="A835" s="9"/>
      <c r="B835" s="9"/>
      <c r="C835" s="69"/>
    </row>
    <row r="836">
      <c r="A836" s="9"/>
      <c r="B836" s="9"/>
      <c r="C836" s="69"/>
    </row>
    <row r="837">
      <c r="A837" s="9"/>
      <c r="B837" s="9"/>
      <c r="C837" s="69"/>
    </row>
    <row r="838">
      <c r="A838" s="9"/>
      <c r="B838" s="9"/>
      <c r="C838" s="69"/>
    </row>
    <row r="839">
      <c r="A839" s="9"/>
      <c r="B839" s="9"/>
      <c r="C839" s="69"/>
    </row>
    <row r="840">
      <c r="A840" s="9"/>
      <c r="B840" s="9"/>
      <c r="C840" s="69"/>
    </row>
    <row r="841">
      <c r="A841" s="9"/>
      <c r="B841" s="9"/>
      <c r="C841" s="69"/>
    </row>
    <row r="842">
      <c r="A842" s="9"/>
      <c r="B842" s="9"/>
      <c r="C842" s="69"/>
    </row>
    <row r="843">
      <c r="A843" s="9"/>
      <c r="B843" s="9"/>
      <c r="C843" s="69"/>
    </row>
    <row r="844">
      <c r="A844" s="9"/>
      <c r="B844" s="9"/>
      <c r="C844" s="69"/>
    </row>
    <row r="845">
      <c r="A845" s="9"/>
      <c r="B845" s="9"/>
      <c r="C845" s="69"/>
    </row>
    <row r="846">
      <c r="A846" s="9"/>
      <c r="B846" s="9"/>
      <c r="C846" s="69"/>
    </row>
    <row r="847">
      <c r="A847" s="9"/>
      <c r="B847" s="9"/>
      <c r="C847" s="69"/>
    </row>
    <row r="848">
      <c r="A848" s="9"/>
      <c r="B848" s="9"/>
      <c r="C848" s="69"/>
    </row>
    <row r="849">
      <c r="A849" s="9"/>
      <c r="B849" s="9"/>
      <c r="C849" s="69"/>
    </row>
    <row r="850">
      <c r="A850" s="9"/>
      <c r="B850" s="9"/>
      <c r="C850" s="69"/>
    </row>
    <row r="851">
      <c r="A851" s="9"/>
      <c r="B851" s="9"/>
      <c r="C851" s="69"/>
    </row>
    <row r="852">
      <c r="A852" s="9"/>
      <c r="B852" s="9"/>
      <c r="C852" s="69"/>
    </row>
    <row r="853">
      <c r="A853" s="9"/>
      <c r="B853" s="9"/>
      <c r="C853" s="69"/>
    </row>
    <row r="854">
      <c r="A854" s="9"/>
      <c r="B854" s="9"/>
      <c r="C854" s="69"/>
    </row>
    <row r="855">
      <c r="A855" s="9"/>
      <c r="B855" s="9"/>
      <c r="C855" s="69"/>
    </row>
    <row r="856">
      <c r="A856" s="9"/>
      <c r="B856" s="9"/>
      <c r="C856" s="69"/>
    </row>
    <row r="857">
      <c r="A857" s="9"/>
      <c r="B857" s="9"/>
      <c r="C857" s="69"/>
    </row>
    <row r="858">
      <c r="A858" s="9"/>
      <c r="B858" s="9"/>
      <c r="C858" s="69"/>
    </row>
    <row r="859">
      <c r="A859" s="9"/>
      <c r="B859" s="9"/>
      <c r="C859" s="69"/>
    </row>
    <row r="860">
      <c r="A860" s="9"/>
      <c r="B860" s="9"/>
      <c r="C860" s="69"/>
    </row>
    <row r="861">
      <c r="A861" s="9"/>
      <c r="B861" s="9"/>
      <c r="C861" s="69"/>
    </row>
    <row r="862">
      <c r="A862" s="9"/>
      <c r="B862" s="9"/>
      <c r="C862" s="69"/>
    </row>
    <row r="863">
      <c r="A863" s="9"/>
      <c r="B863" s="9"/>
      <c r="C863" s="69"/>
    </row>
    <row r="864">
      <c r="A864" s="9"/>
      <c r="B864" s="9"/>
      <c r="C864" s="69"/>
    </row>
    <row r="865">
      <c r="A865" s="9"/>
      <c r="B865" s="9"/>
      <c r="C865" s="69"/>
    </row>
    <row r="866">
      <c r="A866" s="9"/>
      <c r="B866" s="9"/>
      <c r="C866" s="69"/>
    </row>
    <row r="867">
      <c r="A867" s="9"/>
      <c r="B867" s="9"/>
      <c r="C867" s="69"/>
    </row>
    <row r="868">
      <c r="A868" s="9"/>
      <c r="B868" s="9"/>
      <c r="C868" s="69"/>
    </row>
    <row r="869">
      <c r="A869" s="9"/>
      <c r="B869" s="9"/>
      <c r="C869" s="69"/>
    </row>
    <row r="870">
      <c r="A870" s="9"/>
      <c r="B870" s="9"/>
      <c r="C870" s="69"/>
    </row>
    <row r="871">
      <c r="A871" s="9"/>
      <c r="B871" s="9"/>
      <c r="C871" s="69"/>
    </row>
    <row r="872">
      <c r="A872" s="9"/>
      <c r="B872" s="9"/>
      <c r="C872" s="69"/>
    </row>
    <row r="873">
      <c r="A873" s="9"/>
      <c r="B873" s="9"/>
      <c r="C873" s="69"/>
    </row>
    <row r="874">
      <c r="A874" s="9"/>
      <c r="B874" s="9"/>
      <c r="C874" s="69"/>
    </row>
    <row r="875">
      <c r="A875" s="9"/>
      <c r="B875" s="9"/>
      <c r="C875" s="69"/>
    </row>
    <row r="876">
      <c r="A876" s="9"/>
      <c r="B876" s="9"/>
      <c r="C876" s="69"/>
    </row>
    <row r="877">
      <c r="A877" s="9"/>
      <c r="B877" s="9"/>
      <c r="C877" s="69"/>
    </row>
    <row r="878">
      <c r="A878" s="9"/>
      <c r="B878" s="9"/>
      <c r="C878" s="69"/>
    </row>
    <row r="879">
      <c r="A879" s="9"/>
      <c r="B879" s="9"/>
      <c r="C879" s="69"/>
    </row>
    <row r="880">
      <c r="A880" s="9"/>
      <c r="B880" s="9"/>
      <c r="C880" s="69"/>
    </row>
    <row r="881">
      <c r="A881" s="9"/>
      <c r="B881" s="9"/>
      <c r="C881" s="69"/>
    </row>
    <row r="882">
      <c r="A882" s="9"/>
      <c r="B882" s="9"/>
      <c r="C882" s="69"/>
    </row>
    <row r="883">
      <c r="A883" s="9"/>
      <c r="B883" s="9"/>
      <c r="C883" s="69"/>
    </row>
    <row r="884">
      <c r="A884" s="9"/>
      <c r="B884" s="9"/>
      <c r="C884" s="69"/>
    </row>
    <row r="885">
      <c r="A885" s="9"/>
      <c r="B885" s="9"/>
      <c r="C885" s="69"/>
    </row>
    <row r="886">
      <c r="A886" s="9"/>
      <c r="B886" s="9"/>
      <c r="C886" s="69"/>
    </row>
    <row r="887">
      <c r="A887" s="9"/>
      <c r="B887" s="9"/>
      <c r="C887" s="69"/>
    </row>
    <row r="888">
      <c r="A888" s="9"/>
      <c r="B888" s="9"/>
      <c r="C888" s="69"/>
    </row>
    <row r="889">
      <c r="A889" s="9"/>
      <c r="B889" s="9"/>
      <c r="C889" s="69"/>
    </row>
    <row r="890">
      <c r="A890" s="9"/>
      <c r="B890" s="9"/>
      <c r="C890" s="69"/>
    </row>
    <row r="891">
      <c r="A891" s="9"/>
      <c r="B891" s="9"/>
      <c r="C891" s="69"/>
    </row>
    <row r="892">
      <c r="A892" s="9"/>
      <c r="B892" s="9"/>
      <c r="C892" s="69"/>
    </row>
    <row r="893">
      <c r="A893" s="9"/>
      <c r="B893" s="9"/>
      <c r="C893" s="69"/>
    </row>
    <row r="894">
      <c r="A894" s="9"/>
      <c r="B894" s="9"/>
      <c r="C894" s="69"/>
    </row>
    <row r="895">
      <c r="A895" s="9"/>
      <c r="B895" s="9"/>
      <c r="C895" s="69"/>
    </row>
    <row r="896">
      <c r="A896" s="9"/>
      <c r="B896" s="9"/>
      <c r="C896" s="69"/>
    </row>
    <row r="897">
      <c r="A897" s="9"/>
      <c r="B897" s="9"/>
      <c r="C897" s="69"/>
    </row>
    <row r="898">
      <c r="A898" s="9"/>
      <c r="B898" s="9"/>
      <c r="C898" s="69"/>
    </row>
    <row r="899">
      <c r="A899" s="9"/>
      <c r="B899" s="9"/>
      <c r="C899" s="69"/>
    </row>
    <row r="900">
      <c r="A900" s="9"/>
      <c r="B900" s="9"/>
      <c r="C900" s="69"/>
    </row>
    <row r="901">
      <c r="A901" s="9"/>
      <c r="B901" s="9"/>
      <c r="C901" s="69"/>
    </row>
    <row r="902">
      <c r="A902" s="9"/>
      <c r="B902" s="9"/>
      <c r="C902" s="69"/>
    </row>
    <row r="903">
      <c r="A903" s="9"/>
      <c r="B903" s="9"/>
      <c r="C903" s="69"/>
    </row>
    <row r="904">
      <c r="A904" s="9"/>
      <c r="B904" s="9"/>
      <c r="C904" s="69"/>
    </row>
    <row r="905">
      <c r="A905" s="9"/>
      <c r="B905" s="9"/>
      <c r="C905" s="69"/>
    </row>
    <row r="906">
      <c r="A906" s="9"/>
      <c r="B906" s="9"/>
      <c r="C906" s="69"/>
    </row>
    <row r="907">
      <c r="A907" s="9"/>
      <c r="B907" s="9"/>
      <c r="C907" s="69"/>
    </row>
    <row r="908">
      <c r="A908" s="9"/>
      <c r="B908" s="9"/>
      <c r="C908" s="69"/>
    </row>
    <row r="909">
      <c r="A909" s="9"/>
      <c r="B909" s="9"/>
      <c r="C909" s="69"/>
    </row>
    <row r="910">
      <c r="A910" s="9"/>
      <c r="B910" s="9"/>
      <c r="C910" s="69"/>
    </row>
    <row r="911">
      <c r="A911" s="9"/>
      <c r="B911" s="9"/>
      <c r="C911" s="69"/>
    </row>
    <row r="912">
      <c r="A912" s="9"/>
      <c r="B912" s="9"/>
      <c r="C912" s="69"/>
    </row>
    <row r="913">
      <c r="A913" s="9"/>
      <c r="B913" s="9"/>
      <c r="C913" s="69"/>
    </row>
    <row r="914">
      <c r="A914" s="9"/>
      <c r="B914" s="9"/>
      <c r="C914" s="69"/>
    </row>
    <row r="915">
      <c r="A915" s="9"/>
      <c r="B915" s="9"/>
      <c r="C915" s="69"/>
    </row>
    <row r="916">
      <c r="A916" s="9"/>
      <c r="B916" s="9"/>
      <c r="C916" s="69"/>
    </row>
    <row r="917">
      <c r="A917" s="9"/>
      <c r="B917" s="9"/>
      <c r="C917" s="69"/>
    </row>
    <row r="918">
      <c r="A918" s="9"/>
      <c r="B918" s="9"/>
      <c r="C918" s="69"/>
    </row>
    <row r="919">
      <c r="A919" s="9"/>
      <c r="B919" s="9"/>
      <c r="C919" s="69"/>
    </row>
    <row r="920">
      <c r="A920" s="9"/>
      <c r="B920" s="9"/>
      <c r="C920" s="69"/>
    </row>
    <row r="921">
      <c r="A921" s="9"/>
      <c r="B921" s="9"/>
      <c r="C921" s="69"/>
    </row>
    <row r="922">
      <c r="A922" s="9"/>
      <c r="B922" s="9"/>
      <c r="C922" s="69"/>
    </row>
    <row r="923">
      <c r="A923" s="9"/>
      <c r="B923" s="9"/>
      <c r="C923" s="69"/>
    </row>
    <row r="924">
      <c r="A924" s="9"/>
      <c r="B924" s="9"/>
      <c r="C924" s="69"/>
    </row>
    <row r="925">
      <c r="A925" s="9"/>
      <c r="B925" s="9"/>
      <c r="C925" s="69"/>
    </row>
    <row r="926">
      <c r="A926" s="9"/>
      <c r="B926" s="9"/>
      <c r="C926" s="69"/>
    </row>
    <row r="927">
      <c r="A927" s="9"/>
      <c r="B927" s="9"/>
      <c r="C927" s="69"/>
    </row>
    <row r="928">
      <c r="A928" s="9"/>
      <c r="B928" s="9"/>
      <c r="C928" s="69"/>
    </row>
    <row r="929">
      <c r="A929" s="9"/>
      <c r="B929" s="9"/>
      <c r="C929" s="69"/>
    </row>
    <row r="930">
      <c r="A930" s="9"/>
      <c r="B930" s="9"/>
      <c r="C930" s="69"/>
    </row>
    <row r="931">
      <c r="A931" s="9"/>
      <c r="B931" s="9"/>
      <c r="C931" s="69"/>
    </row>
    <row r="932">
      <c r="A932" s="9"/>
      <c r="B932" s="9"/>
      <c r="C932" s="69"/>
    </row>
    <row r="933">
      <c r="A933" s="9"/>
      <c r="B933" s="9"/>
      <c r="C933" s="69"/>
    </row>
    <row r="934">
      <c r="A934" s="9"/>
      <c r="B934" s="9"/>
      <c r="C934" s="69"/>
    </row>
    <row r="935">
      <c r="A935" s="9"/>
      <c r="B935" s="9"/>
      <c r="C935" s="69"/>
    </row>
    <row r="936">
      <c r="A936" s="9"/>
      <c r="B936" s="9"/>
      <c r="C936" s="69"/>
    </row>
    <row r="937">
      <c r="A937" s="9"/>
      <c r="B937" s="9"/>
      <c r="C937" s="69"/>
    </row>
    <row r="938">
      <c r="A938" s="9"/>
      <c r="B938" s="9"/>
      <c r="C938" s="69"/>
    </row>
    <row r="939">
      <c r="A939" s="9"/>
      <c r="B939" s="9"/>
      <c r="C939" s="69"/>
    </row>
    <row r="940">
      <c r="A940" s="9"/>
      <c r="B940" s="9"/>
      <c r="C940" s="69"/>
    </row>
    <row r="941">
      <c r="A941" s="9"/>
      <c r="B941" s="9"/>
      <c r="C941" s="69"/>
    </row>
    <row r="942">
      <c r="A942" s="9"/>
      <c r="B942" s="9"/>
      <c r="C942" s="69"/>
    </row>
    <row r="943">
      <c r="A943" s="9"/>
      <c r="B943" s="9"/>
      <c r="C943" s="69"/>
    </row>
    <row r="944">
      <c r="A944" s="9"/>
      <c r="B944" s="9"/>
      <c r="C944" s="69"/>
    </row>
    <row r="945">
      <c r="A945" s="9"/>
      <c r="B945" s="9"/>
      <c r="C945" s="69"/>
    </row>
    <row r="946">
      <c r="A946" s="9"/>
      <c r="B946" s="9"/>
      <c r="C946" s="69"/>
    </row>
    <row r="947">
      <c r="A947" s="9"/>
      <c r="B947" s="9"/>
      <c r="C947" s="69"/>
    </row>
    <row r="948">
      <c r="A948" s="9"/>
      <c r="B948" s="9"/>
      <c r="C948" s="69"/>
    </row>
    <row r="949">
      <c r="A949" s="9"/>
      <c r="B949" s="9"/>
      <c r="C949" s="69"/>
    </row>
    <row r="950">
      <c r="A950" s="9"/>
      <c r="B950" s="9"/>
      <c r="C950" s="69"/>
    </row>
    <row r="951">
      <c r="A951" s="9"/>
      <c r="B951" s="9"/>
      <c r="C951" s="69"/>
    </row>
    <row r="952">
      <c r="A952" s="9"/>
      <c r="B952" s="9"/>
      <c r="C952" s="69"/>
    </row>
    <row r="953">
      <c r="A953" s="9"/>
      <c r="B953" s="9"/>
      <c r="C953" s="69"/>
    </row>
    <row r="954">
      <c r="A954" s="9"/>
      <c r="B954" s="9"/>
      <c r="C954" s="69"/>
    </row>
    <row r="955">
      <c r="A955" s="9"/>
      <c r="B955" s="9"/>
      <c r="C955" s="69"/>
    </row>
    <row r="956">
      <c r="A956" s="9"/>
      <c r="B956" s="9"/>
      <c r="C956" s="69"/>
    </row>
    <row r="957">
      <c r="A957" s="9"/>
      <c r="B957" s="9"/>
      <c r="C957" s="69"/>
    </row>
    <row r="958">
      <c r="A958" s="9"/>
      <c r="B958" s="9"/>
      <c r="C958" s="69"/>
    </row>
    <row r="959">
      <c r="A959" s="9"/>
      <c r="B959" s="9"/>
      <c r="C959" s="69"/>
    </row>
    <row r="960">
      <c r="A960" s="9"/>
      <c r="B960" s="9"/>
      <c r="C960" s="69"/>
    </row>
    <row r="961">
      <c r="A961" s="9"/>
      <c r="B961" s="9"/>
      <c r="C961" s="69"/>
    </row>
    <row r="962">
      <c r="A962" s="9"/>
      <c r="B962" s="9"/>
      <c r="C962" s="69"/>
    </row>
    <row r="963">
      <c r="A963" s="9"/>
      <c r="B963" s="9"/>
      <c r="C963" s="69"/>
    </row>
    <row r="964">
      <c r="A964" s="9"/>
      <c r="B964" s="9"/>
      <c r="C964" s="69"/>
    </row>
    <row r="965">
      <c r="A965" s="9"/>
      <c r="B965" s="9"/>
      <c r="C965" s="69"/>
    </row>
    <row r="966">
      <c r="A966" s="9"/>
      <c r="B966" s="9"/>
      <c r="C966" s="69"/>
    </row>
    <row r="967">
      <c r="A967" s="9"/>
      <c r="B967" s="9"/>
      <c r="C967" s="69"/>
    </row>
    <row r="968">
      <c r="A968" s="9"/>
      <c r="B968" s="9"/>
      <c r="C968" s="69"/>
    </row>
    <row r="969">
      <c r="A969" s="9"/>
      <c r="B969" s="9"/>
      <c r="C969" s="69"/>
    </row>
    <row r="970">
      <c r="A970" s="9"/>
      <c r="B970" s="9"/>
      <c r="C970" s="69"/>
    </row>
    <row r="971">
      <c r="A971" s="9"/>
      <c r="B971" s="9"/>
      <c r="C971" s="69"/>
    </row>
    <row r="972">
      <c r="A972" s="9"/>
      <c r="B972" s="9"/>
      <c r="C972" s="69"/>
    </row>
    <row r="973">
      <c r="A973" s="9"/>
      <c r="B973" s="9"/>
      <c r="C973" s="69"/>
    </row>
    <row r="974">
      <c r="A974" s="9"/>
      <c r="B974" s="9"/>
      <c r="C974" s="69"/>
    </row>
    <row r="975">
      <c r="A975" s="9"/>
      <c r="B975" s="9"/>
      <c r="C975" s="69"/>
    </row>
    <row r="976">
      <c r="A976" s="9"/>
      <c r="B976" s="9"/>
      <c r="C976" s="69"/>
    </row>
    <row r="977">
      <c r="A977" s="9"/>
      <c r="B977" s="9"/>
      <c r="C977" s="69"/>
    </row>
    <row r="978">
      <c r="A978" s="9"/>
      <c r="B978" s="9"/>
      <c r="C978" s="69"/>
    </row>
    <row r="979">
      <c r="A979" s="9"/>
      <c r="B979" s="9"/>
      <c r="C979" s="69"/>
    </row>
    <row r="980">
      <c r="A980" s="9"/>
      <c r="B980" s="9"/>
      <c r="C980" s="69"/>
    </row>
    <row r="981">
      <c r="A981" s="9"/>
      <c r="B981" s="9"/>
      <c r="C981" s="69"/>
    </row>
    <row r="982">
      <c r="A982" s="9"/>
      <c r="B982" s="9"/>
      <c r="C982" s="69"/>
    </row>
    <row r="983">
      <c r="A983" s="9"/>
      <c r="B983" s="9"/>
      <c r="C983" s="69"/>
    </row>
    <row r="984">
      <c r="A984" s="9"/>
      <c r="B984" s="9"/>
      <c r="C984" s="69"/>
    </row>
    <row r="985">
      <c r="A985" s="9"/>
      <c r="B985" s="9"/>
      <c r="C985" s="69"/>
    </row>
    <row r="986">
      <c r="A986" s="9"/>
      <c r="B986" s="9"/>
      <c r="C986" s="69"/>
    </row>
    <row r="987">
      <c r="A987" s="9"/>
      <c r="B987" s="9"/>
      <c r="C987" s="69"/>
    </row>
    <row r="988">
      <c r="A988" s="9"/>
      <c r="B988" s="9"/>
      <c r="C988" s="69"/>
    </row>
    <row r="989">
      <c r="A989" s="9"/>
      <c r="B989" s="9"/>
      <c r="C989" s="69"/>
    </row>
    <row r="990">
      <c r="A990" s="9"/>
      <c r="B990" s="9"/>
      <c r="C990" s="69"/>
    </row>
    <row r="991">
      <c r="A991" s="9"/>
      <c r="B991" s="9"/>
      <c r="C991" s="69"/>
    </row>
    <row r="992">
      <c r="A992" s="9"/>
      <c r="B992" s="9"/>
      <c r="C992" s="69"/>
    </row>
    <row r="993">
      <c r="A993" s="9"/>
      <c r="B993" s="9"/>
      <c r="C993" s="69"/>
    </row>
    <row r="994">
      <c r="A994" s="9"/>
      <c r="B994" s="9"/>
      <c r="C994" s="69"/>
    </row>
    <row r="995">
      <c r="A995" s="9"/>
      <c r="B995" s="9"/>
      <c r="C995" s="69"/>
    </row>
    <row r="996">
      <c r="A996" s="9"/>
      <c r="B996" s="9"/>
      <c r="C996" s="69"/>
    </row>
    <row r="997">
      <c r="A997" s="9"/>
      <c r="B997" s="9"/>
      <c r="C997" s="69"/>
    </row>
    <row r="998">
      <c r="A998" s="9"/>
      <c r="B998" s="9"/>
      <c r="C998" s="69"/>
    </row>
    <row r="999">
      <c r="A999" s="9"/>
      <c r="B999" s="9"/>
      <c r="C999" s="69"/>
    </row>
    <row r="1000">
      <c r="A1000" s="9"/>
      <c r="B1000" s="9"/>
      <c r="C1000" s="6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</cols>
  <sheetData>
    <row r="1">
      <c r="A1" s="70" t="s">
        <v>115</v>
      </c>
      <c r="B1" s="9" t="str">
        <f>A2</f>
        <v>Benqi - LINK</v>
      </c>
      <c r="C1" s="9" t="str">
        <f>A3</f>
        <v>DD-ABRA-FTT</v>
      </c>
      <c r="D1" s="9" t="str">
        <f>A4</f>
        <v>Defi Banker Joe</v>
      </c>
      <c r="E1" s="9" t="str">
        <f>A5</f>
        <v>Defi Benqi Deployment</v>
      </c>
      <c r="F1" s="9" t="str">
        <f>A6</f>
        <v>Banker Joe LINK</v>
      </c>
      <c r="G1" s="9" t="str">
        <f>A7</f>
        <v>Yield Desk</v>
      </c>
    </row>
    <row r="2">
      <c r="A2" s="71" t="s">
        <v>116</v>
      </c>
      <c r="B2" s="7" t="s">
        <v>168</v>
      </c>
    </row>
    <row r="3">
      <c r="A3" s="71" t="s">
        <v>117</v>
      </c>
      <c r="B3" s="7" t="s">
        <v>168</v>
      </c>
    </row>
    <row r="4">
      <c r="A4" s="71" t="s">
        <v>118</v>
      </c>
      <c r="B4" s="7" t="s">
        <v>168</v>
      </c>
    </row>
    <row r="5">
      <c r="A5" s="71" t="s">
        <v>119</v>
      </c>
      <c r="B5" s="7" t="s">
        <v>168</v>
      </c>
    </row>
    <row r="6">
      <c r="A6" s="71" t="s">
        <v>120</v>
      </c>
      <c r="B6" s="7" t="s">
        <v>168</v>
      </c>
    </row>
    <row r="7">
      <c r="A7" s="71" t="s">
        <v>267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20.63"/>
    <col customWidth="1" min="5" max="5" width="18.63"/>
    <col customWidth="1" min="6" max="6" width="23.75"/>
  </cols>
  <sheetData>
    <row r="1">
      <c r="A1" s="70" t="s">
        <v>295</v>
      </c>
      <c r="E1" s="71" t="s">
        <v>295</v>
      </c>
      <c r="H1" s="71" t="s">
        <v>185</v>
      </c>
      <c r="I1" s="9" t="str">
        <f>vlookup(H1,APY!A:A,1,false)</f>
        <v>BTC</v>
      </c>
    </row>
    <row r="2">
      <c r="A2" s="71" t="s">
        <v>296</v>
      </c>
      <c r="B2" s="7" t="s">
        <v>168</v>
      </c>
      <c r="E2" s="71" t="s">
        <v>25</v>
      </c>
      <c r="H2" s="71" t="s">
        <v>198</v>
      </c>
      <c r="I2" s="9" t="str">
        <f>vlookup(H2,APY!A:A,1,false)</f>
        <v>ETH</v>
      </c>
    </row>
    <row r="3">
      <c r="A3" s="71" t="s">
        <v>297</v>
      </c>
      <c r="E3" s="71" t="s">
        <v>44</v>
      </c>
      <c r="H3" s="71" t="s">
        <v>298</v>
      </c>
      <c r="I3" s="9" t="str">
        <f>vlookup(H3,APY!A:A,1,false)</f>
        <v>#N/A</v>
      </c>
    </row>
    <row r="4">
      <c r="B4" s="7" t="s">
        <v>168</v>
      </c>
      <c r="E4" s="71" t="s">
        <v>16</v>
      </c>
      <c r="H4" s="71" t="s">
        <v>151</v>
      </c>
      <c r="I4" s="9" t="str">
        <f>vlookup(H4,APY!A:A,1,false)</f>
        <v>CEL</v>
      </c>
    </row>
    <row r="5">
      <c r="B5" s="7" t="s">
        <v>168</v>
      </c>
      <c r="E5" s="71" t="s">
        <v>126</v>
      </c>
      <c r="H5" s="71" t="s">
        <v>214</v>
      </c>
      <c r="I5" s="9" t="str">
        <f>vlookup(H5,APY!A:A,1,false)</f>
        <v>MATIC</v>
      </c>
    </row>
    <row r="6">
      <c r="B6" s="7" t="s">
        <v>168</v>
      </c>
      <c r="E6" s="71" t="s">
        <v>14</v>
      </c>
      <c r="H6" s="71" t="s">
        <v>230</v>
      </c>
      <c r="I6" s="9" t="str">
        <f>vlookup(H6,APY!A:A,1,false)</f>
        <v>SRM</v>
      </c>
    </row>
    <row r="7">
      <c r="B7" s="7" t="s">
        <v>168</v>
      </c>
      <c r="E7" s="71" t="s">
        <v>29</v>
      </c>
      <c r="H7" s="71" t="s">
        <v>202</v>
      </c>
      <c r="I7" s="9" t="str">
        <f>vlookup(H7,APY!A:A,1,false)</f>
        <v>FTT</v>
      </c>
    </row>
    <row r="8">
      <c r="E8" s="71" t="s">
        <v>296</v>
      </c>
      <c r="H8" s="71" t="s">
        <v>167</v>
      </c>
      <c r="I8" s="9" t="str">
        <f>vlookup(H8,APY!A:A,1,false)</f>
        <v>ADA</v>
      </c>
    </row>
    <row r="9">
      <c r="E9" s="71" t="s">
        <v>27</v>
      </c>
      <c r="H9" s="71" t="s">
        <v>252</v>
      </c>
      <c r="I9" s="9" t="str">
        <f>vlookup(H9,APY!A:A,1,false)</f>
        <v>XRP</v>
      </c>
    </row>
    <row r="10">
      <c r="E10" s="71" t="s">
        <v>21</v>
      </c>
      <c r="H10" s="71" t="s">
        <v>206</v>
      </c>
      <c r="I10" s="9" t="str">
        <f>vlookup(H10,APY!A:A,1,false)</f>
        <v>LINK</v>
      </c>
    </row>
    <row r="11">
      <c r="E11" s="71" t="s">
        <v>19</v>
      </c>
      <c r="H11" s="71" t="s">
        <v>210</v>
      </c>
      <c r="I11" s="9" t="str">
        <f>vlookup(H11,APY!A:A,1,false)</f>
        <v>LUNA</v>
      </c>
    </row>
    <row r="12">
      <c r="A12" s="71"/>
      <c r="E12" s="71" t="s">
        <v>32</v>
      </c>
      <c r="H12" s="71" t="s">
        <v>209</v>
      </c>
      <c r="I12" s="9" t="str">
        <f>vlookup(H12,APY!A:A,1,false)</f>
        <v>LTC</v>
      </c>
    </row>
    <row r="13">
      <c r="A13" s="71"/>
      <c r="E13" s="71" t="s">
        <v>297</v>
      </c>
      <c r="H13" s="71" t="s">
        <v>194</v>
      </c>
      <c r="I13" s="9" t="str">
        <f>vlookup(H13,APY!A:A,1,false)</f>
        <v>DOT</v>
      </c>
    </row>
    <row r="14">
      <c r="E14" s="71" t="s">
        <v>3</v>
      </c>
      <c r="H14" s="71" t="s">
        <v>233</v>
      </c>
      <c r="I14" s="9" t="str">
        <f>vlookup(H14,APY!A:A,1,false)</f>
        <v>SNX</v>
      </c>
    </row>
    <row r="15">
      <c r="E15" s="71" t="s">
        <v>2</v>
      </c>
      <c r="H15" s="71" t="s">
        <v>166</v>
      </c>
      <c r="I15" s="9" t="str">
        <f>vlookup(H15,APY!A:A,1,false)</f>
        <v>AAVE</v>
      </c>
    </row>
    <row r="16">
      <c r="E16" s="71" t="s">
        <v>26</v>
      </c>
      <c r="H16" s="71" t="s">
        <v>179</v>
      </c>
      <c r="I16" s="9" t="str">
        <f>vlookup(H16,APY!A:A,1,false)</f>
        <v>BCH</v>
      </c>
    </row>
    <row r="17">
      <c r="H17" s="71" t="s">
        <v>213</v>
      </c>
      <c r="I17" s="9" t="str">
        <f>vlookup(H17,APY!A:A,1,false)</f>
        <v>MANA</v>
      </c>
    </row>
    <row r="18">
      <c r="H18" s="71" t="s">
        <v>164</v>
      </c>
      <c r="I18" s="9" t="str">
        <f>vlookup(H18,APY!A:A,1,false)</f>
        <v>1INCH</v>
      </c>
    </row>
    <row r="19">
      <c r="F19" s="7" t="s">
        <v>168</v>
      </c>
      <c r="H19" s="71" t="s">
        <v>244</v>
      </c>
      <c r="I19" s="9" t="str">
        <f>vlookup(H19,APY!A:A,1,false)</f>
        <v>UNI</v>
      </c>
    </row>
    <row r="20">
      <c r="H20" s="71" t="s">
        <v>251</v>
      </c>
      <c r="I20" s="9" t="str">
        <f>vlookup(H20,APY!A:A,1,false)</f>
        <v>XLM</v>
      </c>
    </row>
    <row r="21">
      <c r="H21" s="71" t="s">
        <v>254</v>
      </c>
      <c r="I21" s="9" t="str">
        <f>vlookup(H21,APY!A:A,1,false)</f>
        <v>ZEC</v>
      </c>
    </row>
    <row r="22">
      <c r="H22" s="71" t="s">
        <v>180</v>
      </c>
      <c r="I22" s="9" t="str">
        <f>vlookup(H22,APY!A:A,1,false)</f>
        <v>BNB</v>
      </c>
    </row>
    <row r="23">
      <c r="H23" s="71" t="s">
        <v>196</v>
      </c>
      <c r="I23" s="9" t="str">
        <f>vlookup(H23,APY!A:A,1,false)</f>
        <v>EOS</v>
      </c>
    </row>
    <row r="24">
      <c r="H24" s="71" t="s">
        <v>193</v>
      </c>
      <c r="I24" s="9" t="str">
        <f>vlookup(H24,APY!A:A,1,false)</f>
        <v>DIGG</v>
      </c>
    </row>
    <row r="25">
      <c r="H25" s="71" t="s">
        <v>221</v>
      </c>
      <c r="I25" s="9" t="str">
        <f>vlookup(H25,APY!A:A,1,false)</f>
        <v>PAXG</v>
      </c>
    </row>
    <row r="26">
      <c r="H26" s="71" t="s">
        <v>178</v>
      </c>
      <c r="I26" s="9" t="str">
        <f>vlookup(H26,APY!A:A,1,false)</f>
        <v>BAT</v>
      </c>
    </row>
    <row r="27">
      <c r="H27" s="71" t="s">
        <v>192</v>
      </c>
      <c r="I27" s="9" t="str">
        <f>vlookup(H27,APY!A:A,1,false)</f>
        <v>DASH</v>
      </c>
    </row>
    <row r="28">
      <c r="H28" s="71" t="s">
        <v>181</v>
      </c>
      <c r="I28" s="9" t="str">
        <f>vlookup(H28,APY!A:A,1,false)</f>
        <v>BNT</v>
      </c>
    </row>
    <row r="29">
      <c r="H29" s="71" t="s">
        <v>239</v>
      </c>
      <c r="I29" s="9" t="str">
        <f>vlookup(H29,APY!A:A,1,false)</f>
        <v>TGBP</v>
      </c>
    </row>
    <row r="30">
      <c r="H30" s="71" t="s">
        <v>255</v>
      </c>
      <c r="I30" s="9" t="str">
        <f>vlookup(H30,APY!A:A,1,false)</f>
        <v>ZRX</v>
      </c>
    </row>
    <row r="31">
      <c r="H31" s="71" t="s">
        <v>237</v>
      </c>
      <c r="I31" s="9" t="str">
        <f>vlookup(H31,APY!A:A,1,false)</f>
        <v>TAUD</v>
      </c>
    </row>
    <row r="32">
      <c r="H32" s="71" t="s">
        <v>197</v>
      </c>
      <c r="I32" s="9" t="str">
        <f>vlookup(H32,APY!A:A,1,false)</f>
        <v>ETC</v>
      </c>
    </row>
    <row r="33">
      <c r="H33" s="71" t="s">
        <v>232</v>
      </c>
      <c r="I33" s="9" t="str">
        <f>vlookup(H33,APY!A:A,1,false)</f>
        <v>SOL</v>
      </c>
    </row>
    <row r="34">
      <c r="H34" s="71" t="s">
        <v>188</v>
      </c>
      <c r="I34" s="9" t="str">
        <f>vlookup(H34,APY!A:A,1,false)</f>
        <v>COMP</v>
      </c>
    </row>
    <row r="35">
      <c r="H35" s="71" t="s">
        <v>184</v>
      </c>
      <c r="I35" s="9" t="str">
        <f>vlookup(H35,APY!A:A,1,false)</f>
        <v>BSV</v>
      </c>
    </row>
    <row r="36">
      <c r="H36" s="71" t="s">
        <v>190</v>
      </c>
      <c r="I36" s="9" t="str">
        <f>vlookup(H36,APY!A:A,1,false)</f>
        <v>CRV</v>
      </c>
    </row>
    <row r="37">
      <c r="H37" s="71" t="s">
        <v>217</v>
      </c>
      <c r="I37" s="9" t="str">
        <f>vlookup(H37,APY!A:A,1,false)</f>
        <v>OMG</v>
      </c>
    </row>
    <row r="38">
      <c r="H38" s="71" t="s">
        <v>176</v>
      </c>
      <c r="I38" s="9" t="str">
        <f>vlookup(H38,APY!A:A,1,false)</f>
        <v>BADGER</v>
      </c>
      <c r="L38" s="7" t="s">
        <v>232</v>
      </c>
    </row>
    <row r="39">
      <c r="H39" s="71" t="s">
        <v>236</v>
      </c>
      <c r="I39" s="9" t="str">
        <f>vlookup(H39,APY!A:A,1,false)</f>
        <v>SUSHI</v>
      </c>
      <c r="L39" s="7" t="s">
        <v>299</v>
      </c>
    </row>
    <row r="40">
      <c r="H40" s="71" t="s">
        <v>238</v>
      </c>
      <c r="I40" s="9" t="str">
        <f>vlookup(H40,APY!A:A,1,false)</f>
        <v>TCAD</v>
      </c>
      <c r="L40" s="7" t="s">
        <v>300</v>
      </c>
    </row>
    <row r="41">
      <c r="H41" s="71" t="s">
        <v>240</v>
      </c>
      <c r="I41" s="9" t="str">
        <f>vlookup(H41,APY!A:A,1,false)</f>
        <v>THKD</v>
      </c>
      <c r="L41" s="7" t="s">
        <v>301</v>
      </c>
    </row>
    <row r="42">
      <c r="H42" s="71" t="s">
        <v>231</v>
      </c>
      <c r="I42" s="9" t="str">
        <f>vlookup(H42,APY!A:A,1,false)</f>
        <v>SRM_LOCKED</v>
      </c>
      <c r="L42" s="7" t="s">
        <v>302</v>
      </c>
    </row>
    <row r="43">
      <c r="H43" s="71" t="s">
        <v>204</v>
      </c>
      <c r="I43" s="9" t="str">
        <f>vlookup(H43,APY!A:A,1,false)</f>
        <v>KNC</v>
      </c>
      <c r="L43" s="7" t="s">
        <v>303</v>
      </c>
    </row>
    <row r="44">
      <c r="H44" s="71" t="s">
        <v>299</v>
      </c>
      <c r="I44" s="9" t="str">
        <f>vlookup(H44,APY!A:A,1,false)</f>
        <v>#N/A</v>
      </c>
    </row>
    <row r="45">
      <c r="H45" s="71" t="s">
        <v>174</v>
      </c>
      <c r="I45" s="9" t="str">
        <f>vlookup(H45,APY!A:A,1,false)</f>
        <v>ATLAS</v>
      </c>
    </row>
    <row r="46">
      <c r="H46" s="71" t="s">
        <v>301</v>
      </c>
      <c r="I46" s="9" t="str">
        <f>vlookup(H46,APY!A:A,1,false)</f>
        <v>#N/A</v>
      </c>
    </row>
    <row r="47">
      <c r="A47" s="71"/>
      <c r="H47" s="71" t="s">
        <v>300</v>
      </c>
      <c r="I47" s="9" t="str">
        <f>vlookup(H47,APY!A:A,1,false)</f>
        <v>#N/A</v>
      </c>
    </row>
    <row r="48">
      <c r="A48" s="71"/>
      <c r="H48" s="71" t="s">
        <v>253</v>
      </c>
      <c r="I48" s="9" t="str">
        <f>vlookup(H48,APY!A:A,1,false)</f>
        <v>YFI</v>
      </c>
    </row>
    <row r="49">
      <c r="A49" s="71"/>
      <c r="H49" s="71" t="s">
        <v>205</v>
      </c>
      <c r="I49" s="9" t="str">
        <f>vlookup(H49,APY!A:A,1,false)</f>
        <v>LDO</v>
      </c>
    </row>
    <row r="50">
      <c r="A50" s="71"/>
      <c r="H50" s="71" t="s">
        <v>243</v>
      </c>
      <c r="I50" s="9" t="str">
        <f>vlookup(H50,APY!A:A,1,false)</f>
        <v>UMA</v>
      </c>
    </row>
    <row r="51">
      <c r="A51" s="71"/>
      <c r="H51" s="71" t="s">
        <v>201</v>
      </c>
      <c r="I51" s="9" t="str">
        <f>vlookup(H51,APY!A:A,1,false)</f>
        <v>FTM</v>
      </c>
    </row>
    <row r="52">
      <c r="A52" s="71"/>
      <c r="H52" s="71" t="s">
        <v>191</v>
      </c>
      <c r="I52" s="9" t="str">
        <f>vlookup(H52,APY!A:A,1,false)</f>
        <v>CVX</v>
      </c>
    </row>
    <row r="53">
      <c r="A53" s="71"/>
      <c r="H53" s="71" t="s">
        <v>224</v>
      </c>
      <c r="I53" s="9" t="str">
        <f>vlookup(H53,APY!A:A,1,false)</f>
        <v>REN</v>
      </c>
    </row>
    <row r="54">
      <c r="A54" s="71"/>
      <c r="H54" s="71" t="s">
        <v>207</v>
      </c>
      <c r="I54" s="9" t="str">
        <f>vlookup(H54,APY!A:A,1,false)</f>
        <v>LPT</v>
      </c>
    </row>
    <row r="55">
      <c r="A55" s="71"/>
      <c r="H55" s="71" t="s">
        <v>222</v>
      </c>
      <c r="I55" s="9" t="str">
        <f>vlookup(H55,APY!A:A,1,false)</f>
        <v>QI</v>
      </c>
    </row>
    <row r="56">
      <c r="A56" s="71"/>
      <c r="H56" s="71" t="s">
        <v>74</v>
      </c>
      <c r="I56" s="9" t="str">
        <f>vlookup(H56,APY!A:A,1,false)</f>
        <v>YFL</v>
      </c>
    </row>
    <row r="57">
      <c r="A57" s="71"/>
      <c r="H57" s="71" t="s">
        <v>250</v>
      </c>
      <c r="I57" s="9" t="str">
        <f>vlookup(H57,APY!A:A,1,false)</f>
        <v>XAUT</v>
      </c>
    </row>
    <row r="58">
      <c r="A58" s="71"/>
      <c r="H58" s="71" t="s">
        <v>170</v>
      </c>
      <c r="I58" s="9" t="str">
        <f>vlookup(H58,APY!A:A,1,false)</f>
        <v>ALPHA</v>
      </c>
    </row>
    <row r="59">
      <c r="A59" s="71"/>
      <c r="H59" s="71" t="s">
        <v>249</v>
      </c>
      <c r="I59" s="9" t="str">
        <f>vlookup(H59,APY!A:A,1,false)</f>
        <v>WDGLD</v>
      </c>
    </row>
    <row r="60">
      <c r="A60" s="71"/>
      <c r="H60" s="71" t="s">
        <v>175</v>
      </c>
      <c r="I60" s="9" t="str">
        <f>vlookup(H60,APY!A:A,1,false)</f>
        <v>AVAX</v>
      </c>
    </row>
    <row r="61">
      <c r="A61" s="71"/>
      <c r="H61" s="71" t="s">
        <v>241</v>
      </c>
      <c r="I61" s="9" t="str">
        <f>vlookup(H61,APY!A:A,1,false)</f>
        <v>TRU</v>
      </c>
    </row>
    <row r="62">
      <c r="A62" s="71"/>
      <c r="H62" s="71" t="s">
        <v>177</v>
      </c>
      <c r="I62" s="9" t="str">
        <f>vlookup(H62,APY!A:A,1,false)</f>
        <v>BAL</v>
      </c>
    </row>
    <row r="63">
      <c r="A63" s="71"/>
      <c r="H63" s="71" t="s">
        <v>186</v>
      </c>
      <c r="I63" s="9" t="str">
        <f>vlookup(H63,APY!A:A,1,false)</f>
        <v>BTG</v>
      </c>
    </row>
    <row r="64">
      <c r="A64" s="71"/>
      <c r="H64" s="71" t="s">
        <v>248</v>
      </c>
      <c r="I64" s="9" t="str">
        <f>vlookup(H64,APY!A:A,1,false)</f>
        <v>VSP</v>
      </c>
    </row>
    <row r="65">
      <c r="A65" s="71"/>
      <c r="H65" s="71" t="s">
        <v>223</v>
      </c>
      <c r="I65" s="9" t="str">
        <f>vlookup(H65,APY!A:A,1,false)</f>
        <v>PNT</v>
      </c>
    </row>
    <row r="66">
      <c r="A66" s="71"/>
      <c r="H66" s="71" t="s">
        <v>226</v>
      </c>
      <c r="I66" s="9" t="str">
        <f>vlookup(H66,APY!A:A,1,false)</f>
        <v>ROOK</v>
      </c>
    </row>
    <row r="67">
      <c r="A67" s="71"/>
      <c r="H67" s="71" t="s">
        <v>200</v>
      </c>
      <c r="I67" s="9" t="str">
        <f>vlookup(H67,APY!A:A,1,false)</f>
        <v>FIS</v>
      </c>
    </row>
    <row r="68">
      <c r="A68" s="71"/>
      <c r="H68" s="71" t="s">
        <v>216</v>
      </c>
      <c r="I68" s="9" t="str">
        <f>vlookup(H68,APY!A:A,1,false)</f>
        <v>MKR</v>
      </c>
    </row>
    <row r="69">
      <c r="A69" s="71"/>
      <c r="H69" s="71" t="s">
        <v>219</v>
      </c>
      <c r="I69" s="9" t="str">
        <f>vlookup(H69,APY!A:A,1,false)</f>
        <v>ORBS</v>
      </c>
    </row>
    <row r="70">
      <c r="A70" s="71"/>
      <c r="H70" s="71" t="s">
        <v>199</v>
      </c>
      <c r="I70" s="9" t="str">
        <f>vlookup(H70,APY!A:A,1,false)</f>
        <v>FARM</v>
      </c>
    </row>
    <row r="71">
      <c r="A71" s="71"/>
      <c r="H71" s="71" t="s">
        <v>172</v>
      </c>
      <c r="I71" s="9" t="str">
        <f>vlookup(H71,APY!A:A,1,false)</f>
        <v>AMPL</v>
      </c>
    </row>
    <row r="72">
      <c r="A72" s="71"/>
      <c r="H72" s="71" t="s">
        <v>173</v>
      </c>
      <c r="I72" s="9" t="str">
        <f>vlookup(H72,APY!A:A,1,false)</f>
        <v>ANKR</v>
      </c>
    </row>
    <row r="73">
      <c r="A73" s="71"/>
      <c r="H73" s="71" t="s">
        <v>165</v>
      </c>
      <c r="I73" s="9" t="str">
        <f>vlookup(H73,APY!A:A,1,false)</f>
        <v>3CRV</v>
      </c>
    </row>
    <row r="74">
      <c r="A74" s="71"/>
      <c r="H74" s="71" t="s">
        <v>218</v>
      </c>
      <c r="I74" s="9" t="str">
        <f>vlookup(H74,APY!A:A,1,false)</f>
        <v>ONX</v>
      </c>
    </row>
    <row r="75">
      <c r="A75" s="71"/>
      <c r="H75" s="71" t="s">
        <v>208</v>
      </c>
      <c r="I75" s="9" t="str">
        <f>vlookup(H75,APY!A:A,1,false)</f>
        <v>LQTY</v>
      </c>
    </row>
    <row r="76">
      <c r="A76" s="71"/>
      <c r="H76" s="71" t="s">
        <v>229</v>
      </c>
      <c r="I76" s="9" t="str">
        <f>vlookup(H76,APY!A:A,1,false)</f>
        <v>SGR</v>
      </c>
    </row>
    <row r="77">
      <c r="A77" s="71"/>
      <c r="H77" s="71" t="s">
        <v>189</v>
      </c>
      <c r="I77" s="9" t="str">
        <f>vlookup(H77,APY!A:A,1,false)</f>
        <v>CREAM</v>
      </c>
    </row>
    <row r="78">
      <c r="A78" s="71"/>
      <c r="H78" s="71" t="s">
        <v>182</v>
      </c>
      <c r="I78" s="9" t="str">
        <f>vlookup(H78,APY!A:A,1,false)</f>
        <v>BOND</v>
      </c>
    </row>
    <row r="79">
      <c r="A79" s="71"/>
      <c r="H79" s="71" t="s">
        <v>302</v>
      </c>
      <c r="I79" s="9" t="str">
        <f>vlookup(H79,APY!A:A,1,false)</f>
        <v>#N/A</v>
      </c>
    </row>
    <row r="80">
      <c r="A80" s="71"/>
      <c r="H80" s="71" t="s">
        <v>303</v>
      </c>
      <c r="I80" s="9" t="str">
        <f>vlookup(H80,APY!A:A,1,false)</f>
        <v>#N/A</v>
      </c>
    </row>
    <row r="81">
      <c r="A81" s="71"/>
    </row>
    <row r="82">
      <c r="A82" s="71"/>
    </row>
    <row r="83">
      <c r="A83" s="71"/>
    </row>
    <row r="84">
      <c r="A84" s="71"/>
    </row>
    <row r="85">
      <c r="A85" s="71"/>
    </row>
    <row r="86">
      <c r="A86" s="71"/>
    </row>
    <row r="87">
      <c r="A87" s="71"/>
    </row>
    <row r="88">
      <c r="A88" s="71"/>
    </row>
    <row r="89">
      <c r="A89" s="71"/>
    </row>
    <row r="90">
      <c r="A90" s="71"/>
    </row>
    <row r="91">
      <c r="A91" s="71"/>
    </row>
  </sheetData>
  <customSheetViews>
    <customSheetView guid="{2A8717CA-57B9-47E9-A07B-A7E1BA3B9A03}" filter="1" showAutoFilter="1">
      <autoFilter ref="$H$1:$I$1000">
        <filterColumn colId="1">
          <filters blank="1">
            <filter val="PAXG"/>
            <filter val="DASH"/>
            <filter val="XRP"/>
            <filter val="TAUD"/>
            <filter val="BSV"/>
            <filter val="BCH"/>
            <filter val="TGBP"/>
            <filter val="DOT"/>
            <filter val="OMG"/>
            <filter val="UMA"/>
            <filter val="#N/A"/>
            <filter val="BTG"/>
            <filter val="CREAM"/>
            <filter val="SUSHI"/>
            <filter val="SRM"/>
            <filter val="UNI"/>
            <filter val="LPT"/>
            <filter val="ORBS"/>
            <filter val="LDO"/>
            <filter val="XLM"/>
            <filter val="BOND"/>
            <filter val="YFI"/>
            <filter val="YFL"/>
            <filter val="LUNA"/>
            <filter val="XAUT"/>
            <filter val="EOS"/>
            <filter val="THKD"/>
            <filter val="SOL"/>
            <filter val="TCAD"/>
            <filter val="BNB"/>
            <filter val="ZEC"/>
            <filter val="REN"/>
            <filter val="WDGLD"/>
            <filter val="ADA"/>
            <filter val="SGR"/>
          </filters>
        </filterColumn>
      </autoFilter>
    </customSheetView>
  </customSheetViews>
  <drawing r:id="rId1"/>
</worksheet>
</file>